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RURAIS/"/>
    </mc:Choice>
  </mc:AlternateContent>
  <xr:revisionPtr revIDLastSave="911" documentId="8_{EAC46581-D679-4851-BA07-C4FF0B0B9CBB}" xr6:coauthVersionLast="47" xr6:coauthVersionMax="47" xr10:uidLastSave="{1A30D3B3-74D9-4AB3-A4D5-194823A9ECE6}"/>
  <bookViews>
    <workbookView xWindow="-120" yWindow="-120" windowWidth="29040" windowHeight="15720" tabRatio="901" xr2:uid="{C3A22E73-4D52-4DA0-A647-BA53DE8F5818}"/>
  </bookViews>
  <sheets>
    <sheet name="TERRA NUA 12 ELEMENTOS" sheetId="4" r:id="rId1"/>
    <sheet name="TERRA NUA 5 ELEMENTOS" sheetId="32" r:id="rId2"/>
    <sheet name="TERRA NUA 3 ELEMENTOS" sheetId="34" r:id="rId3"/>
  </sheets>
  <definedNames>
    <definedName name="_xlnm._FilterDatabase" localSheetId="0" hidden="1">'TERRA NUA 12 ELEMENTOS'!$B$9:$R$21</definedName>
    <definedName name="_xlnm._FilterDatabase" localSheetId="2" hidden="1">'TERRA NUA 3 ELEMENTOS'!$B$9:$R$12</definedName>
    <definedName name="_xlnm._FilterDatabase" localSheetId="1" hidden="1">'TERRA NUA 5 ELEMENTOS'!$B$9:$R$14</definedName>
    <definedName name="_xlnm.Print_Area" localSheetId="0">'TERRA NUA 12 ELEMENTOS'!$A$1:$R$282</definedName>
    <definedName name="_xlnm.Print_Area" localSheetId="2">'TERRA NUA 3 ELEMENTOS'!$A$1:$R$248</definedName>
    <definedName name="_xlnm.Print_Area" localSheetId="1">'TERRA NUA 5 ELEMENTOS'!$A$1:$R$262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5" i="34" l="1"/>
  <c r="P113" i="34"/>
  <c r="P119" i="32"/>
  <c r="P140" i="4"/>
  <c r="P154" i="34"/>
  <c r="P112" i="34"/>
  <c r="P118" i="32"/>
  <c r="P160" i="32"/>
  <c r="P161" i="32"/>
  <c r="D229" i="34"/>
  <c r="D228" i="34"/>
  <c r="D227" i="34"/>
  <c r="Y191" i="34"/>
  <c r="Y190" i="34"/>
  <c r="G158" i="34"/>
  <c r="G157" i="34"/>
  <c r="G156" i="34"/>
  <c r="G155" i="34"/>
  <c r="G154" i="34"/>
  <c r="G153" i="34"/>
  <c r="A152" i="34"/>
  <c r="G152" i="34" s="1"/>
  <c r="A151" i="34"/>
  <c r="G151" i="34" s="1"/>
  <c r="A150" i="34"/>
  <c r="G150" i="34" s="1"/>
  <c r="B149" i="34"/>
  <c r="A112" i="34"/>
  <c r="G112" i="34" s="1"/>
  <c r="A111" i="34"/>
  <c r="G111" i="34" s="1"/>
  <c r="A110" i="34"/>
  <c r="G110" i="34" s="1"/>
  <c r="B109" i="34"/>
  <c r="D49" i="34"/>
  <c r="C49" i="34"/>
  <c r="B49" i="34"/>
  <c r="A49" i="34"/>
  <c r="D48" i="34"/>
  <c r="C48" i="34"/>
  <c r="B48" i="34"/>
  <c r="A48" i="34"/>
  <c r="H47" i="34"/>
  <c r="G47" i="34"/>
  <c r="F47" i="34"/>
  <c r="D47" i="34"/>
  <c r="C47" i="34"/>
  <c r="B47" i="34"/>
  <c r="A47" i="34"/>
  <c r="I35" i="34"/>
  <c r="A35" i="34"/>
  <c r="I34" i="34"/>
  <c r="A34" i="34"/>
  <c r="I33" i="34"/>
  <c r="A33" i="34"/>
  <c r="B32" i="34"/>
  <c r="H30" i="34"/>
  <c r="N12" i="34"/>
  <c r="H12" i="34"/>
  <c r="N11" i="34"/>
  <c r="H11" i="34"/>
  <c r="E228" i="34" s="1"/>
  <c r="N10" i="34"/>
  <c r="H10" i="34"/>
  <c r="E227" i="34" s="1"/>
  <c r="D243" i="32"/>
  <c r="D242" i="32"/>
  <c r="D241" i="32"/>
  <c r="D240" i="32"/>
  <c r="D239" i="32"/>
  <c r="Y203" i="32"/>
  <c r="Y202" i="32"/>
  <c r="G166" i="32"/>
  <c r="G165" i="32"/>
  <c r="G164" i="32"/>
  <c r="G163" i="32"/>
  <c r="G162" i="32"/>
  <c r="G161" i="32"/>
  <c r="A160" i="32"/>
  <c r="G160" i="32" s="1"/>
  <c r="A159" i="32"/>
  <c r="G159" i="32" s="1"/>
  <c r="A158" i="32"/>
  <c r="G158" i="32" s="1"/>
  <c r="A157" i="32"/>
  <c r="G157" i="32" s="1"/>
  <c r="A156" i="32"/>
  <c r="G156" i="32" s="1"/>
  <c r="B155" i="32"/>
  <c r="A120" i="32"/>
  <c r="G120" i="32" s="1"/>
  <c r="A119" i="32"/>
  <c r="G119" i="32" s="1"/>
  <c r="A118" i="32"/>
  <c r="G118" i="32" s="1"/>
  <c r="A117" i="32"/>
  <c r="G117" i="32" s="1"/>
  <c r="A116" i="32"/>
  <c r="G116" i="32" s="1"/>
  <c r="B115" i="32"/>
  <c r="D55" i="32"/>
  <c r="C55" i="32"/>
  <c r="B55" i="32"/>
  <c r="A55" i="32"/>
  <c r="D54" i="32"/>
  <c r="C54" i="32"/>
  <c r="B54" i="32"/>
  <c r="A54" i="32"/>
  <c r="D53" i="32"/>
  <c r="C53" i="32"/>
  <c r="B53" i="32"/>
  <c r="A53" i="32"/>
  <c r="D52" i="32"/>
  <c r="C52" i="32"/>
  <c r="B52" i="32"/>
  <c r="A52" i="32"/>
  <c r="H51" i="32"/>
  <c r="G51" i="32"/>
  <c r="F51" i="32"/>
  <c r="D51" i="32"/>
  <c r="C51" i="32"/>
  <c r="B51" i="32"/>
  <c r="A51" i="32"/>
  <c r="I39" i="32"/>
  <c r="A39" i="32"/>
  <c r="I38" i="32"/>
  <c r="A38" i="32"/>
  <c r="I37" i="32"/>
  <c r="A37" i="32"/>
  <c r="I36" i="32"/>
  <c r="A36" i="32"/>
  <c r="I35" i="32"/>
  <c r="A35" i="32"/>
  <c r="B34" i="32"/>
  <c r="H32" i="32"/>
  <c r="K37" i="32" s="1"/>
  <c r="N14" i="32"/>
  <c r="H14" i="32"/>
  <c r="N13" i="32"/>
  <c r="H13" i="32"/>
  <c r="E242" i="32" s="1"/>
  <c r="N12" i="32"/>
  <c r="H12" i="32"/>
  <c r="N11" i="32"/>
  <c r="H11" i="32"/>
  <c r="E240" i="32" s="1"/>
  <c r="N10" i="32"/>
  <c r="H10" i="32"/>
  <c r="E239" i="32" s="1"/>
  <c r="B175" i="4"/>
  <c r="B136" i="4"/>
  <c r="D252" i="4"/>
  <c r="D253" i="4"/>
  <c r="D254" i="4"/>
  <c r="D255" i="4"/>
  <c r="D256" i="4"/>
  <c r="D257" i="4"/>
  <c r="D258" i="4"/>
  <c r="D259" i="4"/>
  <c r="D260" i="4"/>
  <c r="D261" i="4"/>
  <c r="D262" i="4"/>
  <c r="D263" i="4"/>
  <c r="D66" i="4"/>
  <c r="D67" i="4"/>
  <c r="D68" i="4"/>
  <c r="D69" i="4"/>
  <c r="D70" i="4"/>
  <c r="D71" i="4"/>
  <c r="D72" i="4"/>
  <c r="D73" i="4"/>
  <c r="D74" i="4"/>
  <c r="D75" i="4"/>
  <c r="D76" i="4"/>
  <c r="D65" i="4"/>
  <c r="C71" i="4"/>
  <c r="C72" i="4"/>
  <c r="C73" i="4"/>
  <c r="C74" i="4"/>
  <c r="C75" i="4"/>
  <c r="C76" i="4"/>
  <c r="B71" i="4"/>
  <c r="B72" i="4"/>
  <c r="B73" i="4"/>
  <c r="B74" i="4"/>
  <c r="B75" i="4"/>
  <c r="B76" i="4"/>
  <c r="A66" i="4"/>
  <c r="A67" i="4"/>
  <c r="A68" i="4"/>
  <c r="A69" i="4"/>
  <c r="A70" i="4"/>
  <c r="A71" i="4"/>
  <c r="A72" i="4"/>
  <c r="A73" i="4"/>
  <c r="A74" i="4"/>
  <c r="A75" i="4"/>
  <c r="A76" i="4"/>
  <c r="A65" i="4"/>
  <c r="N48" i="34" l="1"/>
  <c r="O48" i="34"/>
  <c r="O49" i="34"/>
  <c r="M49" i="34"/>
  <c r="N49" i="34"/>
  <c r="P12" i="34"/>
  <c r="B35" i="34" s="1"/>
  <c r="P11" i="34"/>
  <c r="B34" i="34" s="1"/>
  <c r="M48" i="34"/>
  <c r="E229" i="34"/>
  <c r="K35" i="34"/>
  <c r="M35" i="34" s="1"/>
  <c r="K33" i="34"/>
  <c r="M33" i="34" s="1"/>
  <c r="K34" i="34"/>
  <c r="M34" i="34" s="1"/>
  <c r="N47" i="34"/>
  <c r="O47" i="34"/>
  <c r="M47" i="34"/>
  <c r="P10" i="34"/>
  <c r="P12" i="32"/>
  <c r="B37" i="32" s="1"/>
  <c r="M53" i="32"/>
  <c r="M52" i="32"/>
  <c r="P10" i="32"/>
  <c r="B35" i="32" s="1"/>
  <c r="N54" i="32"/>
  <c r="N53" i="32"/>
  <c r="N51" i="32"/>
  <c r="O51" i="32"/>
  <c r="M51" i="32"/>
  <c r="M55" i="32"/>
  <c r="P11" i="32"/>
  <c r="B36" i="32" s="1"/>
  <c r="P14" i="32"/>
  <c r="B39" i="32" s="1"/>
  <c r="E241" i="32"/>
  <c r="M37" i="32"/>
  <c r="O37" i="32" s="1"/>
  <c r="K36" i="32"/>
  <c r="M36" i="32" s="1"/>
  <c r="K38" i="32"/>
  <c r="M38" i="32" s="1"/>
  <c r="K35" i="32"/>
  <c r="M35" i="32" s="1"/>
  <c r="O52" i="32"/>
  <c r="O55" i="32"/>
  <c r="O54" i="32"/>
  <c r="O53" i="32"/>
  <c r="K39" i="32"/>
  <c r="M39" i="32" s="1"/>
  <c r="E243" i="32"/>
  <c r="M54" i="32"/>
  <c r="P13" i="32"/>
  <c r="B38" i="32" s="1"/>
  <c r="N52" i="32"/>
  <c r="N55" i="32"/>
  <c r="A187" i="4"/>
  <c r="G187" i="4" s="1"/>
  <c r="A177" i="4"/>
  <c r="G177" i="4" s="1"/>
  <c r="A178" i="4"/>
  <c r="G178" i="4" s="1"/>
  <c r="A179" i="4"/>
  <c r="G179" i="4" s="1"/>
  <c r="A180" i="4"/>
  <c r="G180" i="4" s="1"/>
  <c r="A181" i="4"/>
  <c r="G181" i="4" s="1"/>
  <c r="A182" i="4"/>
  <c r="G182" i="4" s="1"/>
  <c r="A183" i="4"/>
  <c r="G183" i="4" s="1"/>
  <c r="A184" i="4"/>
  <c r="G184" i="4" s="1"/>
  <c r="A185" i="4"/>
  <c r="G185" i="4" s="1"/>
  <c r="A186" i="4"/>
  <c r="G186" i="4" s="1"/>
  <c r="G188" i="4"/>
  <c r="A176" i="4"/>
  <c r="G176" i="4" s="1"/>
  <c r="A138" i="4"/>
  <c r="G138" i="4" s="1"/>
  <c r="A139" i="4"/>
  <c r="G139" i="4" s="1"/>
  <c r="A140" i="4"/>
  <c r="G140" i="4" s="1"/>
  <c r="A141" i="4"/>
  <c r="G141" i="4" s="1"/>
  <c r="A142" i="4"/>
  <c r="G142" i="4" s="1"/>
  <c r="A143" i="4"/>
  <c r="G143" i="4" s="1"/>
  <c r="A144" i="4"/>
  <c r="G144" i="4" s="1"/>
  <c r="A145" i="4"/>
  <c r="G145" i="4" s="1"/>
  <c r="A146" i="4"/>
  <c r="G146" i="4" s="1"/>
  <c r="A147" i="4"/>
  <c r="G147" i="4" s="1"/>
  <c r="A148" i="4"/>
  <c r="G148" i="4" s="1"/>
  <c r="A137" i="4"/>
  <c r="G137" i="4" s="1"/>
  <c r="H65" i="4"/>
  <c r="I48" i="4"/>
  <c r="I49" i="4"/>
  <c r="I50" i="4"/>
  <c r="I51" i="4"/>
  <c r="I52" i="4"/>
  <c r="I53" i="4"/>
  <c r="A53" i="4"/>
  <c r="A43" i="4"/>
  <c r="A44" i="4"/>
  <c r="A45" i="4"/>
  <c r="A46" i="4"/>
  <c r="A47" i="4"/>
  <c r="A48" i="4"/>
  <c r="A49" i="4"/>
  <c r="A50" i="4"/>
  <c r="A51" i="4"/>
  <c r="A52" i="4"/>
  <c r="A42" i="4"/>
  <c r="N15" i="4"/>
  <c r="N16" i="4"/>
  <c r="N17" i="4"/>
  <c r="N18" i="4"/>
  <c r="N19" i="4"/>
  <c r="N20" i="4"/>
  <c r="H15" i="4"/>
  <c r="E257" i="4" s="1"/>
  <c r="H16" i="4"/>
  <c r="E258" i="4" s="1"/>
  <c r="H17" i="4"/>
  <c r="E259" i="4" s="1"/>
  <c r="H18" i="4"/>
  <c r="E260" i="4" s="1"/>
  <c r="H19" i="4"/>
  <c r="E261" i="4" s="1"/>
  <c r="H20" i="4"/>
  <c r="E262" i="4" s="1"/>
  <c r="I43" i="4"/>
  <c r="I44" i="4"/>
  <c r="I45" i="4"/>
  <c r="I46" i="4"/>
  <c r="I47" i="4"/>
  <c r="I42" i="4"/>
  <c r="Y216" i="4"/>
  <c r="Y215" i="4"/>
  <c r="G193" i="4"/>
  <c r="G192" i="4"/>
  <c r="G191" i="4"/>
  <c r="G190" i="4"/>
  <c r="G189" i="4"/>
  <c r="C70" i="4"/>
  <c r="B70" i="4"/>
  <c r="C69" i="4"/>
  <c r="B69" i="4"/>
  <c r="C68" i="4"/>
  <c r="B68" i="4"/>
  <c r="C67" i="4"/>
  <c r="B67" i="4"/>
  <c r="C66" i="4"/>
  <c r="B66" i="4"/>
  <c r="G65" i="4"/>
  <c r="F65" i="4"/>
  <c r="C65" i="4"/>
  <c r="B65" i="4"/>
  <c r="B41" i="4"/>
  <c r="H39" i="4"/>
  <c r="N21" i="4"/>
  <c r="H21" i="4"/>
  <c r="E263" i="4" s="1"/>
  <c r="N14" i="4"/>
  <c r="H14" i="4"/>
  <c r="E256" i="4" s="1"/>
  <c r="N13" i="4"/>
  <c r="H13" i="4"/>
  <c r="E255" i="4" s="1"/>
  <c r="N12" i="4"/>
  <c r="H12" i="4"/>
  <c r="E254" i="4" s="1"/>
  <c r="N11" i="4"/>
  <c r="H11" i="4"/>
  <c r="E253" i="4" s="1"/>
  <c r="N10" i="4"/>
  <c r="H10" i="4"/>
  <c r="E252" i="4" s="1"/>
  <c r="O35" i="34" l="1"/>
  <c r="B112" i="34" s="1"/>
  <c r="O34" i="34"/>
  <c r="B151" i="34" s="1"/>
  <c r="B152" i="34"/>
  <c r="B33" i="34"/>
  <c r="O33" i="34" s="1"/>
  <c r="P15" i="34"/>
  <c r="P14" i="34"/>
  <c r="O39" i="32"/>
  <c r="B160" i="32" s="1"/>
  <c r="O36" i="32"/>
  <c r="B117" i="32" s="1"/>
  <c r="B158" i="32"/>
  <c r="I241" i="32"/>
  <c r="M241" i="32" s="1"/>
  <c r="B118" i="32"/>
  <c r="O35" i="32"/>
  <c r="O38" i="32"/>
  <c r="P17" i="32"/>
  <c r="P16" i="32"/>
  <c r="O66" i="4"/>
  <c r="O67" i="4"/>
  <c r="O68" i="4"/>
  <c r="O69" i="4"/>
  <c r="O70" i="4"/>
  <c r="O71" i="4"/>
  <c r="O72" i="4"/>
  <c r="O73" i="4"/>
  <c r="O74" i="4"/>
  <c r="O75" i="4"/>
  <c r="O76" i="4"/>
  <c r="O65" i="4"/>
  <c r="N65" i="4"/>
  <c r="N73" i="4"/>
  <c r="N75" i="4"/>
  <c r="N71" i="4"/>
  <c r="N72" i="4"/>
  <c r="N74" i="4"/>
  <c r="N76" i="4"/>
  <c r="M76" i="4"/>
  <c r="M65" i="4"/>
  <c r="M71" i="4"/>
  <c r="M72" i="4"/>
  <c r="M74" i="4"/>
  <c r="M75" i="4"/>
  <c r="M73" i="4"/>
  <c r="K43" i="4"/>
  <c r="M43" i="4" s="1"/>
  <c r="K44" i="4"/>
  <c r="M44" i="4" s="1"/>
  <c r="K45" i="4"/>
  <c r="M45" i="4" s="1"/>
  <c r="K46" i="4"/>
  <c r="M46" i="4" s="1"/>
  <c r="K47" i="4"/>
  <c r="M47" i="4" s="1"/>
  <c r="K48" i="4"/>
  <c r="M48" i="4" s="1"/>
  <c r="K49" i="4"/>
  <c r="M49" i="4" s="1"/>
  <c r="K50" i="4"/>
  <c r="M50" i="4" s="1"/>
  <c r="K51" i="4"/>
  <c r="M51" i="4" s="1"/>
  <c r="K52" i="4"/>
  <c r="M52" i="4" s="1"/>
  <c r="K53" i="4"/>
  <c r="M53" i="4" s="1"/>
  <c r="K42" i="4"/>
  <c r="M42" i="4" s="1"/>
  <c r="P16" i="4"/>
  <c r="B48" i="4" s="1"/>
  <c r="P15" i="4"/>
  <c r="B47" i="4" s="1"/>
  <c r="P19" i="4"/>
  <c r="B51" i="4" s="1"/>
  <c r="P18" i="4"/>
  <c r="B50" i="4" s="1"/>
  <c r="P20" i="4"/>
  <c r="B52" i="4" s="1"/>
  <c r="P17" i="4"/>
  <c r="B49" i="4" s="1"/>
  <c r="P14" i="4"/>
  <c r="M66" i="4"/>
  <c r="M70" i="4"/>
  <c r="P13" i="4"/>
  <c r="M67" i="4"/>
  <c r="P11" i="4"/>
  <c r="N68" i="4"/>
  <c r="P21" i="4"/>
  <c r="N66" i="4"/>
  <c r="N70" i="4"/>
  <c r="N67" i="4"/>
  <c r="M68" i="4"/>
  <c r="P12" i="4"/>
  <c r="M69" i="4"/>
  <c r="N69" i="4"/>
  <c r="P10" i="4"/>
  <c r="I229" i="34" l="1"/>
  <c r="M229" i="34" s="1"/>
  <c r="I228" i="34"/>
  <c r="M228" i="34" s="1"/>
  <c r="B111" i="34"/>
  <c r="P16" i="34"/>
  <c r="P37" i="34"/>
  <c r="B110" i="34"/>
  <c r="B150" i="34"/>
  <c r="P38" i="34"/>
  <c r="I227" i="34"/>
  <c r="M227" i="34" s="1"/>
  <c r="B157" i="32"/>
  <c r="I240" i="32"/>
  <c r="M240" i="32" s="1"/>
  <c r="I243" i="32"/>
  <c r="M243" i="32" s="1"/>
  <c r="B120" i="32"/>
  <c r="P18" i="32"/>
  <c r="B119" i="32"/>
  <c r="B159" i="32"/>
  <c r="I242" i="32"/>
  <c r="M242" i="32" s="1"/>
  <c r="I239" i="32"/>
  <c r="M239" i="32" s="1"/>
  <c r="B116" i="32"/>
  <c r="B156" i="32"/>
  <c r="P42" i="32"/>
  <c r="P41" i="32"/>
  <c r="B44" i="4"/>
  <c r="O44" i="4" s="1"/>
  <c r="B46" i="4"/>
  <c r="O46" i="4" s="1"/>
  <c r="B42" i="4"/>
  <c r="B45" i="4"/>
  <c r="O45" i="4" s="1"/>
  <c r="B53" i="4"/>
  <c r="O53" i="4" s="1"/>
  <c r="I263" i="4" s="1"/>
  <c r="M263" i="4" s="1"/>
  <c r="B43" i="4"/>
  <c r="O43" i="4" s="1"/>
  <c r="O49" i="4"/>
  <c r="I259" i="4" s="1"/>
  <c r="M259" i="4" s="1"/>
  <c r="O48" i="4"/>
  <c r="I258" i="4" s="1"/>
  <c r="M258" i="4" s="1"/>
  <c r="O47" i="4"/>
  <c r="I257" i="4" s="1"/>
  <c r="M257" i="4" s="1"/>
  <c r="O42" i="4"/>
  <c r="O52" i="4"/>
  <c r="I262" i="4" s="1"/>
  <c r="M262" i="4" s="1"/>
  <c r="O51" i="4"/>
  <c r="I261" i="4" s="1"/>
  <c r="M261" i="4" s="1"/>
  <c r="O50" i="4"/>
  <c r="I260" i="4" s="1"/>
  <c r="M260" i="4" s="1"/>
  <c r="P23" i="4"/>
  <c r="P24" i="4"/>
  <c r="B141" i="4" l="1"/>
  <c r="I256" i="4"/>
  <c r="M256" i="4" s="1"/>
  <c r="I254" i="4"/>
  <c r="M254" i="4" s="1"/>
  <c r="B178" i="4"/>
  <c r="B138" i="4"/>
  <c r="I253" i="4"/>
  <c r="M253" i="4" s="1"/>
  <c r="B177" i="4"/>
  <c r="I252" i="4"/>
  <c r="M252" i="4" s="1"/>
  <c r="B176" i="4"/>
  <c r="B140" i="4"/>
  <c r="I255" i="4"/>
  <c r="M255" i="4" s="1"/>
  <c r="P39" i="34"/>
  <c r="Q149" i="34"/>
  <c r="P160" i="34"/>
  <c r="P159" i="34"/>
  <c r="P117" i="34"/>
  <c r="P116" i="34"/>
  <c r="Q109" i="34"/>
  <c r="P43" i="32"/>
  <c r="P166" i="32"/>
  <c r="Q155" i="32"/>
  <c r="P165" i="32"/>
  <c r="Q115" i="32"/>
  <c r="P122" i="32"/>
  <c r="P123" i="32"/>
  <c r="P55" i="4"/>
  <c r="B186" i="4"/>
  <c r="B147" i="4"/>
  <c r="B183" i="4"/>
  <c r="B144" i="4"/>
  <c r="B139" i="4"/>
  <c r="B143" i="4"/>
  <c r="B182" i="4"/>
  <c r="B145" i="4"/>
  <c r="B184" i="4"/>
  <c r="B187" i="4"/>
  <c r="B148" i="4"/>
  <c r="B181" i="4"/>
  <c r="B142" i="4"/>
  <c r="B146" i="4"/>
  <c r="B185" i="4"/>
  <c r="P25" i="4"/>
  <c r="B179" i="4"/>
  <c r="P56" i="4"/>
  <c r="B137" i="4"/>
  <c r="B180" i="4"/>
  <c r="P139" i="4" l="1"/>
  <c r="P181" i="4"/>
  <c r="P180" i="4"/>
  <c r="G190" i="34"/>
  <c r="Z190" i="34" s="1"/>
  <c r="X111" i="34"/>
  <c r="X110" i="34"/>
  <c r="X112" i="34"/>
  <c r="Q110" i="34"/>
  <c r="P114" i="34" s="1"/>
  <c r="AB190" i="34"/>
  <c r="K190" i="34"/>
  <c r="AA190" i="34" s="1"/>
  <c r="P124" i="34"/>
  <c r="O190" i="34" s="1"/>
  <c r="P123" i="34"/>
  <c r="G191" i="34"/>
  <c r="Z191" i="34" s="1"/>
  <c r="Y151" i="34"/>
  <c r="Y150" i="34"/>
  <c r="Y152" i="34"/>
  <c r="Q150" i="34" a="1"/>
  <c r="Q150" i="34" s="1"/>
  <c r="AB191" i="34"/>
  <c r="Q151" i="34"/>
  <c r="P166" i="34"/>
  <c r="O191" i="34" s="1"/>
  <c r="X191" i="34" s="1"/>
  <c r="P165" i="34"/>
  <c r="K191" i="34" s="1"/>
  <c r="AA191" i="34" s="1"/>
  <c r="X117" i="32"/>
  <c r="X120" i="32"/>
  <c r="X118" i="32"/>
  <c r="X119" i="32"/>
  <c r="X116" i="32"/>
  <c r="G202" i="32"/>
  <c r="Z202" i="32" s="1"/>
  <c r="P130" i="32"/>
  <c r="O202" i="32" s="1"/>
  <c r="K202" i="32"/>
  <c r="AA202" i="32" s="1"/>
  <c r="P129" i="32"/>
  <c r="AB202" i="32"/>
  <c r="Q116" i="32"/>
  <c r="P120" i="32" s="1"/>
  <c r="Y159" i="32"/>
  <c r="Y157" i="32"/>
  <c r="G203" i="32"/>
  <c r="Z203" i="32" s="1"/>
  <c r="Y158" i="32"/>
  <c r="Y156" i="32"/>
  <c r="Y160" i="32"/>
  <c r="Q157" i="32"/>
  <c r="Q156" i="32" a="1"/>
  <c r="Q156" i="32" s="1"/>
  <c r="AB203" i="32"/>
  <c r="P172" i="32"/>
  <c r="O203" i="32" s="1"/>
  <c r="X203" i="32" s="1"/>
  <c r="P171" i="32"/>
  <c r="K203" i="32" s="1"/>
  <c r="AA203" i="32" s="1"/>
  <c r="Q136" i="4"/>
  <c r="AB215" i="4" s="1"/>
  <c r="Q175" i="4"/>
  <c r="AB216" i="4" s="1"/>
  <c r="P150" i="4"/>
  <c r="P57" i="4"/>
  <c r="P186" i="4"/>
  <c r="P185" i="4"/>
  <c r="P144" i="4"/>
  <c r="P143" i="4"/>
  <c r="AA149" i="34" l="1"/>
  <c r="W111" i="34"/>
  <c r="W110" i="34"/>
  <c r="W112" i="34"/>
  <c r="X190" i="34"/>
  <c r="G193" i="34"/>
  <c r="P115" i="34"/>
  <c r="P119" i="34" s="1" a="1"/>
  <c r="P119" i="34" s="1"/>
  <c r="Z157" i="32"/>
  <c r="Z158" i="32" s="1"/>
  <c r="Q158" i="32" s="1"/>
  <c r="P163" i="32" s="1"/>
  <c r="X156" i="32" s="1"/>
  <c r="W117" i="32"/>
  <c r="W118" i="32"/>
  <c r="W120" i="32"/>
  <c r="W119" i="32"/>
  <c r="X160" i="32"/>
  <c r="W116" i="32"/>
  <c r="G205" i="32"/>
  <c r="X202" i="32"/>
  <c r="P121" i="32"/>
  <c r="Q177" i="4"/>
  <c r="Q137" i="4"/>
  <c r="P142" i="4" s="1"/>
  <c r="Q176" i="4" a="1"/>
  <c r="Q176" i="4" s="1"/>
  <c r="X138" i="4"/>
  <c r="X139" i="4"/>
  <c r="X142" i="4"/>
  <c r="X145" i="4"/>
  <c r="X146" i="4"/>
  <c r="X147" i="4"/>
  <c r="X148" i="4"/>
  <c r="X137" i="4"/>
  <c r="X140" i="4"/>
  <c r="X141" i="4"/>
  <c r="X143" i="4"/>
  <c r="X144" i="4"/>
  <c r="P151" i="4"/>
  <c r="O215" i="4" s="1"/>
  <c r="X215" i="4" s="1"/>
  <c r="K215" i="4"/>
  <c r="AA215" i="4" s="1"/>
  <c r="G215" i="4"/>
  <c r="Z215" i="4" s="1"/>
  <c r="P192" i="4"/>
  <c r="O216" i="4" s="1"/>
  <c r="P191" i="4"/>
  <c r="K216" i="4" s="1"/>
  <c r="AA216" i="4" s="1"/>
  <c r="G216" i="4"/>
  <c r="Z216" i="4" s="1"/>
  <c r="Y180" i="4"/>
  <c r="Y178" i="4"/>
  <c r="Y186" i="4"/>
  <c r="Y184" i="4"/>
  <c r="Y182" i="4"/>
  <c r="Y176" i="4"/>
  <c r="Y181" i="4"/>
  <c r="Y179" i="4"/>
  <c r="Y183" i="4"/>
  <c r="Y187" i="4"/>
  <c r="Y177" i="4"/>
  <c r="Y185" i="4"/>
  <c r="AA150" i="34" l="1"/>
  <c r="Q152" i="34" s="1"/>
  <c r="P120" i="34"/>
  <c r="N119" i="34"/>
  <c r="Y109" i="34"/>
  <c r="V110" i="34"/>
  <c r="V112" i="34"/>
  <c r="V111" i="34"/>
  <c r="E205" i="34"/>
  <c r="E207" i="34" s="1"/>
  <c r="G196" i="34"/>
  <c r="E204" i="34" s="1"/>
  <c r="G194" i="34"/>
  <c r="G195" i="34"/>
  <c r="E203" i="34" s="1"/>
  <c r="P164" i="32"/>
  <c r="W158" i="32" s="1"/>
  <c r="X158" i="32"/>
  <c r="X157" i="32"/>
  <c r="X159" i="32"/>
  <c r="V117" i="32"/>
  <c r="V118" i="32"/>
  <c r="V119" i="32"/>
  <c r="V120" i="32"/>
  <c r="V116" i="32"/>
  <c r="G207" i="32"/>
  <c r="E215" i="32" s="1"/>
  <c r="G206" i="32"/>
  <c r="E217" i="32"/>
  <c r="E219" i="32" s="1"/>
  <c r="G208" i="32"/>
  <c r="E216" i="32" s="1"/>
  <c r="P125" i="32" a="1"/>
  <c r="P125" i="32" s="1"/>
  <c r="X216" i="4"/>
  <c r="G218" i="4"/>
  <c r="Z177" i="4"/>
  <c r="Z178" i="4" s="1"/>
  <c r="Q178" i="4" s="1"/>
  <c r="P184" i="4" s="1"/>
  <c r="W179" i="4" s="1"/>
  <c r="P141" i="4"/>
  <c r="W148" i="4" s="1"/>
  <c r="V148" i="4"/>
  <c r="V146" i="4"/>
  <c r="V144" i="4"/>
  <c r="V142" i="4"/>
  <c r="V140" i="4"/>
  <c r="V138" i="4"/>
  <c r="V143" i="4"/>
  <c r="V141" i="4"/>
  <c r="V139" i="4"/>
  <c r="V147" i="4"/>
  <c r="V137" i="4"/>
  <c r="V145" i="4"/>
  <c r="W160" i="32" l="1"/>
  <c r="W157" i="32"/>
  <c r="W159" i="32"/>
  <c r="W156" i="32"/>
  <c r="P157" i="34"/>
  <c r="P158" i="34"/>
  <c r="W152" i="34" s="1"/>
  <c r="E210" i="34"/>
  <c r="E218" i="34" s="1"/>
  <c r="I219" i="34"/>
  <c r="M235" i="34"/>
  <c r="M236" i="34" s="1"/>
  <c r="M243" i="34" s="1"/>
  <c r="M240" i="34" s="1"/>
  <c r="M241" i="34" s="1"/>
  <c r="S239" i="34" s="1"/>
  <c r="I218" i="34"/>
  <c r="O211" i="34"/>
  <c r="E211" i="34"/>
  <c r="P168" i="32" a="1"/>
  <c r="P168" i="32" s="1"/>
  <c r="Z155" i="32" s="1"/>
  <c r="N168" i="32" s="1"/>
  <c r="N125" i="32"/>
  <c r="Y115" i="32"/>
  <c r="P126" i="32"/>
  <c r="I230" i="32"/>
  <c r="E222" i="32"/>
  <c r="E230" i="32" s="1"/>
  <c r="M249" i="32"/>
  <c r="M250" i="32" s="1"/>
  <c r="M257" i="32" s="1"/>
  <c r="M254" i="32" s="1"/>
  <c r="M255" i="32" s="1"/>
  <c r="S253" i="32" s="1"/>
  <c r="E223" i="32"/>
  <c r="O223" i="32"/>
  <c r="I231" i="32"/>
  <c r="E230" i="4"/>
  <c r="E232" i="4" s="1"/>
  <c r="G219" i="4"/>
  <c r="W139" i="4"/>
  <c r="W187" i="4"/>
  <c r="W141" i="4"/>
  <c r="W177" i="4"/>
  <c r="W146" i="4"/>
  <c r="W183" i="4"/>
  <c r="W145" i="4"/>
  <c r="W185" i="4"/>
  <c r="W137" i="4"/>
  <c r="W176" i="4"/>
  <c r="W147" i="4"/>
  <c r="W182" i="4"/>
  <c r="W138" i="4"/>
  <c r="W184" i="4"/>
  <c r="W140" i="4"/>
  <c r="W186" i="4"/>
  <c r="W142" i="4"/>
  <c r="W178" i="4"/>
  <c r="P146" i="4" a="1"/>
  <c r="P146" i="4" s="1"/>
  <c r="Y136" i="4" s="1"/>
  <c r="W144" i="4"/>
  <c r="W180" i="4"/>
  <c r="W143" i="4"/>
  <c r="W181" i="4"/>
  <c r="P183" i="4"/>
  <c r="X181" i="4" s="1"/>
  <c r="G221" i="4"/>
  <c r="E229" i="4" s="1"/>
  <c r="G220" i="4"/>
  <c r="E228" i="4" s="1"/>
  <c r="P169" i="32" l="1"/>
  <c r="W151" i="34"/>
  <c r="W150" i="34"/>
  <c r="P162" i="34" a="1"/>
  <c r="P162" i="34" s="1"/>
  <c r="X152" i="34"/>
  <c r="X150" i="34"/>
  <c r="X151" i="34"/>
  <c r="M218" i="34"/>
  <c r="E219" i="34"/>
  <c r="M219" i="34" s="1"/>
  <c r="O210" i="34"/>
  <c r="O212" i="34" s="1"/>
  <c r="M230" i="32"/>
  <c r="O222" i="32"/>
  <c r="O224" i="32" s="1"/>
  <c r="E231" i="32"/>
  <c r="M231" i="32" s="1"/>
  <c r="P188" i="4" a="1"/>
  <c r="P188" i="4" s="1"/>
  <c r="Z175" i="4" s="1"/>
  <c r="X187" i="4"/>
  <c r="X176" i="4"/>
  <c r="X185" i="4"/>
  <c r="X178" i="4"/>
  <c r="X186" i="4"/>
  <c r="X184" i="4"/>
  <c r="N146" i="4"/>
  <c r="X180" i="4"/>
  <c r="X182" i="4"/>
  <c r="X177" i="4"/>
  <c r="X179" i="4"/>
  <c r="P147" i="4"/>
  <c r="X183" i="4"/>
  <c r="I244" i="4"/>
  <c r="I243" i="4"/>
  <c r="O236" i="4"/>
  <c r="E235" i="4"/>
  <c r="M269" i="4"/>
  <c r="M270" i="4" s="1"/>
  <c r="M277" i="4" s="1"/>
  <c r="M274" i="4" s="1"/>
  <c r="M275" i="4" s="1"/>
  <c r="S273" i="4" s="1"/>
  <c r="E236" i="4"/>
  <c r="P163" i="34" l="1"/>
  <c r="N162" i="34"/>
  <c r="Z149" i="34"/>
  <c r="P189" i="4"/>
  <c r="N188" i="4"/>
  <c r="E243" i="4"/>
  <c r="E244" i="4"/>
  <c r="O235" i="4"/>
  <c r="O237" i="4" s="1"/>
  <c r="M244" i="4" l="1"/>
  <c r="M243"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<sst xmlns="http://schemas.openxmlformats.org/spreadsheetml/2006/main" count="458" uniqueCount="91">
  <si>
    <t>Fator de oferta aplicável</t>
  </si>
  <si>
    <t>Fator</t>
  </si>
  <si>
    <t>Negociação concluída</t>
  </si>
  <si>
    <t>Item</t>
  </si>
  <si>
    <t>Área</t>
  </si>
  <si>
    <t>Fator de homogeneização</t>
  </si>
  <si>
    <t>HOMOGENEIZAÇÃO</t>
  </si>
  <si>
    <t>Bem avaliando</t>
  </si>
  <si>
    <t>Fatores</t>
  </si>
  <si>
    <t>Coeficiente de variação</t>
  </si>
  <si>
    <t>Média</t>
  </si>
  <si>
    <t>Desvio-padrão</t>
  </si>
  <si>
    <t>Limite inferior</t>
  </si>
  <si>
    <t>Limite superior</t>
  </si>
  <si>
    <t>Valor mínimo</t>
  </si>
  <si>
    <t>Valor máximo</t>
  </si>
  <si>
    <t>Desvio padrão</t>
  </si>
  <si>
    <t>Saneamento</t>
  </si>
  <si>
    <t>Excluir item</t>
  </si>
  <si>
    <t>SANEAMENTO (CRITÉRIO DE CHAUVENET)</t>
  </si>
  <si>
    <t>Valor crítico</t>
  </si>
  <si>
    <t>SANEAMENTO (CRITÉRIO DE ARLEY)</t>
  </si>
  <si>
    <t>Nível de significância</t>
  </si>
  <si>
    <t>Graus de liberdade</t>
  </si>
  <si>
    <t>Modo</t>
  </si>
  <si>
    <t>Critério de Chauvenet</t>
  </si>
  <si>
    <t>Critério de Arley</t>
  </si>
  <si>
    <t>Menor coeficiente de variação</t>
  </si>
  <si>
    <t>Procedimento</t>
  </si>
  <si>
    <t>Média a ser aplicada</t>
  </si>
  <si>
    <t>Intervalo de confiança</t>
  </si>
  <si>
    <t>Desvio-padrão a ser aplicado</t>
  </si>
  <si>
    <t>Amplitude</t>
  </si>
  <si>
    <t>Grau de precisao</t>
  </si>
  <si>
    <t>Limites</t>
  </si>
  <si>
    <t>Inferior</t>
  </si>
  <si>
    <t>Superior</t>
  </si>
  <si>
    <t>Avaliação</t>
  </si>
  <si>
    <t>Arredondamento</t>
  </si>
  <si>
    <t>Casas decimais</t>
  </si>
  <si>
    <t>Valor (arredondamento)</t>
  </si>
  <si>
    <t>Percentual (arredondamento)</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</si>
  <si>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</si>
  <si>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</si>
  <si>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</si>
  <si>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</si>
  <si>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Intervalo de valores admissíveis</t>
  </si>
  <si>
    <t>Situação no mercado</t>
  </si>
  <si>
    <t>Dados efetivamente utilizados</t>
  </si>
  <si>
    <t>AMOSTRA. CONJUNTO DE DADOS COLETADOS NO MERCADO.</t>
  </si>
  <si>
    <t>Elemento comparativo</t>
  </si>
  <si>
    <t>Imóvel à venda</t>
  </si>
  <si>
    <t>Fator de capacidade de uso do solo</t>
  </si>
  <si>
    <t>Classe I</t>
  </si>
  <si>
    <t>Fator de condiçoes de acesso</t>
  </si>
  <si>
    <t>Ótima</t>
  </si>
  <si>
    <t>Fator do imóvel padrão</t>
  </si>
  <si>
    <t>Característica do imóvel padrão</t>
  </si>
  <si>
    <t>Somatório de fatores</t>
  </si>
  <si>
    <t>Somatório de fatores do bem avaliando</t>
  </si>
  <si>
    <t>O intervalo de confiança é o intervalo de valores dentro do qual está contido o parâmetro populacional com determinada confiança. Os limites da amplitude do intervalo de confiança são aqueles previstos no item 9.3.8, tabela 6 da NBR 14653-3:2019 (Avaliação de bens. Parte 3: Imóveis rurais e seus componentes).</t>
  </si>
  <si>
    <t>INTERVALO DE CONFIANÇA, GRAU DE PRECISÃO, GRAU DE PREDIÇÃO</t>
  </si>
  <si>
    <t>Avaliação do bem</t>
  </si>
  <si>
    <t>Itens</t>
  </si>
  <si>
    <t>Analise dos fatores dos elementos da amostra contra os fatores do bem avaliando (item B.1.2.1 da NBR 14653-3:2019. Avaliação de bens. Parte 3: Imóveis rurais e seus componentes), no intervalo [+0,50;+2,00]</t>
  </si>
  <si>
    <t>Amostra</t>
  </si>
  <si>
    <t>Resultado</t>
  </si>
  <si>
    <t>Analise do preço homogeneizado contra os preços observados (item B.1.2.2 da NBR 14653-3:2019. Avaliação de bens. Parte 3: Imóveis rurais e seus componentes), no intervalo [+0,50;+2,00]</t>
  </si>
  <si>
    <t>[+0,5;+2,00]</t>
  </si>
  <si>
    <t>Intervalo de valores admissíveis para o valor de mercado</t>
  </si>
  <si>
    <t>Área do bem avaliando em hectares</t>
  </si>
  <si>
    <t>Campo de arbítrio [-15%;+15%]</t>
  </si>
  <si>
    <r>
      <t>F</t>
    </r>
    <r>
      <rPr>
        <vertAlign val="subscript"/>
        <sz val="11"/>
        <rFont val="Aptos"/>
        <family val="2"/>
      </rPr>
      <t>solo</t>
    </r>
  </si>
  <si>
    <r>
      <t>F</t>
    </r>
    <r>
      <rPr>
        <vertAlign val="subscript"/>
        <sz val="11"/>
        <rFont val="Aptos"/>
        <family val="2"/>
      </rPr>
      <t>acesso</t>
    </r>
  </si>
  <si>
    <r>
      <t>F</t>
    </r>
    <r>
      <rPr>
        <vertAlign val="subscript"/>
        <sz val="11"/>
        <rFont val="Aptos"/>
        <family val="2"/>
      </rPr>
      <t>hidrico</t>
    </r>
  </si>
  <si>
    <r>
      <t>t</t>
    </r>
    <r>
      <rPr>
        <vertAlign val="subscript"/>
        <sz val="11"/>
        <rFont val="Aptos"/>
        <family val="2"/>
      </rPr>
      <t>crítico</t>
    </r>
  </si>
  <si>
    <t>Demonstração visual da situação dos fatores dos elementos da amostra antes da homogeneização confrontados com os fatores do  imóvel paradigma</t>
  </si>
  <si>
    <t>Demonstração do ajuste dos fatores dos elmentos da amostra ao fator do paradigma.</t>
  </si>
  <si>
    <t>Demonstração visual do ajuste dos fatores dos elementos da amostra ao fator do bem avaliando</t>
  </si>
  <si>
    <t>Preço unitário homogeneizado</t>
  </si>
  <si>
    <t>Preço unitário (R$/hectare)</t>
  </si>
  <si>
    <t>Fsolo</t>
  </si>
  <si>
    <t>Facesso</t>
  </si>
  <si>
    <t>Fhidrico</t>
  </si>
  <si>
    <t>Preço do imóvel (terra nua)</t>
  </si>
  <si>
    <t>Preço unitário da terra nua</t>
  </si>
  <si>
    <t>Preço unitário da terra nua ajustado ao fator de oferta</t>
  </si>
  <si>
    <t>Preço  unitário da terra nua homogeneizado</t>
  </si>
  <si>
    <t>Preço unitário observado no mercado</t>
  </si>
  <si>
    <t>AVALIAÇÃO DA TERRA NUA DO IMÓVEL RURAL PELO MÉTODO COMPARATIVO DIRETO DE DADOS DE MERCADO</t>
  </si>
  <si>
    <t>ELEMENTOS DA AMOSTRA, VALOR UNITÁRIO E AJUSTE PRÉVIO AO FATOR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</si>
</sst>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Red]\-#,##0.00\ "/>
    <numFmt numFmtId="165" formatCode="0.000000"/>
    <numFmt numFmtId="166" formatCode="0.0000"/>
    <numFmt numFmtId="167" formatCode="_-[$R$-416]\ * #,##0.00_-;\-[$R$-416]\ * #,##0.00_-;_-[$R$-416]\ * &quot;-&quot;??_-;_-@_-"/>
    <numFmt numFmtId="168" formatCode="#,##0.00_ ;\-#,##0.00\ "/>
    <numFmt numFmtId="169" formatCode="#,##0_ ;\-#,##0\ "/>
  </numFmts>
  <fonts count="12" x14ac:knownFonts="1">
    <font>
      <sz val="11"/>
      <color theme="1"/>
      <name val="Aptos"/>
      <family val="2"/>
    </font>
    <font>
      <sz val="11"/>
      <color theme="1"/>
      <name val="Aptos"/>
      <family val="2"/>
    </font>
    <font>
      <sz val="11"/>
      <name val="Aptos"/>
      <family val="2"/>
    </font>
    <font>
      <b/>
      <sz val="11"/>
      <color theme="1"/>
      <name val="Aptos"/>
      <family val="2"/>
    </font>
    <font>
      <sz val="11"/>
      <color theme="0"/>
      <name val="Aptos"/>
      <family val="2"/>
    </font>
    <font>
      <b/>
      <sz val="11"/>
      <name val="Aptos"/>
      <family val="2"/>
    </font>
    <font>
      <i/>
      <sz val="11"/>
      <name val="Aptos"/>
      <family val="2"/>
    </font>
    <font>
      <vertAlign val="subscript"/>
      <sz val="11"/>
      <name val="Aptos"/>
      <family val="2"/>
    </font>
    <font>
      <sz val="10"/>
      <name val="Aptos"/>
      <family val="2"/>
    </font>
    <font>
      <b/>
      <sz val="11"/>
      <color theme="0"/>
      <name val="Aptos"/>
      <family val="2"/>
    </font>
    <font>
      <sz val="11"/>
      <color rgb="FF000000"/>
      <name val="Aptos"/>
      <family val="2"/>
    </font>
    <font>
      <i/>
      <sz val="11"/>
      <color theme="1"/>
      <name val="Aptos"/>
      <family val="2"/>
    </font>
  </fonts>
  <fills count="63">
    <fill>
      <patternFill patternType="none"/>
    </fill>
    <fill>
      <patternFill patternType="gray125"/>
    </fill>
    <fill>
      <patternFill patternType="solid">
        <fgColor theme="0" tint="-4.9989318521683403E-2"/>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FFCD00"/>
        <bgColor indexed="64"/>
      </patternFill>
    </fill>
    <fill>
      <patternFill patternType="solid">
        <fgColor rgb="FFFBDB65"/>
        <bgColor indexed="64"/>
      </patternFill>
    </fill>
    <fill>
      <patternFill patternType="solid">
        <fgColor rgb="FF01426A"/>
        <bgColor indexed="64"/>
      </patternFill>
    </fill>
    <fill>
      <patternFill patternType="solid">
        <fgColor rgb="FF0067A0"/>
        <bgColor indexed="64"/>
      </patternFill>
    </fill>
    <fill>
      <patternFill patternType="solid">
        <fgColor rgb="FF007B5F"/>
        <bgColor indexed="64"/>
      </patternFill>
    </fill>
    <fill>
      <patternFill patternType="solid">
        <fgColor rgb="FF00B388"/>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242721"/>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
      <patternFill patternType="solid">
        <fgColor theme="0"/>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67">
    <xf numFmtId="168"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4" fillId="3" borderId="0">
      <protection hidden="1"/>
    </xf>
    <xf numFmtId="168" fontId="1" fillId="4" borderId="0" applyBorder="0" applyProtection="0">
      <alignment vertical="center"/>
    </xf>
    <xf numFmtId="164" fontId="4" fillId="5" borderId="0">
      <alignment horizontal="justify" vertical="center" wrapText="1"/>
      <protection hidden="1"/>
    </xf>
    <xf numFmtId="164" fontId="4" fillId="6" borderId="0">
      <alignment horizontal="justify" vertical="center" wrapText="1"/>
      <protection hidden="1"/>
    </xf>
    <xf numFmtId="164" fontId="4" fillId="7" borderId="0">
      <alignment horizontal="justify" vertical="center" wrapText="1"/>
      <protection locked="0" hidden="1"/>
    </xf>
    <xf numFmtId="168" fontId="2" fillId="8" borderId="0">
      <alignment horizontal="left" vertical="center"/>
      <protection locked="0" hidden="1"/>
    </xf>
    <xf numFmtId="168" fontId="2" fillId="9" borderId="0">
      <alignment horizontal="center" vertical="center" wrapText="1"/>
      <protection hidden="1"/>
    </xf>
    <xf numFmtId="168" fontId="4" fillId="10" borderId="0">
      <alignment vertical="center"/>
      <protection hidden="1"/>
    </xf>
    <xf numFmtId="168" fontId="4" fillId="11" borderId="0">
      <alignment vertical="center"/>
      <protection hidden="1"/>
    </xf>
    <xf numFmtId="168" fontId="4" fillId="12" borderId="0">
      <alignment vertical="center"/>
      <protection hidden="1"/>
    </xf>
    <xf numFmtId="168" fontId="4" fillId="13" borderId="0">
      <alignment vertical="center"/>
      <protection hidden="1"/>
    </xf>
    <xf numFmtId="168" fontId="2" fillId="14" borderId="0">
      <alignment horizontal="center" vertical="center"/>
      <protection hidden="1"/>
    </xf>
    <xf numFmtId="168" fontId="10" fillId="15" borderId="2">
      <alignment horizontal="justify" vertical="center" wrapText="1"/>
      <protection hidden="1"/>
    </xf>
    <xf numFmtId="164" fontId="2" fillId="16" borderId="0">
      <alignment horizontal="justify" vertical="center" wrapText="1"/>
      <protection hidden="1"/>
    </xf>
    <xf numFmtId="164" fontId="2" fillId="17" borderId="0">
      <alignment horizontal="justify" vertical="center" wrapText="1"/>
      <protection hidden="1"/>
    </xf>
    <xf numFmtId="164" fontId="2" fillId="18" borderId="0">
      <alignment horizontal="justify" vertical="center" wrapText="1"/>
      <protection locked="0" hidden="1"/>
    </xf>
    <xf numFmtId="168" fontId="2" fillId="19" borderId="0">
      <alignment horizontal="left" vertical="center"/>
      <protection locked="0" hidden="1"/>
    </xf>
    <xf numFmtId="168" fontId="2" fillId="20" borderId="0">
      <alignment horizontal="center" vertical="center" wrapText="1"/>
      <protection locked="0" hidden="1"/>
    </xf>
    <xf numFmtId="168" fontId="9" fillId="21" borderId="0">
      <alignment horizontal="center" vertical="center"/>
      <protection hidden="1"/>
    </xf>
    <xf numFmtId="164" fontId="4" fillId="22" borderId="0">
      <alignment horizontal="justify" vertical="center" wrapText="1"/>
      <protection hidden="1"/>
    </xf>
    <xf numFmtId="164" fontId="4" fillId="23" borderId="0">
      <alignment horizontal="justify" vertical="center" wrapText="1"/>
      <protection locked="0" hidden="1"/>
    </xf>
    <xf numFmtId="164" fontId="4" fillId="24" borderId="0">
      <alignment horizontal="justify" vertical="center" wrapText="1"/>
      <protection hidden="1"/>
    </xf>
    <xf numFmtId="168" fontId="2" fillId="25" borderId="0">
      <alignment horizontal="left" vertical="center"/>
      <protection locked="0" hidden="1"/>
    </xf>
    <xf numFmtId="168" fontId="2" fillId="26" borderId="0">
      <alignment horizontal="left" vertical="center" wrapText="1"/>
      <protection locked="0" hidden="1"/>
    </xf>
    <xf numFmtId="168" fontId="4" fillId="10" borderId="0">
      <alignment horizontal="justify" vertical="center" wrapText="1"/>
      <protection hidden="1"/>
    </xf>
    <xf numFmtId="168" fontId="4" fillId="11" borderId="0">
      <alignment horizontal="justify" vertical="center" wrapText="1"/>
      <protection locked="0" hidden="1"/>
    </xf>
    <xf numFmtId="168" fontId="4" fillId="12" borderId="0">
      <alignment horizontal="justify" vertical="center" wrapText="1"/>
      <protection hidden="1"/>
    </xf>
    <xf numFmtId="168" fontId="4" fillId="13" borderId="0">
      <alignment horizontal="left" vertical="center"/>
      <protection hidden="1"/>
    </xf>
    <xf numFmtId="168" fontId="2" fillId="14" borderId="0">
      <alignment horizontal="center" vertical="center" wrapText="1"/>
      <protection locked="0" hidden="1"/>
    </xf>
    <xf numFmtId="164" fontId="4" fillId="27" borderId="0">
      <alignment horizontal="justify" vertical="center"/>
      <protection hidden="1"/>
    </xf>
    <xf numFmtId="168" fontId="2" fillId="28" borderId="0">
      <alignment horizontal="justify" vertical="center" wrapText="1"/>
      <protection hidden="1"/>
    </xf>
    <xf numFmtId="168" fontId="2" fillId="29" borderId="0">
      <alignment horizontal="justify" vertical="center" wrapText="1"/>
      <protection hidden="1"/>
    </xf>
    <xf numFmtId="168" fontId="4" fillId="30" borderId="0">
      <alignment horizontal="justify" vertical="center" wrapText="1"/>
      <protection hidden="1"/>
    </xf>
    <xf numFmtId="168" fontId="4" fillId="31" borderId="0">
      <alignment horizontal="justify" vertical="center" wrapText="1"/>
      <protection hidden="1"/>
    </xf>
    <xf numFmtId="168" fontId="4" fillId="32" borderId="0">
      <alignment horizontal="justify" vertical="center" wrapText="1"/>
      <protection hidden="1"/>
    </xf>
    <xf numFmtId="168" fontId="4" fillId="33" borderId="0">
      <alignment horizontal="justify" vertical="center" wrapText="1"/>
      <protection hidden="1"/>
    </xf>
    <xf numFmtId="164" fontId="4" fillId="34" borderId="0">
      <alignment horizontal="justify" vertical="center" wrapText="1"/>
      <protection hidden="1"/>
    </xf>
    <xf numFmtId="164" fontId="4" fillId="35" borderId="0">
      <alignment horizontal="justify" vertical="center" wrapText="1"/>
      <protection hidden="1"/>
    </xf>
    <xf numFmtId="164" fontId="4" fillId="36" borderId="0">
      <alignment horizontal="justify" vertical="center" wrapText="1"/>
      <protection locked="0" hidden="1"/>
    </xf>
    <xf numFmtId="168" fontId="2" fillId="37" borderId="0">
      <alignment horizontal="left" vertical="center"/>
      <protection locked="0" hidden="1"/>
    </xf>
    <xf numFmtId="168" fontId="2" fillId="38" borderId="0">
      <alignment horizontal="left" vertical="center" wrapText="1"/>
      <protection locked="0" hidden="1"/>
    </xf>
    <xf numFmtId="168" fontId="4" fillId="39" borderId="0">
      <alignment horizontal="justify" vertical="center" wrapText="1"/>
      <protection hidden="1"/>
    </xf>
    <xf numFmtId="168" fontId="4" fillId="40" borderId="0">
      <alignment horizontal="justify" vertical="center" wrapText="1"/>
      <protection hidden="1"/>
    </xf>
    <xf numFmtId="168" fontId="4" fillId="41" borderId="0">
      <alignment horizontal="justify" vertical="center" wrapText="1"/>
      <protection hidden="1"/>
    </xf>
    <xf numFmtId="168" fontId="4" fillId="42" borderId="0">
      <alignment horizontal="justify" vertical="center" wrapText="1"/>
      <protection hidden="1"/>
    </xf>
    <xf numFmtId="168" fontId="2" fillId="43" borderId="0">
      <alignment horizontal="justify" vertical="center"/>
      <protection hidden="1"/>
    </xf>
    <xf numFmtId="168" fontId="2" fillId="44" borderId="0">
      <alignment horizontal="center" vertical="center" wrapText="1"/>
      <protection hidden="1"/>
    </xf>
    <xf numFmtId="168" fontId="2" fillId="45" borderId="0">
      <alignment horizontal="center" vertical="center" wrapText="1"/>
      <protection hidden="1"/>
    </xf>
    <xf numFmtId="164" fontId="4" fillId="46" borderId="0">
      <alignment horizontal="justify" vertical="center" wrapText="1"/>
      <protection hidden="1"/>
    </xf>
    <xf numFmtId="164" fontId="4" fillId="47" borderId="0">
      <alignment horizontal="justify" vertical="center" wrapText="1"/>
      <protection locked="0" hidden="1"/>
    </xf>
    <xf numFmtId="164" fontId="4" fillId="48" borderId="0">
      <alignment horizontal="justify" vertical="center" wrapText="1"/>
      <protection hidden="1"/>
    </xf>
    <xf numFmtId="168" fontId="1" fillId="49" borderId="0">
      <alignment horizontal="left" vertical="center"/>
      <protection locked="0" hidden="1"/>
    </xf>
    <xf numFmtId="168" fontId="2" fillId="50" borderId="0">
      <alignment horizontal="left" vertical="center" wrapText="1"/>
      <protection locked="0" hidden="1"/>
    </xf>
    <xf numFmtId="168" fontId="4" fillId="51" borderId="0">
      <alignment horizontal="justify" vertical="center" wrapText="1"/>
      <protection hidden="1"/>
    </xf>
    <xf numFmtId="168" fontId="4" fillId="52" borderId="0">
      <alignment horizontal="justify" vertical="center" wrapText="1"/>
      <protection hidden="1"/>
    </xf>
    <xf numFmtId="168" fontId="4" fillId="53" borderId="0">
      <alignment horizontal="justify" vertical="center" wrapText="1"/>
      <protection hidden="1"/>
    </xf>
    <xf numFmtId="168" fontId="4" fillId="54" borderId="0">
      <alignment horizontal="justify" vertical="center"/>
      <protection hidden="1"/>
    </xf>
    <xf numFmtId="168" fontId="4" fillId="55" borderId="0">
      <alignment horizontal="center" vertical="center" wrapText="1"/>
      <protection hidden="1"/>
    </xf>
    <xf numFmtId="168" fontId="4" fillId="56" borderId="0">
      <alignment horizontal="justify" vertical="center" wrapText="1"/>
      <protection hidden="1"/>
    </xf>
    <xf numFmtId="168" fontId="4" fillId="57" borderId="0">
      <alignment horizontal="justify" vertical="center" wrapText="1"/>
      <protection hidden="1"/>
    </xf>
    <xf numFmtId="168" fontId="4" fillId="58" borderId="0">
      <alignment horizontal="justify" vertical="center" wrapText="1"/>
      <protection hidden="1"/>
    </xf>
    <xf numFmtId="168" fontId="4" fillId="59" borderId="0">
      <alignment horizontal="justify" vertical="center" wrapText="1"/>
      <protection hidden="1"/>
    </xf>
    <xf numFmtId="168" fontId="2" fillId="60" borderId="0">
      <alignment horizontal="justify" vertical="center"/>
      <protection hidden="1"/>
    </xf>
    <xf numFmtId="168" fontId="2" fillId="61" borderId="0">
      <alignment horizontal="center" vertical="center" wrapText="1"/>
      <protection hidden="1"/>
    </xf>
  </cellStyleXfs>
  <cellXfs count="94">
    <xf numFmtId="168" fontId="0" fillId="0" borderId="0" xfId="0">
      <alignment vertical="center"/>
      <protection hidden="1"/>
    </xf>
    <xf numFmtId="168" fontId="4" fillId="62" borderId="0" xfId="0" applyFont="1" applyFill="1" applyAlignment="1">
      <alignment vertical="center" wrapText="1"/>
      <protection hidden="1"/>
    </xf>
    <xf numFmtId="4" fontId="4" fillId="62" borderId="0" xfId="0" applyNumberFormat="1" applyFont="1" applyFill="1" applyAlignment="1">
      <alignment vertical="center" wrapText="1"/>
      <protection hidden="1"/>
    </xf>
    <xf numFmtId="168" fontId="6" fillId="62" borderId="0" xfId="0" applyFont="1" applyFill="1" applyAlignment="1">
      <alignment horizontal="center" vertical="center" wrapText="1"/>
      <protection hidden="1"/>
    </xf>
    <xf numFmtId="168" fontId="2" fillId="62" borderId="3" xfId="0" applyFont="1" applyFill="1" applyBorder="1" applyAlignment="1">
      <alignment vertical="center" wrapText="1"/>
      <protection hidden="1"/>
    </xf>
    <xf numFmtId="2" fontId="2" fillId="62" borderId="3" xfId="0" applyNumberFormat="1" applyFont="1" applyFill="1" applyBorder="1" applyAlignment="1">
      <alignment vertical="center" wrapText="1"/>
      <protection hidden="1"/>
    </xf>
    <xf numFmtId="164" fontId="4" fillId="62" borderId="0" xfId="0" applyNumberFormat="1" applyFont="1" applyFill="1" applyAlignment="1">
      <alignment vertical="center" wrapText="1"/>
      <protection hidden="1"/>
    </xf>
    <xf numFmtId="10" fontId="4" fillId="62" borderId="0" xfId="0" applyNumberFormat="1" applyFont="1" applyFill="1" applyAlignment="1">
      <alignment vertical="center" wrapText="1"/>
      <protection hidden="1"/>
    </xf>
    <xf numFmtId="3" fontId="4" fillId="62" borderId="0" xfId="0" applyNumberFormat="1" applyFont="1" applyFill="1" applyAlignment="1">
      <alignment vertical="center" wrapText="1"/>
      <protection hidden="1"/>
    </xf>
    <xf numFmtId="168" fontId="2" fillId="0" borderId="0" xfId="0" applyFont="1" applyAlignment="1" applyProtection="1">
      <alignment vertical="center" wrapText="1"/>
      <protection locked="0"/>
    </xf>
    <xf numFmtId="169" fontId="2" fillId="0" borderId="2" xfId="0" applyNumberFormat="1" applyFont="1" applyBorder="1" applyAlignment="1" applyProtection="1">
      <alignment vertical="center" wrapText="1"/>
      <protection locked="0"/>
    </xf>
    <xf numFmtId="168" fontId="8" fillId="45" borderId="0" xfId="50" applyFont="1" applyProtection="1">
      <alignment horizontal="center" vertical="center" wrapText="1"/>
      <protection locked="0"/>
    </xf>
    <xf numFmtId="164" fontId="2" fillId="2" borderId="4" xfId="0" applyNumberFormat="1" applyFont="1" applyFill="1" applyBorder="1" applyAlignment="1" applyProtection="1">
      <alignment vertical="center" wrapText="1"/>
      <protection locked="0"/>
    </xf>
    <xf numFmtId="164" fontId="2" fillId="0" borderId="4" xfId="0" applyNumberFormat="1" applyFont="1" applyBorder="1" applyAlignment="1" applyProtection="1">
      <alignment vertical="center" wrapText="1"/>
      <protection locked="0"/>
    </xf>
    <xf numFmtId="169" fontId="2" fillId="0" borderId="2" xfId="0" applyNumberFormat="1" applyFont="1" applyBorder="1" applyAlignment="1" applyProtection="1">
      <alignment horizontal="center" vertical="center" wrapText="1"/>
      <protection locked="0"/>
    </xf>
    <xf numFmtId="168" fontId="2" fillId="0" borderId="2" xfId="0" applyFont="1" applyBorder="1" applyProtection="1">
      <alignment vertical="center"/>
      <protection locked="0"/>
    </xf>
    <xf numFmtId="9" fontId="2" fillId="0" borderId="0" xfId="2" applyFont="1" applyAlignment="1" applyProtection="1">
      <alignment vertical="center" wrapText="1"/>
      <protection locked="0"/>
    </xf>
    <xf numFmtId="164" fontId="2" fillId="0" borderId="0" xfId="0" applyNumberFormat="1" applyFont="1" applyAlignment="1" applyProtection="1">
      <alignment vertical="center" wrapText="1"/>
      <protection locked="0"/>
    </xf>
    <xf numFmtId="9" fontId="2" fillId="0" borderId="0" xfId="0" applyNumberFormat="1" applyFont="1" applyAlignment="1" applyProtection="1">
      <alignment vertical="center" wrapText="1"/>
      <protection locked="0"/>
    </xf>
    <xf numFmtId="43" fontId="2" fillId="0" borderId="0" xfId="1" applyFont="1" applyAlignment="1" applyProtection="1">
      <alignment vertical="center" wrapText="1"/>
      <protection locked="0"/>
    </xf>
    <xf numFmtId="168" fontId="2" fillId="0" borderId="2" xfId="0" applyFont="1" applyBorder="1" applyAlignment="1" applyProtection="1">
      <alignment horizontal="center" vertical="center"/>
      <protection locked="0"/>
    </xf>
    <xf numFmtId="169" fontId="2" fillId="0" borderId="3" xfId="0" applyNumberFormat="1" applyFont="1" applyBorder="1" applyAlignment="1" applyProtection="1">
      <alignment horizontal="center" vertical="center" wrapText="1"/>
      <protection locked="0"/>
    </xf>
    <xf numFmtId="168" fontId="2" fillId="0" borderId="3" xfId="0" applyFont="1" applyBorder="1" applyProtection="1">
      <alignment vertical="center"/>
      <protection locked="0"/>
    </xf>
    <xf numFmtId="168" fontId="2" fillId="0" borderId="3" xfId="0" applyFont="1" applyBorder="1" applyAlignment="1" applyProtection="1">
      <alignment horizontal="center" vertical="center"/>
      <protection locked="0"/>
    </xf>
    <xf numFmtId="10" fontId="2" fillId="0" borderId="0" xfId="2" applyNumberFormat="1" applyFont="1" applyBorder="1" applyAlignment="1" applyProtection="1">
      <alignment horizontal="right" vertical="center" wrapText="1"/>
      <protection locked="0"/>
    </xf>
    <xf numFmtId="168" fontId="2" fillId="62" borderId="0" xfId="0" applyFont="1" applyFill="1" applyAlignment="1" applyProtection="1">
      <alignment vertical="center" wrapText="1"/>
      <protection locked="0"/>
    </xf>
    <xf numFmtId="169" fontId="2" fillId="0" borderId="2" xfId="0" applyNumberFormat="1" applyFont="1" applyBorder="1" applyAlignment="1" applyProtection="1">
      <alignment horizontal="left" vertical="center" wrapText="1" indent="1"/>
      <protection locked="0"/>
    </xf>
    <xf numFmtId="169" fontId="4" fillId="62" borderId="0" xfId="0" applyNumberFormat="1" applyFont="1" applyFill="1" applyAlignment="1" applyProtection="1">
      <alignment vertical="center" wrapText="1"/>
      <protection locked="0"/>
    </xf>
    <xf numFmtId="169" fontId="2" fillId="0" borderId="3" xfId="0" applyNumberFormat="1" applyFont="1" applyBorder="1" applyAlignment="1" applyProtection="1">
      <alignment horizontal="left" vertical="center" wrapText="1" indent="1"/>
      <protection locked="0"/>
    </xf>
    <xf numFmtId="168" fontId="4" fillId="62" borderId="0" xfId="0" applyFont="1" applyFill="1" applyAlignment="1" applyProtection="1">
      <alignment vertical="center" wrapText="1"/>
      <protection locked="0"/>
    </xf>
    <xf numFmtId="168" fontId="4" fillId="39" borderId="0" xfId="44" applyProtection="1">
      <alignment horizontal="justify" vertical="center" wrapText="1"/>
      <protection locked="0"/>
    </xf>
    <xf numFmtId="168" fontId="2" fillId="45" borderId="0" xfId="50" applyProtection="1">
      <alignment horizontal="center" vertical="center" wrapText="1"/>
      <protection locked="0"/>
    </xf>
    <xf numFmtId="168" fontId="11" fillId="62" borderId="0" xfId="0" applyFont="1" applyFill="1" applyAlignment="1">
      <alignment horizontal="center" vertical="center" wrapText="1"/>
      <protection hidden="1"/>
    </xf>
    <xf numFmtId="168" fontId="0" fillId="62" borderId="3" xfId="0" applyFill="1" applyBorder="1" applyAlignment="1">
      <alignment vertical="center" wrapText="1"/>
      <protection hidden="1"/>
    </xf>
    <xf numFmtId="2" fontId="0" fillId="62" borderId="3" xfId="0" applyNumberFormat="1" applyFill="1" applyBorder="1" applyAlignment="1">
      <alignment vertical="center" wrapText="1"/>
      <protection hidden="1"/>
    </xf>
    <xf numFmtId="168" fontId="6" fillId="0" borderId="0" xfId="0" applyFont="1" applyAlignment="1">
      <alignment horizontal="center" vertical="center" wrapText="1"/>
      <protection hidden="1"/>
    </xf>
    <xf numFmtId="168" fontId="2" fillId="0" borderId="3" xfId="0" applyFont="1" applyBorder="1" applyAlignment="1">
      <alignment vertical="center" wrapText="1"/>
      <protection hidden="1"/>
    </xf>
    <xf numFmtId="2" fontId="2" fillId="0" borderId="3" xfId="0" applyNumberFormat="1" applyFont="1" applyBorder="1" applyAlignment="1">
      <alignment vertical="center" wrapText="1"/>
      <protection hidden="1"/>
    </xf>
    <xf numFmtId="168" fontId="2" fillId="0" borderId="0" xfId="0" applyFont="1" applyAlignment="1">
      <alignment vertical="center" wrapText="1"/>
      <protection hidden="1"/>
    </xf>
    <xf numFmtId="4" fontId="2" fillId="0" borderId="0" xfId="0" applyNumberFormat="1" applyFont="1" applyAlignment="1">
      <alignment vertical="center" wrapText="1"/>
      <protection hidden="1"/>
    </xf>
    <xf numFmtId="164" fontId="2" fillId="0" borderId="0" xfId="0" applyNumberFormat="1" applyFont="1" applyAlignment="1">
      <alignment vertical="center" wrapText="1"/>
      <protection hidden="1"/>
    </xf>
    <xf numFmtId="10" fontId="2" fillId="0" borderId="0" xfId="0" applyNumberFormat="1" applyFont="1" applyAlignment="1">
      <alignment vertical="center" wrapText="1"/>
      <protection hidden="1"/>
    </xf>
    <xf numFmtId="3" fontId="2" fillId="0" borderId="0" xfId="0" applyNumberFormat="1" applyFont="1" applyAlignment="1">
      <alignment vertical="center" wrapText="1"/>
      <protection hidden="1"/>
    </xf>
    <xf numFmtId="168" fontId="2" fillId="0" borderId="2" xfId="0" applyFont="1" applyBorder="1" applyAlignment="1" applyProtection="1">
      <alignment horizontal="right" vertical="center"/>
      <protection locked="0"/>
    </xf>
    <xf numFmtId="168" fontId="2" fillId="45" borderId="0" xfId="50" applyProtection="1">
      <alignment horizontal="center" vertical="center" wrapText="1"/>
      <protection locked="0"/>
    </xf>
    <xf numFmtId="164" fontId="2" fillId="0" borderId="2" xfId="0" applyNumberFormat="1" applyFont="1" applyBorder="1" applyAlignment="1" applyProtection="1">
      <alignment vertical="center" wrapText="1"/>
      <protection locked="0"/>
    </xf>
    <xf numFmtId="168" fontId="8" fillId="45" borderId="0" xfId="50" applyFont="1" applyProtection="1">
      <alignment horizontal="center" vertical="center" wrapText="1"/>
      <protection locked="0"/>
    </xf>
    <xf numFmtId="168" fontId="2" fillId="0" borderId="2" xfId="0" applyFont="1" applyBorder="1" applyAlignment="1" applyProtection="1">
      <alignment vertical="center" wrapText="1"/>
      <protection locked="0"/>
    </xf>
    <xf numFmtId="164" fontId="2" fillId="0" borderId="3" xfId="0" applyNumberFormat="1" applyFont="1" applyBorder="1" applyAlignment="1" applyProtection="1">
      <alignment vertical="center" wrapText="1"/>
      <protection locked="0"/>
    </xf>
    <xf numFmtId="165" fontId="2" fillId="0" borderId="3" xfId="1" applyNumberFormat="1" applyFont="1" applyBorder="1" applyAlignment="1" applyProtection="1">
      <alignment horizontal="right" vertical="center" wrapText="1"/>
      <protection locked="0"/>
    </xf>
    <xf numFmtId="1" fontId="2" fillId="0" borderId="2" xfId="1" applyNumberFormat="1" applyFont="1" applyBorder="1" applyAlignment="1" applyProtection="1">
      <alignment horizontal="right" vertical="center" wrapText="1"/>
      <protection locked="0"/>
    </xf>
    <xf numFmtId="164" fontId="2" fillId="0" borderId="2" xfId="0" applyNumberFormat="1" applyFont="1" applyBorder="1" applyAlignment="1" applyProtection="1">
      <alignment horizontal="right" vertical="center" wrapText="1"/>
      <protection locked="0"/>
    </xf>
    <xf numFmtId="168" fontId="2" fillId="0" borderId="2" xfId="0" applyFont="1" applyBorder="1" applyAlignment="1" applyProtection="1">
      <alignment horizontal="right" vertical="center" wrapText="1"/>
      <protection locked="0"/>
    </xf>
    <xf numFmtId="168" fontId="2" fillId="0" borderId="0" xfId="0" applyFont="1" applyAlignment="1" applyProtection="1">
      <alignment vertical="center" wrapText="1"/>
      <protection locked="0"/>
    </xf>
    <xf numFmtId="168" fontId="2" fillId="0" borderId="3" xfId="0" applyFont="1" applyBorder="1" applyAlignment="1" applyProtection="1">
      <alignment vertical="center" wrapText="1"/>
      <protection locked="0"/>
    </xf>
    <xf numFmtId="10" fontId="2" fillId="0" borderId="2" xfId="2" applyNumberFormat="1" applyFont="1" applyBorder="1" applyAlignment="1" applyProtection="1">
      <alignment vertical="center" wrapText="1"/>
      <protection locked="0"/>
    </xf>
    <xf numFmtId="168" fontId="2" fillId="44" borderId="0" xfId="49" applyAlignment="1">
      <alignment horizontal="left" vertical="center" wrapText="1"/>
      <protection hidden="1"/>
    </xf>
    <xf numFmtId="168" fontId="2" fillId="0" borderId="0" xfId="0" applyFont="1" applyAlignment="1" applyProtection="1">
      <alignment horizontal="justify" vertical="center" wrapText="1"/>
      <protection locked="0"/>
    </xf>
    <xf numFmtId="164" fontId="2" fillId="0" borderId="3" xfId="0" applyNumberFormat="1" applyFont="1" applyBorder="1" applyAlignment="1" applyProtection="1">
      <alignment horizontal="center" vertical="center" wrapText="1"/>
      <protection locked="0"/>
    </xf>
    <xf numFmtId="168" fontId="2" fillId="44" borderId="0" xfId="49" applyProtection="1">
      <alignment horizontal="center" vertical="center" wrapText="1"/>
      <protection locked="0"/>
    </xf>
    <xf numFmtId="164" fontId="2" fillId="0" borderId="3" xfId="0" applyNumberFormat="1" applyFont="1" applyBorder="1" applyAlignment="1" applyProtection="1">
      <alignment horizontal="right" vertical="center" wrapText="1"/>
      <protection locked="0"/>
    </xf>
    <xf numFmtId="168" fontId="2" fillId="0" borderId="3" xfId="0" applyFont="1" applyBorder="1" applyAlignment="1" applyProtection="1">
      <alignment horizontal="right" vertical="center" wrapText="1"/>
      <protection locked="0"/>
    </xf>
    <xf numFmtId="169" fontId="2" fillId="0" borderId="3" xfId="0" applyNumberFormat="1" applyFont="1" applyBorder="1" applyAlignment="1" applyProtection="1">
      <alignment horizontal="right" vertical="center" wrapText="1"/>
      <protection locked="0"/>
    </xf>
    <xf numFmtId="9" fontId="2" fillId="0" borderId="3" xfId="2" applyFont="1" applyBorder="1" applyAlignment="1" applyProtection="1">
      <alignment horizontal="right" vertical="center" wrapText="1"/>
      <protection locked="0"/>
    </xf>
    <xf numFmtId="168" fontId="5" fillId="0" borderId="2" xfId="0"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wrapText="1"/>
      <protection locked="0"/>
    </xf>
    <xf numFmtId="168" fontId="2" fillId="44" borderId="0" xfId="49">
      <alignment horizontal="center" vertical="center" wrapText="1"/>
      <protection hidden="1"/>
    </xf>
    <xf numFmtId="10" fontId="2" fillId="0" borderId="3" xfId="2" applyNumberFormat="1" applyFont="1" applyBorder="1" applyAlignment="1" applyProtection="1">
      <alignment vertical="center" wrapText="1"/>
      <protection locked="0"/>
    </xf>
    <xf numFmtId="10" fontId="2" fillId="0" borderId="2" xfId="2" applyNumberFormat="1" applyFont="1" applyFill="1" applyBorder="1" applyAlignment="1" applyProtection="1">
      <alignment horizontal="right" vertical="center" wrapText="1"/>
      <protection locked="0"/>
    </xf>
    <xf numFmtId="10" fontId="2" fillId="0" borderId="2" xfId="0" applyNumberFormat="1" applyFont="1" applyBorder="1" applyAlignment="1" applyProtection="1">
      <alignment vertical="center" wrapText="1"/>
      <protection locked="0"/>
    </xf>
    <xf numFmtId="10" fontId="2" fillId="0" borderId="3" xfId="0" applyNumberFormat="1" applyFont="1" applyBorder="1" applyAlignment="1" applyProtection="1">
      <alignment vertical="center" wrapText="1"/>
      <protection locked="0"/>
    </xf>
    <xf numFmtId="1" fontId="2" fillId="0" borderId="2" xfId="1" applyNumberFormat="1" applyFont="1" applyBorder="1" applyAlignment="1" applyProtection="1">
      <alignment vertical="center" wrapText="1"/>
      <protection locked="0"/>
    </xf>
    <xf numFmtId="166" fontId="2" fillId="0" borderId="3" xfId="0" applyNumberFormat="1" applyFont="1" applyBorder="1" applyAlignment="1" applyProtection="1">
      <alignment horizontal="right" vertical="center" wrapText="1"/>
      <protection locked="0"/>
    </xf>
    <xf numFmtId="168" fontId="2" fillId="0" borderId="0" xfId="0" applyFont="1" applyAlignment="1" applyProtection="1">
      <alignment horizontal="right" vertical="center" wrapText="1"/>
      <protection locked="0"/>
    </xf>
    <xf numFmtId="169" fontId="2" fillId="0" borderId="2" xfId="0" applyNumberFormat="1" applyFont="1" applyBorder="1" applyAlignment="1" applyProtection="1">
      <alignment vertical="center" wrapText="1"/>
      <protection locked="0"/>
    </xf>
    <xf numFmtId="164" fontId="2" fillId="0" borderId="2" xfId="0" applyNumberFormat="1" applyFont="1" applyBorder="1" applyAlignment="1" applyProtection="1">
      <alignment horizontal="center" vertical="center" wrapText="1"/>
      <protection locked="0"/>
    </xf>
    <xf numFmtId="168" fontId="3" fillId="62" borderId="1" xfId="0" applyFont="1" applyFill="1" applyBorder="1" applyAlignment="1">
      <alignment horizontal="center" vertical="center" wrapText="1"/>
      <protection hidden="1"/>
    </xf>
    <xf numFmtId="10" fontId="2" fillId="0" borderId="2" xfId="2" applyNumberFormat="1" applyFont="1" applyBorder="1" applyAlignment="1" applyProtection="1">
      <alignment horizontal="right" vertical="center" wrapText="1"/>
      <protection locked="0"/>
    </xf>
    <xf numFmtId="164" fontId="2" fillId="0" borderId="4" xfId="0" applyNumberFormat="1" applyFont="1" applyBorder="1" applyAlignment="1" applyProtection="1">
      <alignment vertical="center" wrapText="1"/>
      <protection locked="0"/>
    </xf>
    <xf numFmtId="168" fontId="2" fillId="45" borderId="0" xfId="50" applyAlignment="1">
      <alignment horizontal="left" vertical="center" wrapText="1"/>
      <protection hidden="1"/>
    </xf>
    <xf numFmtId="168" fontId="2" fillId="43" borderId="0" xfId="48" applyAlignment="1">
      <alignment horizontal="left" vertical="center"/>
      <protection hidden="1"/>
    </xf>
    <xf numFmtId="168" fontId="2" fillId="0" borderId="0" xfId="0" applyFont="1" applyAlignment="1" applyProtection="1">
      <alignment horizontal="left" vertical="center" wrapText="1"/>
      <protection locked="0"/>
    </xf>
    <xf numFmtId="168" fontId="2" fillId="0" borderId="3" xfId="0" applyFont="1" applyBorder="1" applyAlignment="1" applyProtection="1">
      <alignment horizontal="left" vertical="center" wrapText="1"/>
      <protection locked="0"/>
    </xf>
    <xf numFmtId="168" fontId="2" fillId="0" borderId="0" xfId="0" applyFont="1" applyAlignment="1" applyProtection="1">
      <alignment horizontal="center" vertical="center" wrapText="1"/>
      <protection locked="0"/>
    </xf>
    <xf numFmtId="168" fontId="5" fillId="0" borderId="0" xfId="0" applyFont="1" applyAlignment="1" applyProtection="1">
      <alignment vertical="center" wrapText="1"/>
      <protection locked="0"/>
    </xf>
    <xf numFmtId="10" fontId="2" fillId="0" borderId="3" xfId="2" applyNumberFormat="1" applyFont="1" applyFill="1" applyBorder="1" applyAlignment="1" applyProtection="1">
      <alignment vertical="center" wrapText="1"/>
      <protection locked="0"/>
    </xf>
    <xf numFmtId="168" fontId="5" fillId="0" borderId="2" xfId="0" applyFont="1" applyBorder="1" applyAlignment="1" applyProtection="1">
      <alignment vertical="center" wrapText="1"/>
      <protection locked="0"/>
    </xf>
    <xf numFmtId="167" fontId="5" fillId="0" borderId="2" xfId="0" applyNumberFormat="1" applyFont="1" applyBorder="1" applyAlignment="1" applyProtection="1">
      <alignment horizontal="right" vertical="center" wrapText="1"/>
      <protection locked="0"/>
    </xf>
    <xf numFmtId="1" fontId="2" fillId="0" borderId="3" xfId="1" applyNumberFormat="1" applyFont="1" applyBorder="1" applyAlignment="1" applyProtection="1">
      <alignment horizontal="right" vertical="center" wrapText="1"/>
      <protection locked="0"/>
    </xf>
    <xf numFmtId="168" fontId="4" fillId="62" borderId="0" xfId="0" applyFont="1" applyFill="1" applyAlignment="1">
      <alignment horizontal="left" vertical="center" wrapText="1"/>
      <protection hidden="1"/>
    </xf>
    <xf numFmtId="168" fontId="5" fillId="44" borderId="0" xfId="49" applyFont="1" applyAlignment="1" applyProtection="1">
      <alignment horizontal="left" vertical="center" wrapText="1"/>
      <protection locked="0"/>
    </xf>
    <xf numFmtId="168" fontId="5" fillId="62" borderId="1" xfId="0" applyFont="1" applyFill="1" applyBorder="1" applyAlignment="1">
      <alignment horizontal="center" vertical="center" wrapText="1"/>
      <protection hidden="1"/>
    </xf>
    <xf numFmtId="168" fontId="2" fillId="0" borderId="0" xfId="0" applyFont="1" applyAlignment="1">
      <alignment horizontal="left" vertical="center" wrapText="1"/>
      <protection hidden="1"/>
    </xf>
    <xf numFmtId="168" fontId="5" fillId="0" borderId="1" xfId="0" applyFont="1" applyBorder="1" applyAlignment="1">
      <alignment horizontal="center" vertical="center" wrapText="1"/>
      <protection hidden="1"/>
    </xf>
  </cellXfs>
  <cellStyles count="67">
    <cellStyle name="40% - Ênfase6" xfId="4" builtinId="51" customBuiltin="1"/>
    <cellStyle name="APT1" xfId="5" xr:uid="{EB32FAF6-55FA-456E-BD11-15FA44F5EB7F}"/>
    <cellStyle name="APT2" xfId="6" xr:uid="{BACDCA96-FF59-4B2D-87CF-B913C27A7A81}"/>
    <cellStyle name="APT3" xfId="7" xr:uid="{06F9A0E7-9D05-4C2D-90B9-448F5F753CA9}"/>
    <cellStyle name="APT4" xfId="8" xr:uid="{D6CBD926-62BC-4567-9138-30054EBC0505}"/>
    <cellStyle name="APT5" xfId="9" xr:uid="{7F13F85E-0397-4569-8874-FF38CC272825}"/>
    <cellStyle name="AZUL1" xfId="10" xr:uid="{C7AC977C-2726-41F7-9DC1-046353B2D090}"/>
    <cellStyle name="AZUL2" xfId="11" xr:uid="{D345DAA3-1A37-4163-AE72-833EF58487F8}"/>
    <cellStyle name="AZUL3" xfId="12" xr:uid="{023853EF-AC44-429F-BF1A-A03C69FE8573}"/>
    <cellStyle name="AZUL4" xfId="13" xr:uid="{2151AA9F-CB29-4A6C-99D5-FED20E4B29E2}"/>
    <cellStyle name="AZUL5" xfId="14" xr:uid="{B4F2F70B-BA1A-4B8D-82EC-CEB37FC17BF6}"/>
    <cellStyle name="CLARO1" xfId="15" xr:uid="{F64B953C-8158-449C-996A-34E869B938E3}"/>
    <cellStyle name="COMERCIAL1" xfId="16" xr:uid="{C1E9A9CE-EE91-46F9-B0C1-A11098DB44B4}"/>
    <cellStyle name="COMERCIAL2" xfId="17" xr:uid="{94EC4FD8-0E54-4D36-8D4F-AFA1E2F65E4A}"/>
    <cellStyle name="COMERCIAL3" xfId="18" xr:uid="{04A9FDE4-F4A3-4346-82E8-0CAF314FBAB9}"/>
    <cellStyle name="COMERCIAL4" xfId="19" xr:uid="{9C95CF74-C09C-4B71-9FF7-B4248FD2DF58}"/>
    <cellStyle name="COMERCIAL5" xfId="20" xr:uid="{FAEFCA09-7778-4F7D-BA56-804D113CC684}"/>
    <cellStyle name="Ênfase6" xfId="3" builtinId="49" customBuiltin="1"/>
    <cellStyle name="ESCURO1" xfId="21" xr:uid="{A27DC20B-4861-482E-8D06-CD19ACE5FF38}"/>
    <cellStyle name="ESTILO1" xfId="22" xr:uid="{F0875E23-9CA6-490C-82B9-E37A311A9B56}"/>
    <cellStyle name="ESTILO2" xfId="23" xr:uid="{0D2288E2-65F3-4869-A6C1-FEA9634C0BF3}"/>
    <cellStyle name="ESTILO3" xfId="24" xr:uid="{2F60665B-9571-4770-83F2-FE775AE9BA1C}"/>
    <cellStyle name="ESTILO4" xfId="25" xr:uid="{B44946B7-45C4-4C1E-8DC8-31CE450FA4FE}"/>
    <cellStyle name="ESTILO5" xfId="26" xr:uid="{B7A47F02-DFC5-4F72-9924-F442D7438D55}"/>
    <cellStyle name="FORTE1" xfId="27" xr:uid="{703E153D-BD04-414E-B1F3-5860DCFE1AF3}"/>
    <cellStyle name="FORTE2" xfId="28" xr:uid="{47DE3A0A-A76D-4885-8E39-73848927D813}"/>
    <cellStyle name="FORTE3" xfId="29" xr:uid="{5A4F7987-B463-464B-A351-84D053EF418B}"/>
    <cellStyle name="FORTE4" xfId="30" xr:uid="{5D3EB707-090A-47BD-A699-C649C1A108C3}"/>
    <cellStyle name="FORTE5" xfId="31" xr:uid="{F3F7BCE1-7711-4AB4-AF3E-B6EC5C22EBAC}"/>
    <cellStyle name="Inverso" xfId="32" xr:uid="{6FC0DDC1-A24F-4745-AAB0-4FFFA07A8E0E}"/>
    <cellStyle name="JTAMARELO 1" xfId="33" xr:uid="{92845535-BEFA-4FAB-9BEF-1A782054DC9E}"/>
    <cellStyle name="JTAMARELO 2" xfId="34" xr:uid="{627B40A3-95FF-4668-8A9F-C3F197413FD3}"/>
    <cellStyle name="JTAZUL 1" xfId="35" xr:uid="{238BDFB3-951C-464F-94E5-80D71CA06D66}"/>
    <cellStyle name="JTAZUL 2" xfId="36" xr:uid="{45641A04-B1F9-4CCE-8432-838B59E38961}"/>
    <cellStyle name="JTVERDE 1" xfId="37" xr:uid="{881FE898-F7A3-44AD-B84C-E7C733026474}"/>
    <cellStyle name="JTVERDE 2" xfId="38" xr:uid="{AFB11ACD-1760-4BEF-8A6E-B0894B6B6B3C}"/>
    <cellStyle name="LINHA1" xfId="39" xr:uid="{8EB047C2-FBEC-4D0C-9284-32B8A58D45FF}"/>
    <cellStyle name="LINHA2" xfId="40" xr:uid="{F13EE62F-8D4B-4388-B811-FE1BC041731D}"/>
    <cellStyle name="LINHA3" xfId="41" xr:uid="{B47664F1-C8CA-4362-8691-CEF853D9A89D}"/>
    <cellStyle name="LINHA4" xfId="42" xr:uid="{C02E1A04-FD07-4597-A045-540BC2B42F1C}"/>
    <cellStyle name="LINHA5" xfId="43" xr:uid="{27E6D6F9-9E18-4B6D-93B6-F511A59EDA3D}"/>
    <cellStyle name="Normal" xfId="0" builtinId="0" customBuiltin="1"/>
    <cellStyle name="Porcentagem" xfId="2" builtinId="5"/>
    <cellStyle name="RESEDA" xfId="44" xr:uid="{D61C3D3D-F7E9-4734-99A2-F78A13519E30}"/>
    <cellStyle name="RESEDA1" xfId="45" xr:uid="{CB31C0FB-6228-4550-B625-BEDA9E92AD59}"/>
    <cellStyle name="RESEDA2" xfId="46" xr:uid="{0D05D8A8-9E71-4C68-9F59-D4E1A405A0D4}"/>
    <cellStyle name="RESEDA3" xfId="47" xr:uid="{A0D22B9E-93D9-448F-A2E1-EE43DD2D0FF7}"/>
    <cellStyle name="RESEDA4" xfId="48" xr:uid="{A479B78F-38FB-44B3-9197-97F741E4560E}"/>
    <cellStyle name="RESEDA5" xfId="49" xr:uid="{19E88F35-4FF0-4AF3-94B2-43C6AA098AC0}"/>
    <cellStyle name="RESEDA6" xfId="50" xr:uid="{27DBBC94-0224-4EAA-8B76-305EE6565BD5}"/>
    <cellStyle name="RESID1" xfId="51" xr:uid="{72C760FA-21B7-42DA-B480-DC658AB58880}"/>
    <cellStyle name="RESID2" xfId="52" xr:uid="{C47A5380-E019-497D-BE5B-92FFAE505876}"/>
    <cellStyle name="RESID3" xfId="53" xr:uid="{1ECA941F-6C8C-4512-B635-0E5ECEFFA456}"/>
    <cellStyle name="RESID4" xfId="54" xr:uid="{A3081BD4-EB66-40CC-9183-E7DE2BD0E1FA}"/>
    <cellStyle name="RESID5" xfId="55" xr:uid="{B26DC880-B0C1-47A9-9F49-839174A0AEAB}"/>
    <cellStyle name="RURAL1" xfId="56" xr:uid="{C425DF11-B963-4067-AB2C-36966E8A924E}"/>
    <cellStyle name="RURAL2" xfId="57" xr:uid="{5AC88DCB-B2ED-4413-B5CF-6308C402D323}"/>
    <cellStyle name="RURAL3" xfId="58" xr:uid="{249732D3-2278-427A-A3BF-411BBD52BF75}"/>
    <cellStyle name="RURAL4" xfId="59" xr:uid="{6968F5A7-4804-4AED-9AF7-EA9A36B09522}"/>
    <cellStyle name="RURAL5" xfId="60" xr:uid="{678E9906-25B1-40ED-A001-D56914602BF0}"/>
    <cellStyle name="VERDE" xfId="61" xr:uid="{83BAF23F-AEB5-483B-8996-8DC0B3579367}"/>
    <cellStyle name="VERDE1" xfId="62" xr:uid="{EBBD7FA5-785D-46A0-BA1D-9C80877417C0}"/>
    <cellStyle name="VERDE2" xfId="63" xr:uid="{FD92F065-38FB-42E1-AB6E-5F1E7BB68EA0}"/>
    <cellStyle name="VERDE3" xfId="64" xr:uid="{E2132E1F-0484-4FBA-8399-A686043455B2}"/>
    <cellStyle name="VERDE4" xfId="65" xr:uid="{D963565D-F51C-4C05-BCD7-1C41B5BB2DF4}"/>
    <cellStyle name="VERDE5" xfId="66" xr:uid="{C567DFA8-2451-43B2-8543-853F4522912F}"/>
    <cellStyle name="Vírgula" xfId="1" builtinId="3"/>
  </cellStyles>
  <dxfs count="15">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213A8F"/>
      <color rgb="FFB9CFD9"/>
      <color rgb="FFB8C5EE"/>
      <color rgb="FFE52621"/>
      <color rgb="FFFFFFFF"/>
      <color rgb="FF010101"/>
      <color rgb="FF156082"/>
      <color rgb="FF5B9BD5"/>
      <color rgb="FF99A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Elementos da amostra</c:v>
          </c:tx>
          <c:spPr>
            <a:solidFill>
              <a:schemeClr val="accent1"/>
            </a:solidFill>
            <a:ln>
              <a:noFill/>
            </a:ln>
            <a:effectLst/>
          </c:spPr>
          <c:invertIfNegative val="0"/>
          <c:val>
            <c:numRef>
              <c:f>'TERRA NUA 12 ELEMENTOS'!$I$42:$I$53</c:f>
              <c:numCache>
                <c:formatCode>#,##0.00_ ;[Red]\-#,##0.00\ </c:formatCode>
                <c:ptCount val="12"/>
                <c:pt idx="0">
                  <c:v>1</c:v>
                </c:pt>
                <c:pt idx="1">
                  <c:v>0.95</c:v>
                </c:pt>
                <c:pt idx="2">
                  <c:v>0.64999999999999991</c:v>
                </c:pt>
                <c:pt idx="3">
                  <c:v>0.95</c:v>
                </c:pt>
                <c:pt idx="4">
                  <c:v>0.85000000000000009</c:v>
                </c:pt>
                <c:pt idx="5">
                  <c:v>0.89999999999999991</c:v>
                </c:pt>
                <c:pt idx="6">
                  <c:v>0.89999999999999991</c:v>
                </c:pt>
                <c:pt idx="7">
                  <c:v>0.89999999999999991</c:v>
                </c:pt>
                <c:pt idx="8">
                  <c:v>0.89999999999999991</c:v>
                </c:pt>
                <c:pt idx="9">
                  <c:v>0.89999999999999991</c:v>
                </c:pt>
                <c:pt idx="10">
                  <c:v>0.89999999999999991</c:v>
                </c:pt>
                <c:pt idx="11">
                  <c:v>0.89999999999999991</c:v>
                </c:pt>
              </c:numCache>
            </c:numRef>
          </c:val>
          <c:extLst>
            <c:ext xmlns:c16="http://schemas.microsoft.com/office/drawing/2014/chart" uri="{C3380CC4-5D6E-409C-BE32-E72D297353CC}">
              <c16:uniqueId val="{00000000-3949-4714-8B83-BC4D3185AAB8}"/>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sq">
              <a:solidFill>
                <a:srgbClr val="FF0000"/>
              </a:solidFill>
              <a:round/>
            </a:ln>
            <a:effectLst/>
          </c:spPr>
          <c:marker>
            <c:symbol val="none"/>
          </c:marker>
          <c:val>
            <c:numRef>
              <c:f>'TERRA NUA 12 ELEMENTOS'!$S$65:$S$76</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3949-4714-8B83-BC4D3185AAB8}"/>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out"/>
        <c:minorTickMark val="none"/>
        <c:tickLblPos val="nextTo"/>
        <c:spPr>
          <a:noFill/>
          <a:ln>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'TERRA NUA 5 ELEMENTOS'!$Y$155</c:f>
              <c:strCache>
                <c:ptCount val="1"/>
                <c:pt idx="0">
                  <c:v>Média</c:v>
                </c:pt>
              </c:strCache>
            </c:strRef>
          </c:tx>
          <c:spPr>
            <a:ln w="12700" cap="sq">
              <a:solidFill>
                <a:schemeClr val="tx1"/>
              </a:solidFill>
              <a:prstDash val="dash"/>
              <a:round/>
            </a:ln>
            <a:effectLst/>
          </c:spPr>
          <c:marker>
            <c:symbol val="none"/>
          </c:marker>
          <c:val>
            <c:numRef>
              <c:f>'TERRA NUA 5 ELEMENTOS'!$Y$156:$Y$160</c:f>
              <c:numCache>
                <c:formatCode>#,##0.00_ ;[Red]\-#,##0.00\ </c:formatCode>
                <c:ptCount val="5"/>
                <c:pt idx="0">
                  <c:v>156618.48688266211</c:v>
                </c:pt>
                <c:pt idx="1">
                  <c:v>156618.48688266211</c:v>
                </c:pt>
                <c:pt idx="2">
                  <c:v>156618.48688266211</c:v>
                </c:pt>
                <c:pt idx="3">
                  <c:v>156618.48688266211</c:v>
                </c:pt>
                <c:pt idx="4">
                  <c:v>156618.48688266211</c:v>
                </c:pt>
              </c:numCache>
            </c:numRef>
          </c:val>
          <c:smooth val="0"/>
          <c:extLst>
            <c:ext xmlns:c16="http://schemas.microsoft.com/office/drawing/2014/chart" uri="{C3380CC4-5D6E-409C-BE32-E72D297353CC}">
              <c16:uniqueId val="{00000000-0020-45AD-932D-06ED4F4D35DD}"/>
            </c:ext>
          </c:extLst>
        </c:ser>
        <c:ser>
          <c:idx val="3"/>
          <c:order val="2"/>
          <c:tx>
            <c:strRef>
              <c:f>'TERRA NUA 5 ELEMENTOS'!$W$155</c:f>
              <c:strCache>
                <c:ptCount val="1"/>
                <c:pt idx="0">
                  <c:v>Limite inferior</c:v>
                </c:pt>
              </c:strCache>
            </c:strRef>
          </c:tx>
          <c:spPr>
            <a:ln w="12700" cap="sq">
              <a:solidFill>
                <a:srgbClr val="FF0000"/>
              </a:solidFill>
              <a:round/>
            </a:ln>
            <a:effectLst/>
          </c:spPr>
          <c:marker>
            <c:symbol val="none"/>
          </c:marker>
          <c:val>
            <c:numRef>
              <c:f>'TERRA NUA 5 ELEMENTOS'!$W$156:$W$160</c:f>
              <c:numCache>
                <c:formatCode>#,##0.00_ ;[Red]\-#,##0.00\ </c:formatCode>
                <c:ptCount val="5"/>
                <c:pt idx="0">
                  <c:v>42103.414852901857</c:v>
                </c:pt>
                <c:pt idx="1">
                  <c:v>42103.414852901857</c:v>
                </c:pt>
                <c:pt idx="2">
                  <c:v>42103.414852901857</c:v>
                </c:pt>
                <c:pt idx="3">
                  <c:v>42103.414852901857</c:v>
                </c:pt>
                <c:pt idx="4">
                  <c:v>42103.414852901857</c:v>
                </c:pt>
              </c:numCache>
            </c:numRef>
          </c:val>
          <c:smooth val="0"/>
          <c:extLst>
            <c:ext xmlns:c16="http://schemas.microsoft.com/office/drawing/2014/chart" uri="{C3380CC4-5D6E-409C-BE32-E72D297353CC}">
              <c16:uniqueId val="{00000001-0020-45AD-932D-06ED4F4D35DD}"/>
            </c:ext>
          </c:extLst>
        </c:ser>
        <c:ser>
          <c:idx val="2"/>
          <c:order val="3"/>
          <c:tx>
            <c:strRef>
              <c:f>'TERRA NUA 5 ELEMENTOS'!$X$155</c:f>
              <c:strCache>
                <c:ptCount val="1"/>
                <c:pt idx="0">
                  <c:v>Limite superior</c:v>
                </c:pt>
              </c:strCache>
            </c:strRef>
          </c:tx>
          <c:spPr>
            <a:ln w="12700" cap="sq">
              <a:solidFill>
                <a:srgbClr val="0000FF"/>
              </a:solidFill>
              <a:round/>
            </a:ln>
            <a:effectLst/>
          </c:spPr>
          <c:marker>
            <c:symbol val="none"/>
          </c:marker>
          <c:val>
            <c:numRef>
              <c:f>'TERRA NUA 5 ELEMENTOS'!$X$156:$X$160</c:f>
              <c:numCache>
                <c:formatCode>#,##0.00_ ;[Red]\-#,##0.00\ </c:formatCode>
                <c:ptCount val="5"/>
                <c:pt idx="0">
                  <c:v>271133.55891242239</c:v>
                </c:pt>
                <c:pt idx="1">
                  <c:v>271133.55891242239</c:v>
                </c:pt>
                <c:pt idx="2">
                  <c:v>271133.55891242239</c:v>
                </c:pt>
                <c:pt idx="3">
                  <c:v>271133.55891242239</c:v>
                </c:pt>
                <c:pt idx="4">
                  <c:v>271133.55891242239</c:v>
                </c:pt>
              </c:numCache>
            </c:numRef>
          </c:val>
          <c:smooth val="0"/>
          <c:extLst>
            <c:ext xmlns:c16="http://schemas.microsoft.com/office/drawing/2014/chart" uri="{C3380CC4-5D6E-409C-BE32-E72D297353CC}">
              <c16:uniqueId val="{00000002-0020-45AD-932D-06ED4F4D35D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'TERRA NUA 5 ELEMENTOS'!$B$155</c:f>
              <c:strCache>
                <c:ptCount val="1"/>
                <c:pt idx="0">
                  <c:v>Preço  unitário da terra nua homogeneizado</c:v>
                </c:pt>
              </c:strCache>
            </c:strRef>
          </c:tx>
          <c:spPr>
            <a:ln w="25400" cap="rnd">
              <a:noFill/>
              <a:round/>
            </a:ln>
            <a:effectLst/>
          </c:spPr>
          <c:marker>
            <c:symbol val="diamond"/>
            <c:size val="8"/>
            <c:spPr>
              <a:solidFill>
                <a:schemeClr val="tx1"/>
              </a:solidFill>
              <a:ln w="9525">
                <a:noFill/>
              </a:ln>
              <a:effectLst/>
            </c:spPr>
          </c:marker>
          <c:yVal>
            <c:numRef>
              <c:f>'TERRA NUA 5 ELEMENTOS'!$B$156:$B$160</c:f>
              <c:numCache>
                <c:formatCode>#,##0.00_ ;[Red]\-#,##0.00\ </c:formatCode>
                <c:ptCount val="5"/>
                <c:pt idx="0">
                  <c:v>257142.85714285713</c:v>
                </c:pt>
                <c:pt idx="1">
                  <c:v>170590.58260175577</c:v>
                </c:pt>
                <c:pt idx="2">
                  <c:v>57719.999999999985</c:v>
                </c:pt>
                <c:pt idx="3">
                  <c:v>146153.84615384613</c:v>
                </c:pt>
                <c:pt idx="4">
                  <c:v>151485.14851485143</c:v>
                </c:pt>
              </c:numCache>
            </c:numRef>
          </c:yVal>
          <c:smooth val="0"/>
          <c:extLst>
            <c:ext xmlns:c16="http://schemas.microsoft.com/office/drawing/2014/chart" uri="{C3380CC4-5D6E-409C-BE32-E72D297353CC}">
              <c16:uniqueId val="{00000003-0020-45AD-932D-06ED4F4D35D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Elementos da amostra</c:v>
          </c:tx>
          <c:spPr>
            <a:solidFill>
              <a:schemeClr val="accent1"/>
            </a:solidFill>
            <a:ln>
              <a:noFill/>
            </a:ln>
            <a:effectLst/>
          </c:spPr>
          <c:invertIfNegative val="0"/>
          <c:val>
            <c:numRef>
              <c:f>'TERRA NUA 3 ELEMENTOS'!$I$33:$I$35</c:f>
              <c:numCache>
                <c:formatCode>#,##0.00_ ;[Red]\-#,##0.00\ </c:formatCode>
                <c:ptCount val="3"/>
                <c:pt idx="0">
                  <c:v>1</c:v>
                </c:pt>
                <c:pt idx="1">
                  <c:v>0.95</c:v>
                </c:pt>
                <c:pt idx="2">
                  <c:v>0.89999999999999991</c:v>
                </c:pt>
              </c:numCache>
            </c:numRef>
          </c:val>
          <c:extLst>
            <c:ext xmlns:c16="http://schemas.microsoft.com/office/drawing/2014/chart" uri="{C3380CC4-5D6E-409C-BE32-E72D297353CC}">
              <c16:uniqueId val="{00000000-A70A-4B36-96D1-12ADBDC8698D}"/>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sq">
              <a:solidFill>
                <a:srgbClr val="FF0000"/>
              </a:solidFill>
              <a:round/>
            </a:ln>
            <a:effectLst/>
          </c:spPr>
          <c:marker>
            <c:symbol val="none"/>
          </c:marker>
          <c:val>
            <c:numRef>
              <c:f>'TERRA NUA 3 ELEMENTOS'!$S$47:$S$49</c:f>
              <c:numCache>
                <c:formatCode>#,##0.00_ ;\-#,##0.00\ </c:formatCode>
                <c:ptCount val="3"/>
                <c:pt idx="0">
                  <c:v>1</c:v>
                </c:pt>
                <c:pt idx="1">
                  <c:v>1</c:v>
                </c:pt>
                <c:pt idx="2">
                  <c:v>1</c:v>
                </c:pt>
              </c:numCache>
            </c:numRef>
          </c:val>
          <c:smooth val="0"/>
          <c:extLst>
            <c:ext xmlns:c16="http://schemas.microsoft.com/office/drawing/2014/chart" uri="{C3380CC4-5D6E-409C-BE32-E72D297353CC}">
              <c16:uniqueId val="{00000001-A70A-4B36-96D1-12ADBDC8698D}"/>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out"/>
        <c:minorTickMark val="none"/>
        <c:tickLblPos val="nextTo"/>
        <c:spPr>
          <a:noFill/>
          <a:ln>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Elementos da amostra</c:v>
          </c:tx>
          <c:spPr>
            <a:solidFill>
              <a:schemeClr val="accent1"/>
            </a:solidFill>
            <a:ln>
              <a:noFill/>
            </a:ln>
            <a:effectLst/>
          </c:spPr>
          <c:invertIfNegative val="0"/>
          <c:val>
            <c:numRef>
              <c:f>'TERRA NUA 3 ELEMENTOS'!$S$47:$S$49</c:f>
              <c:numCache>
                <c:formatCode>#,##0.00_ ;\-#,##0.00\ </c:formatCode>
                <c:ptCount val="3"/>
                <c:pt idx="0">
                  <c:v>1</c:v>
                </c:pt>
                <c:pt idx="1">
                  <c:v>1</c:v>
                </c:pt>
                <c:pt idx="2">
                  <c:v>1</c:v>
                </c:pt>
              </c:numCache>
            </c:numRef>
          </c:val>
          <c:extLst>
            <c:ext xmlns:c16="http://schemas.microsoft.com/office/drawing/2014/chart" uri="{C3380CC4-5D6E-409C-BE32-E72D297353CC}">
              <c16:uniqueId val="{00000000-7C58-4D96-8367-2730AC75C68A}"/>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sq">
              <a:solidFill>
                <a:srgbClr val="FF0000"/>
              </a:solidFill>
              <a:round/>
            </a:ln>
            <a:effectLst/>
          </c:spPr>
          <c:marker>
            <c:symbol val="none"/>
          </c:marker>
          <c:val>
            <c:numRef>
              <c:f>'TERRA NUA 3 ELEMENTOS'!$S$47:$S$49</c:f>
              <c:numCache>
                <c:formatCode>#,##0.00_ ;\-#,##0.00\ </c:formatCode>
                <c:ptCount val="3"/>
                <c:pt idx="0">
                  <c:v>1</c:v>
                </c:pt>
                <c:pt idx="1">
                  <c:v>1</c:v>
                </c:pt>
                <c:pt idx="2">
                  <c:v>1</c:v>
                </c:pt>
              </c:numCache>
            </c:numRef>
          </c:val>
          <c:smooth val="0"/>
          <c:extLst>
            <c:ext xmlns:c16="http://schemas.microsoft.com/office/drawing/2014/chart" uri="{C3380CC4-5D6E-409C-BE32-E72D297353CC}">
              <c16:uniqueId val="{00000001-7C58-4D96-8367-2730AC75C68A}"/>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0.00\ " sourceLinked="1"/>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Ajuste ao bem avaliando</c:v>
          </c:tx>
          <c:spPr>
            <a:solidFill>
              <a:schemeClr val="accent1"/>
            </a:solidFill>
            <a:ln>
              <a:noFill/>
            </a:ln>
            <a:effectLst/>
          </c:spPr>
          <c:invertIfNegative val="0"/>
          <c:val>
            <c:numRef>
              <c:f>'TERRA NUA 3 ELEMENTOS'!$K$33:$K$35</c:f>
              <c:numCache>
                <c:formatCode>#,##0.00_ ;[Red]\-#,##0.00\ </c:formatCode>
                <c:ptCount val="3"/>
                <c:pt idx="0">
                  <c:v>0.89999999999999991</c:v>
                </c:pt>
                <c:pt idx="1">
                  <c:v>0.89999999999999991</c:v>
                </c:pt>
                <c:pt idx="2">
                  <c:v>0.89999999999999991</c:v>
                </c:pt>
              </c:numCache>
            </c:numRef>
          </c:val>
          <c:extLst>
            <c:ext xmlns:c16="http://schemas.microsoft.com/office/drawing/2014/chart" uri="{C3380CC4-5D6E-409C-BE32-E72D297353CC}">
              <c16:uniqueId val="{00000000-0006-4C65-9217-07163173D693}"/>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rnd">
              <a:solidFill>
                <a:srgbClr val="FF0000"/>
              </a:solidFill>
              <a:round/>
            </a:ln>
            <a:effectLst/>
          </c:spPr>
          <c:marker>
            <c:symbol val="none"/>
          </c:marker>
          <c:val>
            <c:numRef>
              <c:f>'TERRA NUA 3 ELEMENTOS'!$S$47:$S$49</c:f>
              <c:numCache>
                <c:formatCode>#,##0.00_ ;\-#,##0.00\ </c:formatCode>
                <c:ptCount val="3"/>
                <c:pt idx="0">
                  <c:v>1</c:v>
                </c:pt>
                <c:pt idx="1">
                  <c:v>1</c:v>
                </c:pt>
                <c:pt idx="2">
                  <c:v>1</c:v>
                </c:pt>
              </c:numCache>
            </c:numRef>
          </c:val>
          <c:smooth val="0"/>
          <c:extLst>
            <c:ext xmlns:c16="http://schemas.microsoft.com/office/drawing/2014/chart" uri="{C3380CC4-5D6E-409C-BE32-E72D297353CC}">
              <c16:uniqueId val="{00000001-0006-4C65-9217-07163173D693}"/>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'TERRA NUA 3 ELEMENTOS'!$Y$149</c:f>
              <c:strCache>
                <c:ptCount val="1"/>
                <c:pt idx="0">
                  <c:v>Média</c:v>
                </c:pt>
              </c:strCache>
            </c:strRef>
          </c:tx>
          <c:spPr>
            <a:ln w="12700" cap="sq">
              <a:solidFill>
                <a:schemeClr val="tx1"/>
              </a:solidFill>
              <a:prstDash val="dash"/>
              <a:round/>
            </a:ln>
            <a:effectLst/>
          </c:spPr>
          <c:marker>
            <c:symbol val="none"/>
          </c:marker>
          <c:val>
            <c:numRef>
              <c:f>'TERRA NUA 3 ELEMENTOS'!$Y$150:$Y$152</c:f>
              <c:numCache>
                <c:formatCode>#,##0.00_ ;[Red]\-#,##0.00\ </c:formatCode>
                <c:ptCount val="3"/>
                <c:pt idx="0">
                  <c:v>193072.8627531548</c:v>
                </c:pt>
                <c:pt idx="1">
                  <c:v>193072.8627531548</c:v>
                </c:pt>
                <c:pt idx="2">
                  <c:v>193072.8627531548</c:v>
                </c:pt>
              </c:numCache>
            </c:numRef>
          </c:val>
          <c:smooth val="0"/>
          <c:extLst>
            <c:ext xmlns:c16="http://schemas.microsoft.com/office/drawing/2014/chart" uri="{C3380CC4-5D6E-409C-BE32-E72D297353CC}">
              <c16:uniqueId val="{00000000-56D8-40F4-B330-A6FE0085FEA6}"/>
            </c:ext>
          </c:extLst>
        </c:ser>
        <c:ser>
          <c:idx val="3"/>
          <c:order val="2"/>
          <c:tx>
            <c:strRef>
              <c:f>'TERRA NUA 3 ELEMENTOS'!$W$149</c:f>
              <c:strCache>
                <c:ptCount val="1"/>
                <c:pt idx="0">
                  <c:v>Limite inferior</c:v>
                </c:pt>
              </c:strCache>
            </c:strRef>
          </c:tx>
          <c:spPr>
            <a:ln w="12700" cap="sq">
              <a:solidFill>
                <a:srgbClr val="FF0000"/>
              </a:solidFill>
              <a:round/>
            </a:ln>
            <a:effectLst/>
          </c:spPr>
          <c:marker>
            <c:symbol val="none"/>
          </c:marker>
          <c:val>
            <c:numRef>
              <c:f>'TERRA NUA 3 ELEMENTOS'!$W$150:$W$152</c:f>
              <c:numCache>
                <c:formatCode>#,##0.00_ ;[Red]\-#,##0.00\ </c:formatCode>
                <c:ptCount val="3"/>
                <c:pt idx="0">
                  <c:v>114429.32943058942</c:v>
                </c:pt>
                <c:pt idx="1">
                  <c:v>114429.32943058942</c:v>
                </c:pt>
                <c:pt idx="2">
                  <c:v>114429.32943058942</c:v>
                </c:pt>
              </c:numCache>
            </c:numRef>
          </c:val>
          <c:smooth val="0"/>
          <c:extLst>
            <c:ext xmlns:c16="http://schemas.microsoft.com/office/drawing/2014/chart" uri="{C3380CC4-5D6E-409C-BE32-E72D297353CC}">
              <c16:uniqueId val="{00000001-56D8-40F4-B330-A6FE0085FEA6}"/>
            </c:ext>
          </c:extLst>
        </c:ser>
        <c:ser>
          <c:idx val="2"/>
          <c:order val="3"/>
          <c:tx>
            <c:strRef>
              <c:f>'TERRA NUA 3 ELEMENTOS'!$X$149</c:f>
              <c:strCache>
                <c:ptCount val="1"/>
                <c:pt idx="0">
                  <c:v>Limite superior</c:v>
                </c:pt>
              </c:strCache>
            </c:strRef>
          </c:tx>
          <c:spPr>
            <a:ln w="12700" cap="sq">
              <a:solidFill>
                <a:srgbClr val="0000FF"/>
              </a:solidFill>
              <a:round/>
            </a:ln>
            <a:effectLst/>
          </c:spPr>
          <c:marker>
            <c:symbol val="none"/>
          </c:marker>
          <c:val>
            <c:numRef>
              <c:f>'TERRA NUA 3 ELEMENTOS'!$X$150:$X$152</c:f>
              <c:numCache>
                <c:formatCode>#,##0.00_ ;[Red]\-#,##0.00\ </c:formatCode>
                <c:ptCount val="3"/>
                <c:pt idx="0">
                  <c:v>271716.3960757202</c:v>
                </c:pt>
                <c:pt idx="1">
                  <c:v>271716.3960757202</c:v>
                </c:pt>
                <c:pt idx="2">
                  <c:v>271716.3960757202</c:v>
                </c:pt>
              </c:numCache>
            </c:numRef>
          </c:val>
          <c:smooth val="0"/>
          <c:extLst>
            <c:ext xmlns:c16="http://schemas.microsoft.com/office/drawing/2014/chart" uri="{C3380CC4-5D6E-409C-BE32-E72D297353CC}">
              <c16:uniqueId val="{00000002-56D8-40F4-B330-A6FE0085FEA6}"/>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'TERRA NUA 3 ELEMENTOS'!$B$149</c:f>
              <c:strCache>
                <c:ptCount val="1"/>
                <c:pt idx="0">
                  <c:v>Preço  unitário da terra nua homogeneizado</c:v>
                </c:pt>
              </c:strCache>
            </c:strRef>
          </c:tx>
          <c:spPr>
            <a:ln w="25400" cap="rnd">
              <a:noFill/>
              <a:round/>
            </a:ln>
            <a:effectLst/>
          </c:spPr>
          <c:marker>
            <c:symbol val="diamond"/>
            <c:size val="8"/>
            <c:spPr>
              <a:solidFill>
                <a:schemeClr val="tx1"/>
              </a:solidFill>
              <a:ln w="9525">
                <a:noFill/>
              </a:ln>
              <a:effectLst/>
            </c:spPr>
          </c:marker>
          <c:yVal>
            <c:numRef>
              <c:f>'TERRA NUA 3 ELEMENTOS'!$B$150:$B$152</c:f>
              <c:numCache>
                <c:formatCode>#,##0.00_ ;[Red]\-#,##0.00\ </c:formatCode>
                <c:ptCount val="3"/>
                <c:pt idx="0">
                  <c:v>257142.85714285713</c:v>
                </c:pt>
                <c:pt idx="1">
                  <c:v>170590.58260175577</c:v>
                </c:pt>
                <c:pt idx="2">
                  <c:v>151485.14851485143</c:v>
                </c:pt>
              </c:numCache>
            </c:numRef>
          </c:yVal>
          <c:smooth val="0"/>
          <c:extLst>
            <c:ext xmlns:c16="http://schemas.microsoft.com/office/drawing/2014/chart" uri="{C3380CC4-5D6E-409C-BE32-E72D297353CC}">
              <c16:uniqueId val="{00000003-56D8-40F4-B330-A6FE0085FEA6}"/>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'TERRA NUA 3 ELEMENTOS'!$X$109</c:f>
              <c:strCache>
                <c:ptCount val="1"/>
                <c:pt idx="0">
                  <c:v>Média</c:v>
                </c:pt>
              </c:strCache>
            </c:strRef>
          </c:tx>
          <c:spPr>
            <a:ln w="12700" cap="rnd">
              <a:solidFill>
                <a:schemeClr val="tx1"/>
              </a:solidFill>
              <a:prstDash val="dash"/>
              <a:round/>
            </a:ln>
            <a:effectLst/>
          </c:spPr>
          <c:marker>
            <c:symbol val="none"/>
          </c:marker>
          <c:val>
            <c:numRef>
              <c:f>'TERRA NUA 3 ELEMENTOS'!$X$110:$X$112</c:f>
              <c:numCache>
                <c:formatCode>#,##0.00_ ;[Red]\-#,##0.00\ </c:formatCode>
                <c:ptCount val="3"/>
                <c:pt idx="0">
                  <c:v>193072.8627531548</c:v>
                </c:pt>
                <c:pt idx="1">
                  <c:v>193072.8627531548</c:v>
                </c:pt>
                <c:pt idx="2">
                  <c:v>193072.8627531548</c:v>
                </c:pt>
              </c:numCache>
            </c:numRef>
          </c:val>
          <c:smooth val="0"/>
          <c:extLst>
            <c:ext xmlns:c16="http://schemas.microsoft.com/office/drawing/2014/chart" uri="{C3380CC4-5D6E-409C-BE32-E72D297353CC}">
              <c16:uniqueId val="{00000000-EDB2-48BD-9648-D5BB083F4859}"/>
            </c:ext>
          </c:extLst>
        </c:ser>
        <c:ser>
          <c:idx val="3"/>
          <c:order val="2"/>
          <c:tx>
            <c:strRef>
              <c:f>'TERRA NUA 3 ELEMENTOS'!$V$109</c:f>
              <c:strCache>
                <c:ptCount val="1"/>
                <c:pt idx="0">
                  <c:v>Limite inferior</c:v>
                </c:pt>
              </c:strCache>
            </c:strRef>
          </c:tx>
          <c:spPr>
            <a:ln w="12700" cap="rnd">
              <a:solidFill>
                <a:srgbClr val="0000FF"/>
              </a:solidFill>
              <a:round/>
            </a:ln>
            <a:effectLst/>
          </c:spPr>
          <c:marker>
            <c:symbol val="none"/>
          </c:marker>
          <c:val>
            <c:numRef>
              <c:f>'TERRA NUA 3 ELEMENTOS'!$V$110:$V$112</c:f>
              <c:numCache>
                <c:formatCode>#,##0.00_ ;[Red]\-#,##0.00\ </c:formatCode>
                <c:ptCount val="3"/>
                <c:pt idx="0">
                  <c:v>115206.76182222764</c:v>
                </c:pt>
                <c:pt idx="1">
                  <c:v>115206.76182222764</c:v>
                </c:pt>
                <c:pt idx="2">
                  <c:v>115206.76182222764</c:v>
                </c:pt>
              </c:numCache>
            </c:numRef>
          </c:val>
          <c:smooth val="0"/>
          <c:extLst>
            <c:ext xmlns:c16="http://schemas.microsoft.com/office/drawing/2014/chart" uri="{C3380CC4-5D6E-409C-BE32-E72D297353CC}">
              <c16:uniqueId val="{00000001-EDB2-48BD-9648-D5BB083F4859}"/>
            </c:ext>
          </c:extLst>
        </c:ser>
        <c:ser>
          <c:idx val="2"/>
          <c:order val="3"/>
          <c:tx>
            <c:strRef>
              <c:f>'TERRA NUA 3 ELEMENTOS'!$W$109</c:f>
              <c:strCache>
                <c:ptCount val="1"/>
                <c:pt idx="0">
                  <c:v>Limite superior</c:v>
                </c:pt>
              </c:strCache>
            </c:strRef>
          </c:tx>
          <c:spPr>
            <a:ln w="12700" cap="rnd">
              <a:solidFill>
                <a:srgbClr val="FF0000"/>
              </a:solidFill>
              <a:round/>
            </a:ln>
            <a:effectLst/>
          </c:spPr>
          <c:marker>
            <c:symbol val="none"/>
          </c:marker>
          <c:val>
            <c:numRef>
              <c:f>'TERRA NUA 3 ELEMENTOS'!$W$110:$W$112</c:f>
              <c:numCache>
                <c:formatCode>#,##0.00_ ;[Red]\-#,##0.00\ </c:formatCode>
                <c:ptCount val="3"/>
                <c:pt idx="0">
                  <c:v>270938.96368408197</c:v>
                </c:pt>
                <c:pt idx="1">
                  <c:v>270938.96368408197</c:v>
                </c:pt>
                <c:pt idx="2">
                  <c:v>270938.96368408197</c:v>
                </c:pt>
              </c:numCache>
            </c:numRef>
          </c:val>
          <c:smooth val="0"/>
          <c:extLst>
            <c:ext xmlns:c16="http://schemas.microsoft.com/office/drawing/2014/chart" uri="{C3380CC4-5D6E-409C-BE32-E72D297353CC}">
              <c16:uniqueId val="{00000002-EDB2-48BD-9648-D5BB083F485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'TERRA NUA 3 ELEMENTOS'!$B$109:$F$109</c:f>
              <c:strCache>
                <c:ptCount val="1"/>
                <c:pt idx="0">
                  <c:v>Preço  unitário da terra nua homogeneizado</c:v>
                </c:pt>
              </c:strCache>
            </c:strRef>
          </c:tx>
          <c:spPr>
            <a:ln w="25400" cap="rnd">
              <a:noFill/>
              <a:round/>
            </a:ln>
            <a:effectLst/>
          </c:spPr>
          <c:marker>
            <c:symbol val="diamond"/>
            <c:size val="8"/>
            <c:spPr>
              <a:solidFill>
                <a:schemeClr val="tx1"/>
              </a:solidFill>
              <a:ln w="9525">
                <a:noFill/>
              </a:ln>
              <a:effectLst/>
            </c:spPr>
          </c:marker>
          <c:yVal>
            <c:numRef>
              <c:f>'TERRA NUA 3 ELEMENTOS'!$B$110:$B$112</c:f>
              <c:numCache>
                <c:formatCode>#,##0.00_ ;[Red]\-#,##0.00\ </c:formatCode>
                <c:ptCount val="3"/>
                <c:pt idx="0">
                  <c:v>257142.85714285713</c:v>
                </c:pt>
                <c:pt idx="1">
                  <c:v>170590.58260175577</c:v>
                </c:pt>
                <c:pt idx="2">
                  <c:v>151485.14851485143</c:v>
                </c:pt>
              </c:numCache>
            </c:numRef>
          </c:yVal>
          <c:smooth val="0"/>
          <c:extLst>
            <c:ext xmlns:c16="http://schemas.microsoft.com/office/drawing/2014/chart" uri="{C3380CC4-5D6E-409C-BE32-E72D297353CC}">
              <c16:uniqueId val="{00000003-EDB2-48BD-9648-D5BB083F485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Elementos da amostra</c:v>
          </c:tx>
          <c:spPr>
            <a:solidFill>
              <a:schemeClr val="accent1"/>
            </a:solidFill>
            <a:ln>
              <a:noFill/>
            </a:ln>
            <a:effectLst/>
          </c:spPr>
          <c:invertIfNegative val="0"/>
          <c:val>
            <c:numRef>
              <c:f>'TERRA NUA 12 ELEMENTOS'!$S$65:$S$76</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744B-470D-B891-F3BA1378C5D8}"/>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sq">
              <a:solidFill>
                <a:srgbClr val="FF0000"/>
              </a:solidFill>
              <a:round/>
            </a:ln>
            <a:effectLst/>
          </c:spPr>
          <c:marker>
            <c:symbol val="none"/>
          </c:marker>
          <c:val>
            <c:numRef>
              <c:f>'TERRA NUA 12 ELEMENTOS'!$S$65:$S$76</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744B-470D-B891-F3BA1378C5D8}"/>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0.00\ " sourceLinked="1"/>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Ajuste ao bem avaliando</c:v>
          </c:tx>
          <c:spPr>
            <a:solidFill>
              <a:schemeClr val="accent1"/>
            </a:solidFill>
            <a:ln>
              <a:noFill/>
            </a:ln>
            <a:effectLst/>
          </c:spPr>
          <c:invertIfNegative val="0"/>
          <c:val>
            <c:numRef>
              <c:f>'TERRA NUA 12 ELEMENTOS'!$K$42:$K$53</c:f>
              <c:numCache>
                <c:formatCode>#,##0.00_ ;[Red]\-#,##0.00\ </c:formatCode>
                <c:ptCount val="12"/>
                <c:pt idx="0">
                  <c:v>0.89999999999999991</c:v>
                </c:pt>
                <c:pt idx="1">
                  <c:v>0.89999999999999991</c:v>
                </c:pt>
                <c:pt idx="2">
                  <c:v>0.89999999999999991</c:v>
                </c:pt>
                <c:pt idx="3">
                  <c:v>0.89999999999999991</c:v>
                </c:pt>
                <c:pt idx="4">
                  <c:v>0.89999999999999991</c:v>
                </c:pt>
                <c:pt idx="5">
                  <c:v>0.89999999999999991</c:v>
                </c:pt>
                <c:pt idx="6">
                  <c:v>0.89999999999999991</c:v>
                </c:pt>
                <c:pt idx="7">
                  <c:v>0.89999999999999991</c:v>
                </c:pt>
                <c:pt idx="8">
                  <c:v>0.89999999999999991</c:v>
                </c:pt>
                <c:pt idx="9">
                  <c:v>0.89999999999999991</c:v>
                </c:pt>
                <c:pt idx="10">
                  <c:v>0.89999999999999991</c:v>
                </c:pt>
                <c:pt idx="11">
                  <c:v>0.89999999999999991</c:v>
                </c:pt>
              </c:numCache>
            </c:numRef>
          </c:val>
          <c:extLst>
            <c:ext xmlns:c16="http://schemas.microsoft.com/office/drawing/2014/chart" uri="{C3380CC4-5D6E-409C-BE32-E72D297353CC}">
              <c16:uniqueId val="{00000000-A01C-4AA7-8564-7C323A726B78}"/>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rnd">
              <a:solidFill>
                <a:srgbClr val="FF0000"/>
              </a:solidFill>
              <a:round/>
            </a:ln>
            <a:effectLst/>
          </c:spPr>
          <c:marker>
            <c:symbol val="none"/>
          </c:marker>
          <c:val>
            <c:numRef>
              <c:f>'TERRA NUA 12 ELEMENTOS'!$S$65:$S$76</c:f>
              <c:numCache>
                <c:formatCode>#,##0.00_ ;\-#,##0.00\ </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A01C-4AA7-8564-7C323A726B78}"/>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'TERRA NUA 12 ELEMENTOS'!$X$136</c:f>
              <c:strCache>
                <c:ptCount val="1"/>
                <c:pt idx="0">
                  <c:v>Média</c:v>
                </c:pt>
              </c:strCache>
            </c:strRef>
          </c:tx>
          <c:spPr>
            <a:ln w="12700" cap="rnd">
              <a:solidFill>
                <a:schemeClr val="tx1"/>
              </a:solidFill>
              <a:prstDash val="dash"/>
              <a:round/>
            </a:ln>
            <a:effectLst/>
          </c:spPr>
          <c:marker>
            <c:symbol val="none"/>
          </c:marker>
          <c:val>
            <c:numRef>
              <c:f>'TERRA NUA 12 ELEMENTOS'!$X$137:$X$148</c:f>
              <c:numCache>
                <c:formatCode>#,##0.00_ ;[Red]\-#,##0.00\ </c:formatCode>
                <c:ptCount val="12"/>
                <c:pt idx="0">
                  <c:v>154283.25884158909</c:v>
                </c:pt>
                <c:pt idx="1">
                  <c:v>154283.25884158909</c:v>
                </c:pt>
                <c:pt idx="2">
                  <c:v>154283.25884158909</c:v>
                </c:pt>
                <c:pt idx="3">
                  <c:v>154283.25884158909</c:v>
                </c:pt>
                <c:pt idx="4">
                  <c:v>154283.25884158909</c:v>
                </c:pt>
                <c:pt idx="5">
                  <c:v>154283.25884158909</c:v>
                </c:pt>
                <c:pt idx="6">
                  <c:v>154283.25884158909</c:v>
                </c:pt>
                <c:pt idx="7">
                  <c:v>154283.25884158909</c:v>
                </c:pt>
                <c:pt idx="8">
                  <c:v>154283.25884158909</c:v>
                </c:pt>
                <c:pt idx="9">
                  <c:v>154283.25884158909</c:v>
                </c:pt>
                <c:pt idx="10">
                  <c:v>154283.25884158909</c:v>
                </c:pt>
                <c:pt idx="11">
                  <c:v>154283.25884158909</c:v>
                </c:pt>
              </c:numCache>
            </c:numRef>
          </c:val>
          <c:smooth val="0"/>
          <c:extLst>
            <c:ext xmlns:c16="http://schemas.microsoft.com/office/drawing/2014/chart" uri="{C3380CC4-5D6E-409C-BE32-E72D297353CC}">
              <c16:uniqueId val="{00000000-4B3B-40DD-BBA7-66F80AE0FE23}"/>
            </c:ext>
          </c:extLst>
        </c:ser>
        <c:ser>
          <c:idx val="1"/>
          <c:order val="2"/>
          <c:tx>
            <c:strRef>
              <c:f>'TERRA NUA 12 ELEMENTOS'!$V$136</c:f>
              <c:strCache>
                <c:ptCount val="1"/>
                <c:pt idx="0">
                  <c:v>Limite inferior</c:v>
                </c:pt>
              </c:strCache>
            </c:strRef>
          </c:tx>
          <c:spPr>
            <a:ln w="12700" cap="sq">
              <a:solidFill>
                <a:srgbClr val="FF0000"/>
              </a:solidFill>
              <a:round/>
            </a:ln>
            <a:effectLst/>
          </c:spPr>
          <c:marker>
            <c:symbol val="none"/>
          </c:marker>
          <c:val>
            <c:numRef>
              <c:f>'TERRA NUA 12 ELEMENTOS'!$V$137:$V$148</c:f>
              <c:numCache>
                <c:formatCode>#,##0.00_ ;[Red]\-#,##0.00\ </c:formatCode>
                <c:ptCount val="12"/>
                <c:pt idx="0">
                  <c:v>66360.203893480691</c:v>
                </c:pt>
                <c:pt idx="1">
                  <c:v>66360.203893480691</c:v>
                </c:pt>
                <c:pt idx="2">
                  <c:v>66360.203893480691</c:v>
                </c:pt>
                <c:pt idx="3">
                  <c:v>66360.203893480691</c:v>
                </c:pt>
                <c:pt idx="4">
                  <c:v>66360.203893480691</c:v>
                </c:pt>
                <c:pt idx="5">
                  <c:v>66360.203893480691</c:v>
                </c:pt>
                <c:pt idx="6">
                  <c:v>66360.203893480691</c:v>
                </c:pt>
                <c:pt idx="7">
                  <c:v>66360.203893480691</c:v>
                </c:pt>
                <c:pt idx="8">
                  <c:v>66360.203893480691</c:v>
                </c:pt>
                <c:pt idx="9">
                  <c:v>66360.203893480691</c:v>
                </c:pt>
                <c:pt idx="10">
                  <c:v>66360.203893480691</c:v>
                </c:pt>
                <c:pt idx="11">
                  <c:v>66360.203893480691</c:v>
                </c:pt>
              </c:numCache>
            </c:numRef>
          </c:val>
          <c:smooth val="0"/>
          <c:extLst>
            <c:ext xmlns:c16="http://schemas.microsoft.com/office/drawing/2014/chart" uri="{C3380CC4-5D6E-409C-BE32-E72D297353CC}">
              <c16:uniqueId val="{00000001-4B3B-40DD-BBA7-66F80AE0FE23}"/>
            </c:ext>
          </c:extLst>
        </c:ser>
        <c:ser>
          <c:idx val="3"/>
          <c:order val="3"/>
          <c:tx>
            <c:strRef>
              <c:f>'TERRA NUA 12 ELEMENTOS'!$W$136</c:f>
              <c:strCache>
                <c:ptCount val="1"/>
                <c:pt idx="0">
                  <c:v>Limite superior</c:v>
                </c:pt>
              </c:strCache>
            </c:strRef>
          </c:tx>
          <c:spPr>
            <a:ln w="12700" cap="sq">
              <a:solidFill>
                <a:srgbClr val="0000FF"/>
              </a:solidFill>
              <a:prstDash val="solid"/>
              <a:round/>
            </a:ln>
            <a:effectLst/>
          </c:spPr>
          <c:marker>
            <c:symbol val="none"/>
          </c:marker>
          <c:val>
            <c:numRef>
              <c:f>'TERRA NUA 12 ELEMENTOS'!$W$137:$W$148</c:f>
              <c:numCache>
                <c:formatCode>#,##0.00_ ;[Red]\-#,##0.00\ </c:formatCode>
                <c:ptCount val="12"/>
                <c:pt idx="0">
                  <c:v>242206.31378969748</c:v>
                </c:pt>
                <c:pt idx="1">
                  <c:v>242206.31378969748</c:v>
                </c:pt>
                <c:pt idx="2">
                  <c:v>242206.31378969748</c:v>
                </c:pt>
                <c:pt idx="3">
                  <c:v>242206.31378969748</c:v>
                </c:pt>
                <c:pt idx="4">
                  <c:v>242206.31378969748</c:v>
                </c:pt>
                <c:pt idx="5">
                  <c:v>242206.31378969748</c:v>
                </c:pt>
                <c:pt idx="6">
                  <c:v>242206.31378969748</c:v>
                </c:pt>
                <c:pt idx="7">
                  <c:v>242206.31378969748</c:v>
                </c:pt>
                <c:pt idx="8">
                  <c:v>242206.31378969748</c:v>
                </c:pt>
                <c:pt idx="9">
                  <c:v>242206.31378969748</c:v>
                </c:pt>
                <c:pt idx="10">
                  <c:v>242206.31378969748</c:v>
                </c:pt>
                <c:pt idx="11">
                  <c:v>242206.31378969748</c:v>
                </c:pt>
              </c:numCache>
            </c:numRef>
          </c:val>
          <c:smooth val="0"/>
          <c:extLst>
            <c:ext xmlns:c16="http://schemas.microsoft.com/office/drawing/2014/chart" uri="{C3380CC4-5D6E-409C-BE32-E72D297353CC}">
              <c16:uniqueId val="{00000002-4B3B-40DD-BBA7-66F80AE0FE23}"/>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'TERRA NUA 12 ELEMENTOS'!$B$136</c:f>
              <c:strCache>
                <c:ptCount val="1"/>
                <c:pt idx="0">
                  <c:v>Preço  unitário da terra nua homogeneizado</c:v>
                </c:pt>
              </c:strCache>
            </c:strRef>
          </c:tx>
          <c:spPr>
            <a:ln w="25400" cap="rnd">
              <a:noFill/>
              <a:round/>
            </a:ln>
            <a:effectLst/>
          </c:spPr>
          <c:marker>
            <c:symbol val="diamond"/>
            <c:size val="8"/>
            <c:spPr>
              <a:solidFill>
                <a:schemeClr val="tx1"/>
              </a:solidFill>
              <a:ln w="9525">
                <a:noFill/>
              </a:ln>
              <a:effectLst/>
            </c:spPr>
          </c:marker>
          <c:yVal>
            <c:numRef>
              <c:f>'TERRA NUA 12 ELEMENTOS'!$B$137:$B$148</c:f>
              <c:numCache>
                <c:formatCode>#,##0.00_ ;[Red]\-#,##0.00\ </c:formatCode>
                <c:ptCount val="12"/>
                <c:pt idx="0">
                  <c:v>257142.85714285713</c:v>
                </c:pt>
                <c:pt idx="1">
                  <c:v>170590.58260175577</c:v>
                </c:pt>
                <c:pt idx="2">
                  <c:v>57719.999999999985</c:v>
                </c:pt>
                <c:pt idx="3">
                  <c:v>146153.84615384613</c:v>
                </c:pt>
                <c:pt idx="4">
                  <c:v>145318.86024423339</c:v>
                </c:pt>
                <c:pt idx="5">
                  <c:v>161612.13088587386</c:v>
                </c:pt>
                <c:pt idx="6">
                  <c:v>157179.81888745146</c:v>
                </c:pt>
                <c:pt idx="7">
                  <c:v>147272.72727272724</c:v>
                </c:pt>
                <c:pt idx="8">
                  <c:v>147272.72727272724</c:v>
                </c:pt>
                <c:pt idx="9">
                  <c:v>157179.81888745146</c:v>
                </c:pt>
                <c:pt idx="10">
                  <c:v>152470.58823529407</c:v>
                </c:pt>
                <c:pt idx="11">
                  <c:v>151485.14851485143</c:v>
                </c:pt>
              </c:numCache>
            </c:numRef>
          </c:yVal>
          <c:smooth val="0"/>
          <c:extLst>
            <c:ext xmlns:c16="http://schemas.microsoft.com/office/drawing/2014/chart" uri="{C3380CC4-5D6E-409C-BE32-E72D297353CC}">
              <c16:uniqueId val="{00000003-4B3B-40DD-BBA7-66F80AE0FE23}"/>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in val="0"/>
        </c:scaling>
        <c:delete val="0"/>
        <c:axPos val="l"/>
        <c:numFmt formatCode="#,##0_ ;[Red]\-#,##0\ " sourceLinked="0"/>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'TERRA NUA 12 ELEMENTOS'!$Y$175</c:f>
              <c:strCache>
                <c:ptCount val="1"/>
                <c:pt idx="0">
                  <c:v>Média</c:v>
                </c:pt>
              </c:strCache>
            </c:strRef>
          </c:tx>
          <c:spPr>
            <a:ln w="12700" cap="sq">
              <a:solidFill>
                <a:schemeClr val="tx1"/>
              </a:solidFill>
              <a:prstDash val="dash"/>
              <a:round/>
            </a:ln>
            <a:effectLst/>
          </c:spPr>
          <c:marker>
            <c:symbol val="none"/>
          </c:marker>
          <c:val>
            <c:numRef>
              <c:f>'TERRA NUA 12 ELEMENTOS'!$Y$176:$Y$187</c:f>
              <c:numCache>
                <c:formatCode>#,##0.00_ ;[Red]\-#,##0.00\ </c:formatCode>
                <c:ptCount val="12"/>
                <c:pt idx="0">
                  <c:v>154283.25884158909</c:v>
                </c:pt>
                <c:pt idx="1">
                  <c:v>154283.25884158909</c:v>
                </c:pt>
                <c:pt idx="2">
                  <c:v>154283.25884158909</c:v>
                </c:pt>
                <c:pt idx="3">
                  <c:v>154283.25884158909</c:v>
                </c:pt>
                <c:pt idx="4">
                  <c:v>154283.25884158909</c:v>
                </c:pt>
                <c:pt idx="5">
                  <c:v>154283.25884158909</c:v>
                </c:pt>
                <c:pt idx="6">
                  <c:v>154283.25884158909</c:v>
                </c:pt>
                <c:pt idx="7">
                  <c:v>154283.25884158909</c:v>
                </c:pt>
                <c:pt idx="8">
                  <c:v>154283.25884158909</c:v>
                </c:pt>
                <c:pt idx="9">
                  <c:v>154283.25884158909</c:v>
                </c:pt>
                <c:pt idx="10">
                  <c:v>154283.25884158909</c:v>
                </c:pt>
                <c:pt idx="11">
                  <c:v>154283.25884158909</c:v>
                </c:pt>
              </c:numCache>
            </c:numRef>
          </c:val>
          <c:smooth val="0"/>
          <c:extLst>
            <c:ext xmlns:c16="http://schemas.microsoft.com/office/drawing/2014/chart" uri="{C3380CC4-5D6E-409C-BE32-E72D297353CC}">
              <c16:uniqueId val="{00000000-4C4C-4D48-9B6B-B4E4EEDD8B8F}"/>
            </c:ext>
          </c:extLst>
        </c:ser>
        <c:ser>
          <c:idx val="3"/>
          <c:order val="2"/>
          <c:tx>
            <c:strRef>
              <c:f>'TERRA NUA 12 ELEMENTOS'!$W$175</c:f>
              <c:strCache>
                <c:ptCount val="1"/>
                <c:pt idx="0">
                  <c:v>Limite inferior</c:v>
                </c:pt>
              </c:strCache>
            </c:strRef>
          </c:tx>
          <c:spPr>
            <a:ln w="12700" cap="sq">
              <a:solidFill>
                <a:srgbClr val="FF0000"/>
              </a:solidFill>
              <a:round/>
            </a:ln>
            <a:effectLst/>
          </c:spPr>
          <c:marker>
            <c:symbol val="none"/>
          </c:marker>
          <c:val>
            <c:numRef>
              <c:f>'TERRA NUA 12 ELEMENTOS'!$W$176:$W$187</c:f>
              <c:numCache>
                <c:formatCode>#,##0.00_ ;[Red]\-#,##0.00\ </c:formatCode>
                <c:ptCount val="12"/>
                <c:pt idx="0">
                  <c:v>52936.99960109005</c:v>
                </c:pt>
                <c:pt idx="1">
                  <c:v>52936.99960109005</c:v>
                </c:pt>
                <c:pt idx="2">
                  <c:v>52936.99960109005</c:v>
                </c:pt>
                <c:pt idx="3">
                  <c:v>52936.99960109005</c:v>
                </c:pt>
                <c:pt idx="4">
                  <c:v>52936.99960109005</c:v>
                </c:pt>
                <c:pt idx="5">
                  <c:v>52936.99960109005</c:v>
                </c:pt>
                <c:pt idx="6">
                  <c:v>52936.99960109005</c:v>
                </c:pt>
                <c:pt idx="7">
                  <c:v>52936.99960109005</c:v>
                </c:pt>
                <c:pt idx="8">
                  <c:v>52936.99960109005</c:v>
                </c:pt>
                <c:pt idx="9">
                  <c:v>52936.99960109005</c:v>
                </c:pt>
                <c:pt idx="10">
                  <c:v>52936.99960109005</c:v>
                </c:pt>
                <c:pt idx="11">
                  <c:v>52936.99960109005</c:v>
                </c:pt>
              </c:numCache>
            </c:numRef>
          </c:val>
          <c:smooth val="0"/>
          <c:extLst>
            <c:ext xmlns:c16="http://schemas.microsoft.com/office/drawing/2014/chart" uri="{C3380CC4-5D6E-409C-BE32-E72D297353CC}">
              <c16:uniqueId val="{00000001-4C4C-4D48-9B6B-B4E4EEDD8B8F}"/>
            </c:ext>
          </c:extLst>
        </c:ser>
        <c:ser>
          <c:idx val="2"/>
          <c:order val="3"/>
          <c:tx>
            <c:strRef>
              <c:f>'TERRA NUA 12 ELEMENTOS'!$X$175</c:f>
              <c:strCache>
                <c:ptCount val="1"/>
                <c:pt idx="0">
                  <c:v>Limite superior</c:v>
                </c:pt>
              </c:strCache>
            </c:strRef>
          </c:tx>
          <c:spPr>
            <a:ln w="12700" cap="sq">
              <a:solidFill>
                <a:srgbClr val="0000FF"/>
              </a:solidFill>
              <a:round/>
            </a:ln>
            <a:effectLst/>
          </c:spPr>
          <c:marker>
            <c:symbol val="none"/>
          </c:marker>
          <c:val>
            <c:numRef>
              <c:f>'TERRA NUA 12 ELEMENTOS'!$X$176:$X$187</c:f>
              <c:numCache>
                <c:formatCode>#,##0.00_ ;[Red]\-#,##0.00\ </c:formatCode>
                <c:ptCount val="12"/>
                <c:pt idx="0">
                  <c:v>255629.51808208815</c:v>
                </c:pt>
                <c:pt idx="1">
                  <c:v>255629.51808208815</c:v>
                </c:pt>
                <c:pt idx="2">
                  <c:v>255629.51808208815</c:v>
                </c:pt>
                <c:pt idx="3">
                  <c:v>255629.51808208815</c:v>
                </c:pt>
                <c:pt idx="4">
                  <c:v>255629.51808208815</c:v>
                </c:pt>
                <c:pt idx="5">
                  <c:v>255629.51808208815</c:v>
                </c:pt>
                <c:pt idx="6">
                  <c:v>255629.51808208815</c:v>
                </c:pt>
                <c:pt idx="7">
                  <c:v>255629.51808208815</c:v>
                </c:pt>
                <c:pt idx="8">
                  <c:v>255629.51808208815</c:v>
                </c:pt>
                <c:pt idx="9">
                  <c:v>255629.51808208815</c:v>
                </c:pt>
                <c:pt idx="10">
                  <c:v>255629.51808208815</c:v>
                </c:pt>
                <c:pt idx="11">
                  <c:v>255629.51808208815</c:v>
                </c:pt>
              </c:numCache>
            </c:numRef>
          </c:val>
          <c:smooth val="0"/>
          <c:extLst>
            <c:ext xmlns:c16="http://schemas.microsoft.com/office/drawing/2014/chart" uri="{C3380CC4-5D6E-409C-BE32-E72D297353CC}">
              <c16:uniqueId val="{00000002-4C4C-4D48-9B6B-B4E4EEDD8B8F}"/>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'TERRA NUA 12 ELEMENTOS'!$B$175</c:f>
              <c:strCache>
                <c:ptCount val="1"/>
                <c:pt idx="0">
                  <c:v>Preço  unitário da terra nua homogeneizado</c:v>
                </c:pt>
              </c:strCache>
            </c:strRef>
          </c:tx>
          <c:spPr>
            <a:ln w="25400" cap="rnd">
              <a:noFill/>
              <a:round/>
            </a:ln>
            <a:effectLst/>
          </c:spPr>
          <c:marker>
            <c:symbol val="diamond"/>
            <c:size val="8"/>
            <c:spPr>
              <a:solidFill>
                <a:schemeClr val="tx1"/>
              </a:solidFill>
              <a:ln w="9525">
                <a:noFill/>
              </a:ln>
              <a:effectLst/>
            </c:spPr>
          </c:marker>
          <c:yVal>
            <c:numRef>
              <c:f>'TERRA NUA 12 ELEMENTOS'!$B$176:$B$187</c:f>
              <c:numCache>
                <c:formatCode>#,##0.00_ ;[Red]\-#,##0.00\ </c:formatCode>
                <c:ptCount val="12"/>
                <c:pt idx="0">
                  <c:v>257142.85714285713</c:v>
                </c:pt>
                <c:pt idx="1">
                  <c:v>170590.58260175577</c:v>
                </c:pt>
                <c:pt idx="2">
                  <c:v>57719.999999999985</c:v>
                </c:pt>
                <c:pt idx="3">
                  <c:v>146153.84615384613</c:v>
                </c:pt>
                <c:pt idx="4">
                  <c:v>145318.86024423339</c:v>
                </c:pt>
                <c:pt idx="5">
                  <c:v>161612.13088587386</c:v>
                </c:pt>
                <c:pt idx="6">
                  <c:v>157179.81888745146</c:v>
                </c:pt>
                <c:pt idx="7">
                  <c:v>147272.72727272724</c:v>
                </c:pt>
                <c:pt idx="8">
                  <c:v>147272.72727272724</c:v>
                </c:pt>
                <c:pt idx="9">
                  <c:v>157179.81888745146</c:v>
                </c:pt>
                <c:pt idx="10">
                  <c:v>152470.58823529407</c:v>
                </c:pt>
                <c:pt idx="11">
                  <c:v>151485.14851485143</c:v>
                </c:pt>
              </c:numCache>
            </c:numRef>
          </c:yVal>
          <c:smooth val="0"/>
          <c:extLst>
            <c:ext xmlns:c16="http://schemas.microsoft.com/office/drawing/2014/chart" uri="{C3380CC4-5D6E-409C-BE32-E72D297353CC}">
              <c16:uniqueId val="{00000003-4C4C-4D48-9B6B-B4E4EEDD8B8F}"/>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scaling>
        <c:delete val="0"/>
        <c:axPos val="l"/>
        <c:numFmt formatCode="#,##0_ ;[Red]\-#,##0\ " sourceLinked="0"/>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Elementos da amostra</c:v>
          </c:tx>
          <c:spPr>
            <a:solidFill>
              <a:schemeClr val="accent1"/>
            </a:solidFill>
            <a:ln>
              <a:noFill/>
            </a:ln>
            <a:effectLst/>
          </c:spPr>
          <c:invertIfNegative val="0"/>
          <c:val>
            <c:numRef>
              <c:f>'TERRA NUA 5 ELEMENTOS'!$I$35:$I$39</c:f>
              <c:numCache>
                <c:formatCode>#,##0.00_ ;[Red]\-#,##0.00\ </c:formatCode>
                <c:ptCount val="5"/>
                <c:pt idx="0">
                  <c:v>1</c:v>
                </c:pt>
                <c:pt idx="1">
                  <c:v>0.95</c:v>
                </c:pt>
                <c:pt idx="2">
                  <c:v>0.64999999999999991</c:v>
                </c:pt>
                <c:pt idx="3">
                  <c:v>0.95</c:v>
                </c:pt>
                <c:pt idx="4">
                  <c:v>0.89999999999999991</c:v>
                </c:pt>
              </c:numCache>
            </c:numRef>
          </c:val>
          <c:extLst>
            <c:ext xmlns:c16="http://schemas.microsoft.com/office/drawing/2014/chart" uri="{C3380CC4-5D6E-409C-BE32-E72D297353CC}">
              <c16:uniqueId val="{00000000-7A06-48E0-B3A5-7A905A52197E}"/>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sq">
              <a:solidFill>
                <a:srgbClr val="FF0000"/>
              </a:solidFill>
              <a:round/>
            </a:ln>
            <a:effectLst/>
          </c:spPr>
          <c:marker>
            <c:symbol val="none"/>
          </c:marker>
          <c:val>
            <c:numRef>
              <c:f>'TERRA NUA 5 ELEMENTOS'!$S$51:$S$55</c:f>
              <c:numCache>
                <c:formatCode>#,##0.00_ ;\-#,##0.00\ </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7A06-48E0-B3A5-7A905A52197E}"/>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out"/>
        <c:minorTickMark val="none"/>
        <c:tickLblPos val="nextTo"/>
        <c:spPr>
          <a:noFill/>
          <a:ln>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Elementos da amostra</c:v>
          </c:tx>
          <c:spPr>
            <a:solidFill>
              <a:schemeClr val="accent1"/>
            </a:solidFill>
            <a:ln>
              <a:noFill/>
            </a:ln>
            <a:effectLst/>
          </c:spPr>
          <c:invertIfNegative val="0"/>
          <c:val>
            <c:numRef>
              <c:f>'TERRA NUA 5 ELEMENTOS'!$S$51:$S$55</c:f>
              <c:numCache>
                <c:formatCode>#,##0.00_ ;\-#,##0.00\ </c:formatCode>
                <c:ptCount val="5"/>
                <c:pt idx="0">
                  <c:v>1</c:v>
                </c:pt>
                <c:pt idx="1">
                  <c:v>1</c:v>
                </c:pt>
                <c:pt idx="2">
                  <c:v>1</c:v>
                </c:pt>
                <c:pt idx="3">
                  <c:v>1</c:v>
                </c:pt>
                <c:pt idx="4">
                  <c:v>1</c:v>
                </c:pt>
              </c:numCache>
            </c:numRef>
          </c:val>
          <c:extLst>
            <c:ext xmlns:c16="http://schemas.microsoft.com/office/drawing/2014/chart" uri="{C3380CC4-5D6E-409C-BE32-E72D297353CC}">
              <c16:uniqueId val="{00000000-41CE-4208-8412-0D83264DD552}"/>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sq">
              <a:solidFill>
                <a:srgbClr val="FF0000"/>
              </a:solidFill>
              <a:round/>
            </a:ln>
            <a:effectLst/>
          </c:spPr>
          <c:marker>
            <c:symbol val="none"/>
          </c:marker>
          <c:val>
            <c:numRef>
              <c:f>'TERRA NUA 5 ELEMENTOS'!$S$51:$S$55</c:f>
              <c:numCache>
                <c:formatCode>#,##0.00_ ;\-#,##0.00\ </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41CE-4208-8412-0D83264DD552}"/>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0.00\ " sourceLinked="1"/>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Ajuste ao bem avaliando</c:v>
          </c:tx>
          <c:spPr>
            <a:solidFill>
              <a:schemeClr val="accent1"/>
            </a:solidFill>
            <a:ln>
              <a:noFill/>
            </a:ln>
            <a:effectLst/>
          </c:spPr>
          <c:invertIfNegative val="0"/>
          <c:val>
            <c:numRef>
              <c:f>'TERRA NUA 5 ELEMENTOS'!$K$35:$K$39</c:f>
              <c:numCache>
                <c:formatCode>#,##0.00_ ;[Red]\-#,##0.00\ </c:formatCode>
                <c:ptCount val="5"/>
                <c:pt idx="0">
                  <c:v>0.89999999999999991</c:v>
                </c:pt>
                <c:pt idx="1">
                  <c:v>0.89999999999999991</c:v>
                </c:pt>
                <c:pt idx="2">
                  <c:v>0.89999999999999991</c:v>
                </c:pt>
                <c:pt idx="3">
                  <c:v>0.89999999999999991</c:v>
                </c:pt>
                <c:pt idx="4">
                  <c:v>0.89999999999999991</c:v>
                </c:pt>
              </c:numCache>
            </c:numRef>
          </c:val>
          <c:extLst>
            <c:ext xmlns:c16="http://schemas.microsoft.com/office/drawing/2014/chart" uri="{C3380CC4-5D6E-409C-BE32-E72D297353CC}">
              <c16:uniqueId val="{00000000-8DDF-4E0C-A502-648B8D6817F5}"/>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12700" cap="rnd">
              <a:solidFill>
                <a:srgbClr val="FF0000"/>
              </a:solidFill>
              <a:round/>
            </a:ln>
            <a:effectLst/>
          </c:spPr>
          <c:marker>
            <c:symbol val="none"/>
          </c:marker>
          <c:val>
            <c:numRef>
              <c:f>'TERRA NUA 5 ELEMENTOS'!$S$51:$S$55</c:f>
              <c:numCache>
                <c:formatCode>#,##0.00_ ;\-#,##0.00\ </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8DDF-4E0C-A502-648B8D6817F5}"/>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1"/>
          <c:tx>
            <c:strRef>
              <c:f>'TERRA NUA 5 ELEMENTOS'!$X$115</c:f>
              <c:strCache>
                <c:ptCount val="1"/>
                <c:pt idx="0">
                  <c:v>Média</c:v>
                </c:pt>
              </c:strCache>
            </c:strRef>
          </c:tx>
          <c:spPr>
            <a:ln w="12700" cap="rnd">
              <a:solidFill>
                <a:schemeClr val="tx1"/>
              </a:solidFill>
              <a:prstDash val="dash"/>
              <a:round/>
            </a:ln>
            <a:effectLst/>
          </c:spPr>
          <c:marker>
            <c:symbol val="none"/>
          </c:marker>
          <c:val>
            <c:numRef>
              <c:f>'TERRA NUA 5 ELEMENTOS'!$X$116:$X$120</c:f>
              <c:numCache>
                <c:formatCode>#,##0.00_ ;[Red]\-#,##0.00\ </c:formatCode>
                <c:ptCount val="5"/>
                <c:pt idx="0">
                  <c:v>156618.48688266211</c:v>
                </c:pt>
                <c:pt idx="1">
                  <c:v>156618.48688266211</c:v>
                </c:pt>
                <c:pt idx="2">
                  <c:v>156618.48688266211</c:v>
                </c:pt>
                <c:pt idx="3">
                  <c:v>156618.48688266211</c:v>
                </c:pt>
                <c:pt idx="4">
                  <c:v>156618.48688266211</c:v>
                </c:pt>
              </c:numCache>
            </c:numRef>
          </c:val>
          <c:smooth val="0"/>
          <c:extLst>
            <c:ext xmlns:c16="http://schemas.microsoft.com/office/drawing/2014/chart" uri="{C3380CC4-5D6E-409C-BE32-E72D297353CC}">
              <c16:uniqueId val="{00000000-9C38-4C72-BEB8-58E6FA2425C9}"/>
            </c:ext>
          </c:extLst>
        </c:ser>
        <c:ser>
          <c:idx val="1"/>
          <c:order val="2"/>
          <c:tx>
            <c:strRef>
              <c:f>'TERRA NUA 5 ELEMENTOS'!$V$115</c:f>
              <c:strCache>
                <c:ptCount val="1"/>
                <c:pt idx="0">
                  <c:v>Limite inferior</c:v>
                </c:pt>
              </c:strCache>
            </c:strRef>
          </c:tx>
          <c:spPr>
            <a:ln w="12700" cap="sq">
              <a:solidFill>
                <a:srgbClr val="FF0000"/>
              </a:solidFill>
              <a:round/>
            </a:ln>
            <a:effectLst/>
          </c:spPr>
          <c:marker>
            <c:symbol val="none"/>
          </c:marker>
          <c:val>
            <c:numRef>
              <c:f>'TERRA NUA 5 ELEMENTOS'!$V$116:$V$120</c:f>
              <c:numCache>
                <c:formatCode>#,##0.00_ ;[Red]\-#,##0.00\ </c:formatCode>
                <c:ptCount val="5"/>
                <c:pt idx="0">
                  <c:v>39680.096885925042</c:v>
                </c:pt>
                <c:pt idx="1">
                  <c:v>39680.096885925042</c:v>
                </c:pt>
                <c:pt idx="2">
                  <c:v>39680.096885925042</c:v>
                </c:pt>
                <c:pt idx="3">
                  <c:v>39680.096885925042</c:v>
                </c:pt>
                <c:pt idx="4">
                  <c:v>39680.096885925042</c:v>
                </c:pt>
              </c:numCache>
            </c:numRef>
          </c:val>
          <c:smooth val="0"/>
          <c:extLst>
            <c:ext xmlns:c16="http://schemas.microsoft.com/office/drawing/2014/chart" uri="{C3380CC4-5D6E-409C-BE32-E72D297353CC}">
              <c16:uniqueId val="{00000001-9C38-4C72-BEB8-58E6FA2425C9}"/>
            </c:ext>
          </c:extLst>
        </c:ser>
        <c:ser>
          <c:idx val="3"/>
          <c:order val="3"/>
          <c:tx>
            <c:strRef>
              <c:f>'TERRA NUA 5 ELEMENTOS'!$W$115</c:f>
              <c:strCache>
                <c:ptCount val="1"/>
                <c:pt idx="0">
                  <c:v>Limite superior</c:v>
                </c:pt>
              </c:strCache>
            </c:strRef>
          </c:tx>
          <c:spPr>
            <a:ln w="12700" cap="sq">
              <a:solidFill>
                <a:srgbClr val="0000FF"/>
              </a:solidFill>
              <a:prstDash val="solid"/>
              <a:round/>
            </a:ln>
            <a:effectLst/>
          </c:spPr>
          <c:marker>
            <c:symbol val="none"/>
          </c:marker>
          <c:val>
            <c:numRef>
              <c:f>'TERRA NUA 5 ELEMENTOS'!$W$116:$W$120</c:f>
              <c:numCache>
                <c:formatCode>#,##0.00_ ;[Red]\-#,##0.00\ </c:formatCode>
                <c:ptCount val="5"/>
                <c:pt idx="0">
                  <c:v>273556.87687939918</c:v>
                </c:pt>
                <c:pt idx="1">
                  <c:v>273556.87687939918</c:v>
                </c:pt>
                <c:pt idx="2">
                  <c:v>273556.87687939918</c:v>
                </c:pt>
                <c:pt idx="3">
                  <c:v>273556.87687939918</c:v>
                </c:pt>
                <c:pt idx="4">
                  <c:v>273556.87687939918</c:v>
                </c:pt>
              </c:numCache>
            </c:numRef>
          </c:val>
          <c:smooth val="0"/>
          <c:extLst>
            <c:ext xmlns:c16="http://schemas.microsoft.com/office/drawing/2014/chart" uri="{C3380CC4-5D6E-409C-BE32-E72D297353CC}">
              <c16:uniqueId val="{00000002-9C38-4C72-BEB8-58E6FA2425C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'TERRA NUA 5 ELEMENTOS'!$B$115</c:f>
              <c:strCache>
                <c:ptCount val="1"/>
                <c:pt idx="0">
                  <c:v>Preço  unitário da terra nua homogeneizado</c:v>
                </c:pt>
              </c:strCache>
            </c:strRef>
          </c:tx>
          <c:spPr>
            <a:ln w="25400" cap="rnd">
              <a:noFill/>
              <a:round/>
            </a:ln>
            <a:effectLst/>
          </c:spPr>
          <c:marker>
            <c:symbol val="diamond"/>
            <c:size val="8"/>
            <c:spPr>
              <a:solidFill>
                <a:schemeClr val="tx1"/>
              </a:solidFill>
              <a:ln w="9525">
                <a:noFill/>
              </a:ln>
              <a:effectLst/>
            </c:spPr>
          </c:marker>
          <c:yVal>
            <c:numRef>
              <c:f>'TERRA NUA 5 ELEMENTOS'!$B$116:$B$120</c:f>
              <c:numCache>
                <c:formatCode>#,##0.00_ ;[Red]\-#,##0.00\ </c:formatCode>
                <c:ptCount val="5"/>
                <c:pt idx="0">
                  <c:v>257142.85714285713</c:v>
                </c:pt>
                <c:pt idx="1">
                  <c:v>170590.58260175577</c:v>
                </c:pt>
                <c:pt idx="2">
                  <c:v>57719.999999999985</c:v>
                </c:pt>
                <c:pt idx="3">
                  <c:v>146153.84615384613</c:v>
                </c:pt>
                <c:pt idx="4">
                  <c:v>151485.14851485143</c:v>
                </c:pt>
              </c:numCache>
            </c:numRef>
          </c:yVal>
          <c:smooth val="0"/>
          <c:extLst>
            <c:ext xmlns:c16="http://schemas.microsoft.com/office/drawing/2014/chart" uri="{C3380CC4-5D6E-409C-BE32-E72D297353CC}">
              <c16:uniqueId val="{00000003-9C38-4C72-BEB8-58E6FA2425C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in val="0"/>
        </c:scaling>
        <c:delete val="0"/>
        <c:axPos val="l"/>
        <c:numFmt formatCode="#,##0_ ;[Red]\-#,##0\ " sourceLinked="0"/>
        <c:majorTickMark val="out"/>
        <c:minorTickMark val="none"/>
        <c:tickLblPos val="nextTo"/>
        <c:spPr>
          <a:noFill/>
          <a:ln w="12700">
            <a:solidFill>
              <a:schemeClr val="tx1"/>
            </a:solidFill>
            <a:tailEnd type="none"/>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crossAx val="417256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solidFill>
            <a:sysClr val="windowText" lastClr="000000"/>
          </a:solidFill>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294977</xdr:colOff>
      <xdr:row>0</xdr:row>
      <xdr:rowOff>1620000</xdr:rowOff>
    </xdr:to>
    <xdr:pic>
      <xdr:nvPicPr>
        <xdr:cNvPr id="5" name="Imagem 4">
          <a:extLst>
            <a:ext uri="{FF2B5EF4-FFF2-40B4-BE49-F238E27FC236}">
              <a16:creationId xmlns:a16="http://schemas.microsoft.com/office/drawing/2014/main" id="{41E1D533-52D1-5461-017F-52D46FAE20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10002" cy="1620000"/>
        </a:xfrm>
        <a:prstGeom prst="rect">
          <a:avLst/>
        </a:prstGeom>
      </xdr:spPr>
    </xdr:pic>
    <xdr:clientData/>
  </xdr:twoCellAnchor>
  <xdr:twoCellAnchor editAs="oneCell">
    <xdr:from>
      <xdr:col>1</xdr:col>
      <xdr:colOff>0</xdr:colOff>
      <xdr:row>80</xdr:row>
      <xdr:rowOff>0</xdr:rowOff>
    </xdr:from>
    <xdr:to>
      <xdr:col>10</xdr:col>
      <xdr:colOff>564975</xdr:colOff>
      <xdr:row>94</xdr:row>
      <xdr:rowOff>132900</xdr:rowOff>
    </xdr:to>
    <xdr:graphicFrame macro="">
      <xdr:nvGraphicFramePr>
        <xdr:cNvPr id="3" name="Gráfico 2">
          <a:extLst>
            <a:ext uri="{FF2B5EF4-FFF2-40B4-BE49-F238E27FC236}">
              <a16:creationId xmlns:a16="http://schemas.microsoft.com/office/drawing/2014/main" id="{3C865BA3-9FC4-43B1-A5E2-6945976B05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98</xdr:row>
      <xdr:rowOff>0</xdr:rowOff>
    </xdr:from>
    <xdr:to>
      <xdr:col>10</xdr:col>
      <xdr:colOff>564975</xdr:colOff>
      <xdr:row>112</xdr:row>
      <xdr:rowOff>132900</xdr:rowOff>
    </xdr:to>
    <xdr:graphicFrame macro="">
      <xdr:nvGraphicFramePr>
        <xdr:cNvPr id="6" name="Gráfico 5">
          <a:extLst>
            <a:ext uri="{FF2B5EF4-FFF2-40B4-BE49-F238E27FC236}">
              <a16:creationId xmlns:a16="http://schemas.microsoft.com/office/drawing/2014/main" id="{993F485A-2F31-494E-A710-0BB0DBCE9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116</xdr:row>
      <xdr:rowOff>0</xdr:rowOff>
    </xdr:from>
    <xdr:to>
      <xdr:col>10</xdr:col>
      <xdr:colOff>564975</xdr:colOff>
      <xdr:row>130</xdr:row>
      <xdr:rowOff>132900</xdr:rowOff>
    </xdr:to>
    <xdr:graphicFrame macro="">
      <xdr:nvGraphicFramePr>
        <xdr:cNvPr id="12" name="Gráfico 11">
          <a:extLst>
            <a:ext uri="{FF2B5EF4-FFF2-40B4-BE49-F238E27FC236}">
              <a16:creationId xmlns:a16="http://schemas.microsoft.com/office/drawing/2014/main" id="{3B219843-6E5E-4097-8C58-85C5FF6F3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152</xdr:row>
      <xdr:rowOff>0</xdr:rowOff>
    </xdr:from>
    <xdr:to>
      <xdr:col>13</xdr:col>
      <xdr:colOff>33300</xdr:colOff>
      <xdr:row>169</xdr:row>
      <xdr:rowOff>109950</xdr:rowOff>
    </xdr:to>
    <xdr:graphicFrame macro="">
      <xdr:nvGraphicFramePr>
        <xdr:cNvPr id="13" name="Gráfico 12">
          <a:extLst>
            <a:ext uri="{FF2B5EF4-FFF2-40B4-BE49-F238E27FC236}">
              <a16:creationId xmlns:a16="http://schemas.microsoft.com/office/drawing/2014/main" id="{A7E00848-8EBF-4838-A129-D598D1C8E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193</xdr:row>
      <xdr:rowOff>0</xdr:rowOff>
    </xdr:from>
    <xdr:to>
      <xdr:col>13</xdr:col>
      <xdr:colOff>33300</xdr:colOff>
      <xdr:row>210</xdr:row>
      <xdr:rowOff>109950</xdr:rowOff>
    </xdr:to>
    <xdr:graphicFrame macro="">
      <xdr:nvGraphicFramePr>
        <xdr:cNvPr id="14" name="Gráfico 13">
          <a:extLst>
            <a:ext uri="{FF2B5EF4-FFF2-40B4-BE49-F238E27FC236}">
              <a16:creationId xmlns:a16="http://schemas.microsoft.com/office/drawing/2014/main" id="{40EE3E7F-985E-4F59-8F3F-C8F042109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294977</xdr:colOff>
      <xdr:row>0</xdr:row>
      <xdr:rowOff>1620000</xdr:rowOff>
    </xdr:to>
    <xdr:pic>
      <xdr:nvPicPr>
        <xdr:cNvPr id="2" name="Imagem 1">
          <a:extLst>
            <a:ext uri="{FF2B5EF4-FFF2-40B4-BE49-F238E27FC236}">
              <a16:creationId xmlns:a16="http://schemas.microsoft.com/office/drawing/2014/main" id="{A808E49E-FFEA-439B-B78D-7D91E1166F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10002" cy="1620000"/>
        </a:xfrm>
        <a:prstGeom prst="rect">
          <a:avLst/>
        </a:prstGeom>
      </xdr:spPr>
    </xdr:pic>
    <xdr:clientData/>
  </xdr:twoCellAnchor>
  <xdr:twoCellAnchor editAs="oneCell">
    <xdr:from>
      <xdr:col>1</xdr:col>
      <xdr:colOff>0</xdr:colOff>
      <xdr:row>59</xdr:row>
      <xdr:rowOff>0</xdr:rowOff>
    </xdr:from>
    <xdr:to>
      <xdr:col>10</xdr:col>
      <xdr:colOff>564975</xdr:colOff>
      <xdr:row>73</xdr:row>
      <xdr:rowOff>132900</xdr:rowOff>
    </xdr:to>
    <xdr:graphicFrame macro="">
      <xdr:nvGraphicFramePr>
        <xdr:cNvPr id="3" name="Gráfico 2">
          <a:extLst>
            <a:ext uri="{FF2B5EF4-FFF2-40B4-BE49-F238E27FC236}">
              <a16:creationId xmlns:a16="http://schemas.microsoft.com/office/drawing/2014/main" id="{B57A55BE-1E52-4A9A-AF09-EEC14DA86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77</xdr:row>
      <xdr:rowOff>0</xdr:rowOff>
    </xdr:from>
    <xdr:to>
      <xdr:col>10</xdr:col>
      <xdr:colOff>564975</xdr:colOff>
      <xdr:row>91</xdr:row>
      <xdr:rowOff>132900</xdr:rowOff>
    </xdr:to>
    <xdr:graphicFrame macro="">
      <xdr:nvGraphicFramePr>
        <xdr:cNvPr id="4" name="Gráfico 3">
          <a:extLst>
            <a:ext uri="{FF2B5EF4-FFF2-40B4-BE49-F238E27FC236}">
              <a16:creationId xmlns:a16="http://schemas.microsoft.com/office/drawing/2014/main" id="{FD2BC905-E49A-4395-B72B-0076BD97E7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95</xdr:row>
      <xdr:rowOff>0</xdr:rowOff>
    </xdr:from>
    <xdr:to>
      <xdr:col>10</xdr:col>
      <xdr:colOff>564975</xdr:colOff>
      <xdr:row>109</xdr:row>
      <xdr:rowOff>132900</xdr:rowOff>
    </xdr:to>
    <xdr:graphicFrame macro="">
      <xdr:nvGraphicFramePr>
        <xdr:cNvPr id="5" name="Gráfico 4">
          <a:extLst>
            <a:ext uri="{FF2B5EF4-FFF2-40B4-BE49-F238E27FC236}">
              <a16:creationId xmlns:a16="http://schemas.microsoft.com/office/drawing/2014/main" id="{7E040DED-6128-462E-B023-A7232A721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132</xdr:row>
      <xdr:rowOff>0</xdr:rowOff>
    </xdr:from>
    <xdr:to>
      <xdr:col>13</xdr:col>
      <xdr:colOff>33300</xdr:colOff>
      <xdr:row>149</xdr:row>
      <xdr:rowOff>109950</xdr:rowOff>
    </xdr:to>
    <xdr:graphicFrame macro="">
      <xdr:nvGraphicFramePr>
        <xdr:cNvPr id="8" name="Gráfico 7">
          <a:extLst>
            <a:ext uri="{FF2B5EF4-FFF2-40B4-BE49-F238E27FC236}">
              <a16:creationId xmlns:a16="http://schemas.microsoft.com/office/drawing/2014/main" id="{C3BFECB8-4927-4B30-A529-357BE000D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179</xdr:row>
      <xdr:rowOff>0</xdr:rowOff>
    </xdr:from>
    <xdr:to>
      <xdr:col>13</xdr:col>
      <xdr:colOff>33300</xdr:colOff>
      <xdr:row>196</xdr:row>
      <xdr:rowOff>109950</xdr:rowOff>
    </xdr:to>
    <xdr:graphicFrame macro="">
      <xdr:nvGraphicFramePr>
        <xdr:cNvPr id="9" name="Gráfico 8">
          <a:extLst>
            <a:ext uri="{FF2B5EF4-FFF2-40B4-BE49-F238E27FC236}">
              <a16:creationId xmlns:a16="http://schemas.microsoft.com/office/drawing/2014/main" id="{07CEDAA0-05A2-4493-9A4F-C04711790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294977</xdr:colOff>
      <xdr:row>0</xdr:row>
      <xdr:rowOff>1620000</xdr:rowOff>
    </xdr:to>
    <xdr:pic>
      <xdr:nvPicPr>
        <xdr:cNvPr id="2" name="Imagem 1">
          <a:extLst>
            <a:ext uri="{FF2B5EF4-FFF2-40B4-BE49-F238E27FC236}">
              <a16:creationId xmlns:a16="http://schemas.microsoft.com/office/drawing/2014/main" id="{9F862774-47E0-4CE3-9265-2CF0DBF4F7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10002" cy="1620000"/>
        </a:xfrm>
        <a:prstGeom prst="rect">
          <a:avLst/>
        </a:prstGeom>
      </xdr:spPr>
    </xdr:pic>
    <xdr:clientData/>
  </xdr:twoCellAnchor>
  <xdr:twoCellAnchor editAs="oneCell">
    <xdr:from>
      <xdr:col>1</xdr:col>
      <xdr:colOff>0</xdr:colOff>
      <xdr:row>53</xdr:row>
      <xdr:rowOff>0</xdr:rowOff>
    </xdr:from>
    <xdr:to>
      <xdr:col>10</xdr:col>
      <xdr:colOff>564975</xdr:colOff>
      <xdr:row>67</xdr:row>
      <xdr:rowOff>132900</xdr:rowOff>
    </xdr:to>
    <xdr:graphicFrame macro="">
      <xdr:nvGraphicFramePr>
        <xdr:cNvPr id="3" name="Gráfico 2">
          <a:extLst>
            <a:ext uri="{FF2B5EF4-FFF2-40B4-BE49-F238E27FC236}">
              <a16:creationId xmlns:a16="http://schemas.microsoft.com/office/drawing/2014/main" id="{616F718A-E7CC-4338-B10E-4CE5CE360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71</xdr:row>
      <xdr:rowOff>0</xdr:rowOff>
    </xdr:from>
    <xdr:to>
      <xdr:col>10</xdr:col>
      <xdr:colOff>564975</xdr:colOff>
      <xdr:row>85</xdr:row>
      <xdr:rowOff>132900</xdr:rowOff>
    </xdr:to>
    <xdr:graphicFrame macro="">
      <xdr:nvGraphicFramePr>
        <xdr:cNvPr id="4" name="Gráfico 3">
          <a:extLst>
            <a:ext uri="{FF2B5EF4-FFF2-40B4-BE49-F238E27FC236}">
              <a16:creationId xmlns:a16="http://schemas.microsoft.com/office/drawing/2014/main" id="{86D5B8D3-45F8-478D-9F35-BC74019E3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89</xdr:row>
      <xdr:rowOff>0</xdr:rowOff>
    </xdr:from>
    <xdr:to>
      <xdr:col>10</xdr:col>
      <xdr:colOff>564975</xdr:colOff>
      <xdr:row>103</xdr:row>
      <xdr:rowOff>132900</xdr:rowOff>
    </xdr:to>
    <xdr:graphicFrame macro="">
      <xdr:nvGraphicFramePr>
        <xdr:cNvPr id="5" name="Gráfico 4">
          <a:extLst>
            <a:ext uri="{FF2B5EF4-FFF2-40B4-BE49-F238E27FC236}">
              <a16:creationId xmlns:a16="http://schemas.microsoft.com/office/drawing/2014/main" id="{F485AEAB-EEF1-499A-9361-C18124815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168</xdr:row>
      <xdr:rowOff>0</xdr:rowOff>
    </xdr:from>
    <xdr:to>
      <xdr:col>13</xdr:col>
      <xdr:colOff>33300</xdr:colOff>
      <xdr:row>185</xdr:row>
      <xdr:rowOff>109950</xdr:rowOff>
    </xdr:to>
    <xdr:graphicFrame macro="">
      <xdr:nvGraphicFramePr>
        <xdr:cNvPr id="9" name="Gráfico 8">
          <a:extLst>
            <a:ext uri="{FF2B5EF4-FFF2-40B4-BE49-F238E27FC236}">
              <a16:creationId xmlns:a16="http://schemas.microsoft.com/office/drawing/2014/main" id="{A66172FA-C66F-4D18-AF2A-932329465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125</xdr:row>
      <xdr:rowOff>0</xdr:rowOff>
    </xdr:from>
    <xdr:to>
      <xdr:col>13</xdr:col>
      <xdr:colOff>33300</xdr:colOff>
      <xdr:row>142</xdr:row>
      <xdr:rowOff>109950</xdr:rowOff>
    </xdr:to>
    <xdr:graphicFrame macro="">
      <xdr:nvGraphicFramePr>
        <xdr:cNvPr id="7" name="Gráfico 6">
          <a:extLst>
            <a:ext uri="{FF2B5EF4-FFF2-40B4-BE49-F238E27FC236}">
              <a16:creationId xmlns:a16="http://schemas.microsoft.com/office/drawing/2014/main" id="{CA3689F0-2A40-4EE9-9343-66749BE7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F282"/>
  <sheetViews>
    <sheetView showGridLines="0" tabSelected="1" zoomScaleNormal="100" workbookViewId="0"/>
  </sheetViews>
  <sheetFormatPr defaultColWidth="4.75" defaultRowHeight="20.100000000000001" customHeight="1" x14ac:dyDescent="0.25"/>
  <cols>
    <col min="1" max="18" width="8.625" style="9" customWidth="1"/>
    <col min="19" max="21" width="25.625" style="1" customWidth="1"/>
    <col min="22" max="25" width="20.625" style="1" customWidth="1"/>
    <col min="26" max="58" width="20.625" style="2" customWidth="1"/>
    <col min="59" max="128" width="4.75" style="1" customWidth="1"/>
    <col min="129" max="16384" width="4.75" style="1"/>
  </cols>
  <sheetData>
    <row r="1" spans="1:21" ht="140.1" customHeight="1" x14ac:dyDescent="0.25">
      <c r="A1" s="30"/>
      <c r="B1" s="30"/>
      <c r="C1" s="30"/>
      <c r="D1" s="30"/>
      <c r="E1" s="30"/>
      <c r="F1" s="30"/>
      <c r="G1" s="30"/>
      <c r="H1" s="30"/>
      <c r="I1" s="30"/>
      <c r="J1" s="30"/>
      <c r="K1" s="30"/>
      <c r="L1" s="30"/>
      <c r="M1" s="30"/>
      <c r="N1" s="30"/>
      <c r="O1" s="30"/>
      <c r="P1" s="30"/>
      <c r="Q1" s="30"/>
      <c r="R1" s="30"/>
    </row>
    <row r="2" spans="1:21" ht="5.0999999999999996" customHeight="1" x14ac:dyDescent="0.25"/>
    <row r="3" spans="1:21" ht="5.0999999999999996" customHeight="1" x14ac:dyDescent="0.25">
      <c r="A3" s="30"/>
      <c r="B3" s="30"/>
      <c r="C3" s="30"/>
      <c r="D3" s="30"/>
      <c r="E3" s="30"/>
      <c r="F3" s="30"/>
      <c r="G3" s="30"/>
      <c r="H3" s="30"/>
      <c r="I3" s="30"/>
      <c r="J3" s="30"/>
      <c r="K3" s="30"/>
      <c r="L3" s="30"/>
      <c r="M3" s="30"/>
      <c r="N3" s="30"/>
      <c r="O3" s="30"/>
      <c r="P3" s="30"/>
      <c r="Q3" s="30"/>
      <c r="R3" s="30"/>
    </row>
    <row r="5" spans="1:21" ht="20.100000000000001" customHeight="1" x14ac:dyDescent="0.25">
      <c r="A5" s="80" t="s">
        <v>89</v>
      </c>
      <c r="B5" s="80"/>
      <c r="C5" s="80"/>
      <c r="D5" s="80"/>
      <c r="E5" s="80"/>
      <c r="F5" s="80"/>
      <c r="G5" s="80"/>
      <c r="H5" s="80"/>
      <c r="I5" s="80"/>
      <c r="J5" s="80"/>
      <c r="K5" s="80"/>
      <c r="L5" s="80"/>
      <c r="M5" s="80"/>
      <c r="N5" s="80"/>
      <c r="O5" s="80"/>
      <c r="P5" s="80"/>
      <c r="Q5" s="80"/>
      <c r="R5" s="80"/>
    </row>
    <row r="6" spans="1:21" ht="20.100000000000001" customHeight="1" x14ac:dyDescent="0.25">
      <c r="A6" s="56" t="s">
        <v>49</v>
      </c>
      <c r="B6" s="56"/>
      <c r="C6" s="56"/>
      <c r="D6" s="56"/>
      <c r="E6" s="56"/>
      <c r="F6" s="56"/>
      <c r="G6" s="56"/>
      <c r="H6" s="56"/>
      <c r="I6" s="56"/>
      <c r="J6" s="56"/>
      <c r="K6" s="56"/>
      <c r="L6" s="56"/>
      <c r="M6" s="56"/>
      <c r="N6" s="56"/>
      <c r="O6" s="56"/>
      <c r="P6" s="56"/>
      <c r="Q6" s="56"/>
      <c r="R6" s="56"/>
    </row>
    <row r="7" spans="1:21" ht="20.100000000000001" customHeight="1" x14ac:dyDescent="0.25">
      <c r="A7" s="79" t="s">
        <v>90</v>
      </c>
      <c r="B7" s="79"/>
      <c r="C7" s="79"/>
      <c r="D7" s="79"/>
      <c r="E7" s="79"/>
      <c r="F7" s="79"/>
      <c r="G7" s="79"/>
      <c r="H7" s="79"/>
      <c r="I7" s="79"/>
      <c r="J7" s="79"/>
      <c r="K7" s="79"/>
      <c r="L7" s="79"/>
      <c r="M7" s="79"/>
      <c r="N7" s="79"/>
      <c r="O7" s="79"/>
      <c r="P7" s="79"/>
      <c r="Q7" s="79"/>
      <c r="R7" s="79"/>
    </row>
    <row r="9" spans="1:21" ht="39.950000000000003" customHeight="1" thickBot="1" x14ac:dyDescent="0.3">
      <c r="A9" s="31" t="s">
        <v>3</v>
      </c>
      <c r="B9" s="44" t="s">
        <v>84</v>
      </c>
      <c r="C9" s="44"/>
      <c r="D9" s="44"/>
      <c r="E9" s="44" t="s">
        <v>4</v>
      </c>
      <c r="F9" s="44"/>
      <c r="G9" s="44"/>
      <c r="H9" s="44" t="s">
        <v>85</v>
      </c>
      <c r="I9" s="44"/>
      <c r="J9" s="44"/>
      <c r="K9" s="44" t="s">
        <v>47</v>
      </c>
      <c r="L9" s="44"/>
      <c r="M9" s="44"/>
      <c r="N9" s="44" t="s">
        <v>0</v>
      </c>
      <c r="O9" s="44"/>
      <c r="P9" s="44" t="s">
        <v>86</v>
      </c>
      <c r="Q9" s="44"/>
      <c r="R9" s="44"/>
      <c r="T9" s="76" t="s">
        <v>0</v>
      </c>
      <c r="U9" s="76"/>
    </row>
    <row r="10" spans="1:21" ht="20.100000000000001" customHeight="1" x14ac:dyDescent="0.25">
      <c r="A10" s="10">
        <v>1</v>
      </c>
      <c r="B10" s="45">
        <v>1000000</v>
      </c>
      <c r="C10" s="45"/>
      <c r="D10" s="45"/>
      <c r="E10" s="45">
        <v>3.5</v>
      </c>
      <c r="F10" s="45"/>
      <c r="G10" s="45"/>
      <c r="H10" s="45">
        <f t="shared" ref="H10:H21" si="0">B10/E10</f>
        <v>285714.28571428574</v>
      </c>
      <c r="I10" s="45"/>
      <c r="J10" s="45"/>
      <c r="K10" s="47" t="s">
        <v>2</v>
      </c>
      <c r="L10" s="47"/>
      <c r="M10" s="47"/>
      <c r="N10" s="75">
        <f>VLOOKUP(K10,$T$11:$U$12,2,0)</f>
        <v>1</v>
      </c>
      <c r="O10" s="75"/>
      <c r="P10" s="45">
        <f>H10*N10</f>
        <v>285714.28571428574</v>
      </c>
      <c r="Q10" s="45"/>
      <c r="R10" s="45"/>
      <c r="T10" s="32" t="s">
        <v>50</v>
      </c>
      <c r="U10" s="32" t="s">
        <v>1</v>
      </c>
    </row>
    <row r="11" spans="1:21" ht="20.100000000000001" customHeight="1" x14ac:dyDescent="0.25">
      <c r="A11" s="10">
        <v>2</v>
      </c>
      <c r="B11" s="48">
        <v>2500000</v>
      </c>
      <c r="C11" s="48"/>
      <c r="D11" s="48"/>
      <c r="E11" s="48">
        <v>12.53</v>
      </c>
      <c r="F11" s="48"/>
      <c r="G11" s="48"/>
      <c r="H11" s="48">
        <f t="shared" si="0"/>
        <v>199521.14924181963</v>
      </c>
      <c r="I11" s="48"/>
      <c r="J11" s="48"/>
      <c r="K11" s="54" t="s">
        <v>2</v>
      </c>
      <c r="L11" s="54"/>
      <c r="M11" s="54"/>
      <c r="N11" s="58">
        <f>VLOOKUP(K11,$T$11:$U$12,2,0)</f>
        <v>1</v>
      </c>
      <c r="O11" s="58"/>
      <c r="P11" s="48">
        <f>H11*N11</f>
        <v>199521.14924181963</v>
      </c>
      <c r="Q11" s="48"/>
      <c r="R11" s="48"/>
      <c r="T11" s="33" t="s">
        <v>51</v>
      </c>
      <c r="U11" s="34">
        <v>0.9</v>
      </c>
    </row>
    <row r="12" spans="1:21" ht="20.100000000000001" customHeight="1" x14ac:dyDescent="0.25">
      <c r="A12" s="10">
        <v>3</v>
      </c>
      <c r="B12" s="48">
        <v>14800000</v>
      </c>
      <c r="C12" s="48"/>
      <c r="D12" s="48"/>
      <c r="E12" s="48">
        <v>150</v>
      </c>
      <c r="F12" s="48"/>
      <c r="G12" s="48"/>
      <c r="H12" s="48">
        <f t="shared" si="0"/>
        <v>98666.666666666672</v>
      </c>
      <c r="I12" s="48"/>
      <c r="J12" s="48"/>
      <c r="K12" s="54" t="s">
        <v>2</v>
      </c>
      <c r="L12" s="54"/>
      <c r="M12" s="54"/>
      <c r="N12" s="58">
        <f>VLOOKUP(K12,$T$11:$U$12,2,0)</f>
        <v>1</v>
      </c>
      <c r="O12" s="58"/>
      <c r="P12" s="48">
        <f>H12*N12</f>
        <v>98666.666666666672</v>
      </c>
      <c r="Q12" s="48"/>
      <c r="R12" s="48"/>
      <c r="T12" s="33" t="s">
        <v>2</v>
      </c>
      <c r="U12" s="34">
        <v>1</v>
      </c>
    </row>
    <row r="13" spans="1:21" ht="20.100000000000001" customHeight="1" x14ac:dyDescent="0.25">
      <c r="A13" s="10">
        <v>4</v>
      </c>
      <c r="B13" s="48">
        <v>1000000</v>
      </c>
      <c r="C13" s="48"/>
      <c r="D13" s="48"/>
      <c r="E13" s="48">
        <v>5.85</v>
      </c>
      <c r="F13" s="48"/>
      <c r="G13" s="48"/>
      <c r="H13" s="48">
        <f t="shared" si="0"/>
        <v>170940.17094017094</v>
      </c>
      <c r="I13" s="48"/>
      <c r="J13" s="48"/>
      <c r="K13" s="54" t="s">
        <v>2</v>
      </c>
      <c r="L13" s="54"/>
      <c r="M13" s="54"/>
      <c r="N13" s="58">
        <f>VLOOKUP(K13,$T$11:$U$12,2,0)</f>
        <v>1</v>
      </c>
      <c r="O13" s="58"/>
      <c r="P13" s="48">
        <f>H13*N13</f>
        <v>170940.17094017094</v>
      </c>
      <c r="Q13" s="48"/>
      <c r="R13" s="48"/>
    </row>
    <row r="14" spans="1:21" ht="20.100000000000001" customHeight="1" x14ac:dyDescent="0.25">
      <c r="A14" s="10">
        <v>5</v>
      </c>
      <c r="B14" s="48">
        <v>1400000</v>
      </c>
      <c r="C14" s="48"/>
      <c r="D14" s="48"/>
      <c r="E14" s="48">
        <v>7.37</v>
      </c>
      <c r="F14" s="48"/>
      <c r="G14" s="48"/>
      <c r="H14" s="48">
        <f t="shared" si="0"/>
        <v>189959.29443690638</v>
      </c>
      <c r="I14" s="48"/>
      <c r="J14" s="48"/>
      <c r="K14" s="54" t="s">
        <v>2</v>
      </c>
      <c r="L14" s="54"/>
      <c r="M14" s="54"/>
      <c r="N14" s="58">
        <f t="shared" ref="N14:N21" si="1">VLOOKUP(K14,$T$11:$U$12,2,0)</f>
        <v>1</v>
      </c>
      <c r="O14" s="58"/>
      <c r="P14" s="48">
        <f t="shared" ref="P14:P21" si="2">H14*N14</f>
        <v>189959.29443690638</v>
      </c>
      <c r="Q14" s="48"/>
      <c r="R14" s="48"/>
    </row>
    <row r="15" spans="1:21" ht="20.100000000000001" customHeight="1" x14ac:dyDescent="0.25">
      <c r="A15" s="10">
        <v>6</v>
      </c>
      <c r="B15" s="48">
        <v>2500000</v>
      </c>
      <c r="C15" s="48"/>
      <c r="D15" s="48"/>
      <c r="E15" s="48">
        <v>12.53</v>
      </c>
      <c r="F15" s="48"/>
      <c r="G15" s="48"/>
      <c r="H15" s="48">
        <f t="shared" ref="H15:H20" si="3">B15/E15</f>
        <v>199521.14924181963</v>
      </c>
      <c r="I15" s="48"/>
      <c r="J15" s="48"/>
      <c r="K15" s="54" t="s">
        <v>2</v>
      </c>
      <c r="L15" s="54"/>
      <c r="M15" s="54"/>
      <c r="N15" s="58">
        <f t="shared" ref="N15:N20" si="4">VLOOKUP(K15,$T$11:$U$12,2,0)</f>
        <v>1</v>
      </c>
      <c r="O15" s="58"/>
      <c r="P15" s="48">
        <f t="shared" ref="P15:P20" si="5">H15*N15</f>
        <v>199521.14924181963</v>
      </c>
      <c r="Q15" s="48"/>
      <c r="R15" s="48"/>
    </row>
    <row r="16" spans="1:21" ht="20.100000000000001" customHeight="1" x14ac:dyDescent="0.25">
      <c r="A16" s="10">
        <v>7</v>
      </c>
      <c r="B16" s="48">
        <v>1500000</v>
      </c>
      <c r="C16" s="48"/>
      <c r="D16" s="48"/>
      <c r="E16" s="48">
        <v>7.73</v>
      </c>
      <c r="F16" s="48"/>
      <c r="G16" s="48"/>
      <c r="H16" s="48">
        <f t="shared" si="3"/>
        <v>194049.15912031048</v>
      </c>
      <c r="I16" s="48"/>
      <c r="J16" s="48"/>
      <c r="K16" s="54" t="s">
        <v>2</v>
      </c>
      <c r="L16" s="54"/>
      <c r="M16" s="54"/>
      <c r="N16" s="58">
        <f t="shared" si="4"/>
        <v>1</v>
      </c>
      <c r="O16" s="58"/>
      <c r="P16" s="48">
        <f t="shared" si="5"/>
        <v>194049.15912031048</v>
      </c>
      <c r="Q16" s="48"/>
      <c r="R16" s="48"/>
    </row>
    <row r="17" spans="1:18" ht="20.100000000000001" customHeight="1" x14ac:dyDescent="0.25">
      <c r="A17" s="10">
        <v>8</v>
      </c>
      <c r="B17" s="48">
        <v>2000000</v>
      </c>
      <c r="C17" s="48"/>
      <c r="D17" s="48"/>
      <c r="E17" s="48">
        <v>11</v>
      </c>
      <c r="F17" s="48"/>
      <c r="G17" s="48"/>
      <c r="H17" s="48">
        <f t="shared" si="3"/>
        <v>181818.18181818182</v>
      </c>
      <c r="I17" s="48"/>
      <c r="J17" s="48"/>
      <c r="K17" s="54" t="s">
        <v>2</v>
      </c>
      <c r="L17" s="54"/>
      <c r="M17" s="54"/>
      <c r="N17" s="58">
        <f t="shared" si="4"/>
        <v>1</v>
      </c>
      <c r="O17" s="58"/>
      <c r="P17" s="48">
        <f t="shared" si="5"/>
        <v>181818.18181818182</v>
      </c>
      <c r="Q17" s="48"/>
      <c r="R17" s="48"/>
    </row>
    <row r="18" spans="1:18" ht="20.100000000000001" customHeight="1" x14ac:dyDescent="0.25">
      <c r="A18" s="10">
        <v>9</v>
      </c>
      <c r="B18" s="48">
        <v>3000000</v>
      </c>
      <c r="C18" s="48"/>
      <c r="D18" s="48"/>
      <c r="E18" s="48">
        <v>16.5</v>
      </c>
      <c r="F18" s="48"/>
      <c r="G18" s="48"/>
      <c r="H18" s="48">
        <f t="shared" si="3"/>
        <v>181818.18181818182</v>
      </c>
      <c r="I18" s="48"/>
      <c r="J18" s="48"/>
      <c r="K18" s="54" t="s">
        <v>2</v>
      </c>
      <c r="L18" s="54"/>
      <c r="M18" s="54"/>
      <c r="N18" s="58">
        <f t="shared" si="4"/>
        <v>1</v>
      </c>
      <c r="O18" s="58"/>
      <c r="P18" s="48">
        <f t="shared" si="5"/>
        <v>181818.18181818182</v>
      </c>
      <c r="Q18" s="48"/>
      <c r="R18" s="48"/>
    </row>
    <row r="19" spans="1:18" ht="20.100000000000001" customHeight="1" x14ac:dyDescent="0.25">
      <c r="A19" s="10">
        <v>10</v>
      </c>
      <c r="B19" s="48">
        <v>1500000</v>
      </c>
      <c r="C19" s="48"/>
      <c r="D19" s="48"/>
      <c r="E19" s="48">
        <v>7.73</v>
      </c>
      <c r="F19" s="48"/>
      <c r="G19" s="48"/>
      <c r="H19" s="48">
        <f t="shared" si="3"/>
        <v>194049.15912031048</v>
      </c>
      <c r="I19" s="48"/>
      <c r="J19" s="48"/>
      <c r="K19" s="54" t="s">
        <v>2</v>
      </c>
      <c r="L19" s="54"/>
      <c r="M19" s="54"/>
      <c r="N19" s="58">
        <f t="shared" si="4"/>
        <v>1</v>
      </c>
      <c r="O19" s="58"/>
      <c r="P19" s="48">
        <f t="shared" si="5"/>
        <v>194049.15912031048</v>
      </c>
      <c r="Q19" s="48"/>
      <c r="R19" s="48"/>
    </row>
    <row r="20" spans="1:18" ht="20.100000000000001" customHeight="1" x14ac:dyDescent="0.25">
      <c r="A20" s="10">
        <v>11</v>
      </c>
      <c r="B20" s="48">
        <v>1600000</v>
      </c>
      <c r="C20" s="48"/>
      <c r="D20" s="48"/>
      <c r="E20" s="48">
        <v>8.5</v>
      </c>
      <c r="F20" s="48"/>
      <c r="G20" s="48"/>
      <c r="H20" s="48">
        <f t="shared" si="3"/>
        <v>188235.29411764705</v>
      </c>
      <c r="I20" s="48"/>
      <c r="J20" s="48"/>
      <c r="K20" s="54" t="s">
        <v>2</v>
      </c>
      <c r="L20" s="54"/>
      <c r="M20" s="54"/>
      <c r="N20" s="58">
        <f t="shared" si="4"/>
        <v>1</v>
      </c>
      <c r="O20" s="58"/>
      <c r="P20" s="48">
        <f t="shared" si="5"/>
        <v>188235.29411764705</v>
      </c>
      <c r="Q20" s="48"/>
      <c r="R20" s="48"/>
    </row>
    <row r="21" spans="1:18" ht="20.100000000000001" customHeight="1" x14ac:dyDescent="0.25">
      <c r="A21" s="10">
        <v>12</v>
      </c>
      <c r="B21" s="48">
        <v>1700000</v>
      </c>
      <c r="C21" s="48"/>
      <c r="D21" s="48"/>
      <c r="E21" s="48">
        <v>9.09</v>
      </c>
      <c r="F21" s="48"/>
      <c r="G21" s="48"/>
      <c r="H21" s="48">
        <f t="shared" si="0"/>
        <v>187018.70187018701</v>
      </c>
      <c r="I21" s="48"/>
      <c r="J21" s="48"/>
      <c r="K21" s="54" t="s">
        <v>2</v>
      </c>
      <c r="L21" s="54"/>
      <c r="M21" s="54"/>
      <c r="N21" s="58">
        <f t="shared" si="1"/>
        <v>1</v>
      </c>
      <c r="O21" s="58"/>
      <c r="P21" s="48">
        <f t="shared" si="2"/>
        <v>187018.70187018701</v>
      </c>
      <c r="Q21" s="48"/>
      <c r="R21" s="48"/>
    </row>
    <row r="23" spans="1:18" ht="20.100000000000001" customHeight="1" x14ac:dyDescent="0.25">
      <c r="L23" s="47" t="s">
        <v>10</v>
      </c>
      <c r="M23" s="47"/>
      <c r="N23" s="47"/>
      <c r="O23" s="47"/>
      <c r="P23" s="45">
        <f>AVERAGE(P10:R21)</f>
        <v>189275.94950887398</v>
      </c>
      <c r="Q23" s="45"/>
      <c r="R23" s="45"/>
    </row>
    <row r="24" spans="1:18" ht="20.100000000000001" customHeight="1" x14ac:dyDescent="0.25">
      <c r="L24" s="53" t="s">
        <v>11</v>
      </c>
      <c r="M24" s="53"/>
      <c r="N24" s="53"/>
      <c r="O24" s="53"/>
      <c r="P24" s="45">
        <f>STDEVA(P10:R21)</f>
        <v>40698.416974782478</v>
      </c>
      <c r="Q24" s="45"/>
      <c r="R24" s="45"/>
    </row>
    <row r="25" spans="1:18" ht="20.100000000000001" customHeight="1" x14ac:dyDescent="0.25">
      <c r="L25" s="54" t="s">
        <v>9</v>
      </c>
      <c r="M25" s="54"/>
      <c r="N25" s="54"/>
      <c r="O25" s="54"/>
      <c r="P25" s="55">
        <f>P24/P23</f>
        <v>0.21502159719914327</v>
      </c>
      <c r="Q25" s="55"/>
      <c r="R25" s="55"/>
    </row>
    <row r="28" spans="1:18" ht="20.100000000000001" customHeight="1" x14ac:dyDescent="0.25">
      <c r="A28" s="56" t="s">
        <v>6</v>
      </c>
      <c r="B28" s="56"/>
      <c r="C28" s="56"/>
      <c r="D28" s="56"/>
      <c r="E28" s="56"/>
      <c r="F28" s="56"/>
      <c r="G28" s="56"/>
      <c r="H28" s="56"/>
      <c r="I28" s="56"/>
      <c r="J28" s="56"/>
      <c r="K28" s="56"/>
      <c r="L28" s="56"/>
      <c r="M28" s="56"/>
      <c r="N28" s="56"/>
      <c r="O28" s="56"/>
      <c r="P28" s="56"/>
      <c r="Q28" s="56"/>
      <c r="R28" s="56"/>
    </row>
    <row r="30" spans="1:18" ht="80.099999999999994" customHeight="1" x14ac:dyDescent="0.25">
      <c r="A30" s="57" t="s">
        <v>44</v>
      </c>
      <c r="B30" s="57"/>
      <c r="C30" s="57"/>
      <c r="D30" s="57"/>
      <c r="E30" s="57"/>
      <c r="F30" s="57"/>
      <c r="G30" s="57"/>
      <c r="H30" s="57"/>
      <c r="I30" s="57"/>
      <c r="J30" s="57"/>
      <c r="K30" s="57"/>
      <c r="L30" s="57"/>
      <c r="M30" s="57"/>
      <c r="N30" s="57"/>
      <c r="O30" s="57"/>
      <c r="P30" s="57"/>
      <c r="Q30" s="57"/>
      <c r="R30" s="57"/>
    </row>
    <row r="32" spans="1:18" ht="20.100000000000001" customHeight="1" x14ac:dyDescent="0.25">
      <c r="A32" s="44" t="s">
        <v>5</v>
      </c>
      <c r="B32" s="44"/>
      <c r="C32" s="44"/>
      <c r="D32" s="44"/>
      <c r="E32" s="44"/>
      <c r="F32" s="44"/>
      <c r="G32" s="44"/>
      <c r="H32" s="44" t="s">
        <v>45</v>
      </c>
      <c r="I32" s="44"/>
      <c r="J32" s="44" t="s">
        <v>57</v>
      </c>
      <c r="K32" s="44"/>
      <c r="L32" s="44"/>
      <c r="M32" s="44"/>
      <c r="N32" s="44"/>
      <c r="O32" s="44" t="s">
        <v>56</v>
      </c>
      <c r="P32" s="44"/>
      <c r="Q32" s="44"/>
      <c r="R32" s="44"/>
    </row>
    <row r="33" spans="1:18" ht="20.100000000000001" customHeight="1" x14ac:dyDescent="0.25">
      <c r="A33" s="54" t="s">
        <v>52</v>
      </c>
      <c r="B33" s="54"/>
      <c r="C33" s="54"/>
      <c r="D33" s="54"/>
      <c r="E33" s="54"/>
      <c r="F33" s="54"/>
      <c r="G33" s="54"/>
      <c r="H33" s="81" t="s">
        <v>72</v>
      </c>
      <c r="I33" s="81"/>
      <c r="J33" s="54" t="s">
        <v>53</v>
      </c>
      <c r="K33" s="54"/>
      <c r="L33" s="54"/>
      <c r="M33" s="54"/>
      <c r="N33" s="54"/>
      <c r="O33" s="48">
        <v>1</v>
      </c>
      <c r="P33" s="48"/>
      <c r="Q33" s="48"/>
      <c r="R33" s="48"/>
    </row>
    <row r="34" spans="1:18" ht="20.100000000000001" customHeight="1" x14ac:dyDescent="0.25">
      <c r="A34" s="54" t="s">
        <v>54</v>
      </c>
      <c r="B34" s="54"/>
      <c r="C34" s="54"/>
      <c r="D34" s="54"/>
      <c r="E34" s="54"/>
      <c r="F34" s="54"/>
      <c r="G34" s="54"/>
      <c r="H34" s="82" t="s">
        <v>73</v>
      </c>
      <c r="I34" s="82"/>
      <c r="J34" s="54" t="s">
        <v>55</v>
      </c>
      <c r="K34" s="54"/>
      <c r="L34" s="54"/>
      <c r="M34" s="54"/>
      <c r="N34" s="54"/>
      <c r="O34" s="48">
        <v>1</v>
      </c>
      <c r="P34" s="48"/>
      <c r="Q34" s="48"/>
      <c r="R34" s="48"/>
    </row>
    <row r="37" spans="1:18" ht="20.100000000000001" customHeight="1" x14ac:dyDescent="0.25">
      <c r="A37" s="46" t="s">
        <v>7</v>
      </c>
      <c r="B37" s="46"/>
      <c r="C37" s="46"/>
      <c r="D37" s="46"/>
      <c r="E37" s="46" t="s">
        <v>8</v>
      </c>
      <c r="F37" s="46"/>
      <c r="G37" s="46"/>
      <c r="H37" s="46" t="s">
        <v>59</v>
      </c>
      <c r="I37" s="46"/>
    </row>
    <row r="38" spans="1:18" ht="20.100000000000001" customHeight="1" x14ac:dyDescent="0.25">
      <c r="A38" s="46"/>
      <c r="B38" s="46"/>
      <c r="C38" s="46"/>
      <c r="D38" s="46"/>
      <c r="E38" s="11" t="s">
        <v>81</v>
      </c>
      <c r="F38" s="11" t="s">
        <v>82</v>
      </c>
      <c r="G38" s="11" t="s">
        <v>83</v>
      </c>
      <c r="H38" s="46"/>
      <c r="I38" s="46"/>
    </row>
    <row r="39" spans="1:18" ht="20.100000000000001" customHeight="1" thickBot="1" x14ac:dyDescent="0.3">
      <c r="A39" s="12"/>
      <c r="B39" s="12"/>
      <c r="C39" s="12"/>
      <c r="D39" s="12"/>
      <c r="E39" s="13">
        <v>0.95</v>
      </c>
      <c r="F39" s="13">
        <v>0.95</v>
      </c>
      <c r="G39" s="13">
        <v>1</v>
      </c>
      <c r="H39" s="78">
        <f>SUM(E39:G39)-COUNT(E39:G39)+1</f>
        <v>0.89999999999999991</v>
      </c>
      <c r="I39" s="78"/>
    </row>
    <row r="41" spans="1:18" ht="39.950000000000003" customHeight="1" x14ac:dyDescent="0.25">
      <c r="A41" s="11" t="s">
        <v>3</v>
      </c>
      <c r="B41" s="46" t="str">
        <f t="shared" ref="B41:B53" si="6">P9</f>
        <v>Preço unitário da terra nua ajustado ao fator de oferta</v>
      </c>
      <c r="C41" s="46"/>
      <c r="D41" s="46"/>
      <c r="E41" s="46"/>
      <c r="F41" s="11" t="s">
        <v>81</v>
      </c>
      <c r="G41" s="11" t="s">
        <v>82</v>
      </c>
      <c r="H41" s="11" t="s">
        <v>83</v>
      </c>
      <c r="I41" s="46" t="s">
        <v>58</v>
      </c>
      <c r="J41" s="46"/>
      <c r="K41" s="46" t="s">
        <v>59</v>
      </c>
      <c r="L41" s="46"/>
      <c r="M41" s="46" t="s">
        <v>5</v>
      </c>
      <c r="N41" s="46"/>
      <c r="O41" s="46" t="s">
        <v>87</v>
      </c>
      <c r="P41" s="46"/>
      <c r="Q41" s="46"/>
      <c r="R41" s="46"/>
    </row>
    <row r="42" spans="1:18" ht="20.100000000000001" customHeight="1" x14ac:dyDescent="0.25">
      <c r="A42" s="14">
        <f>A10</f>
        <v>1</v>
      </c>
      <c r="B42" s="45">
        <f t="shared" si="6"/>
        <v>285714.28571428574</v>
      </c>
      <c r="C42" s="45"/>
      <c r="D42" s="45"/>
      <c r="E42" s="45"/>
      <c r="F42" s="15">
        <v>1</v>
      </c>
      <c r="G42" s="15">
        <v>1</v>
      </c>
      <c r="H42" s="15">
        <v>1</v>
      </c>
      <c r="I42" s="45">
        <f>SUM(F42:G42)-COUNT(F42:G42)+1</f>
        <v>1</v>
      </c>
      <c r="J42" s="47"/>
      <c r="K42" s="45">
        <f>$H$39</f>
        <v>0.89999999999999991</v>
      </c>
      <c r="L42" s="47"/>
      <c r="M42" s="45">
        <f t="shared" ref="M42:M53" si="7">K42*I42</f>
        <v>0.89999999999999991</v>
      </c>
      <c r="N42" s="47"/>
      <c r="O42" s="45">
        <f>B42*M42</f>
        <v>257142.85714285713</v>
      </c>
      <c r="P42" s="45"/>
      <c r="Q42" s="45"/>
      <c r="R42" s="45"/>
    </row>
    <row r="43" spans="1:18" ht="20.100000000000001" customHeight="1" x14ac:dyDescent="0.25">
      <c r="A43" s="14">
        <f t="shared" ref="A43:A53" si="8">A11</f>
        <v>2</v>
      </c>
      <c r="B43" s="45">
        <f t="shared" si="6"/>
        <v>199521.14924181963</v>
      </c>
      <c r="C43" s="45"/>
      <c r="D43" s="45"/>
      <c r="E43" s="45"/>
      <c r="F43" s="15">
        <v>1</v>
      </c>
      <c r="G43" s="15">
        <v>0.95</v>
      </c>
      <c r="H43" s="15">
        <v>1</v>
      </c>
      <c r="I43" s="45">
        <f t="shared" ref="I43:I47" si="9">SUM(F43:G43)-COUNT(F43:G43)+1</f>
        <v>0.95</v>
      </c>
      <c r="J43" s="47"/>
      <c r="K43" s="45">
        <f t="shared" ref="K43:K53" si="10">$H$39</f>
        <v>0.89999999999999991</v>
      </c>
      <c r="L43" s="47"/>
      <c r="M43" s="45">
        <f t="shared" si="7"/>
        <v>0.85499999999999987</v>
      </c>
      <c r="N43" s="47"/>
      <c r="O43" s="45">
        <f t="shared" ref="O43:O53" si="11">B43*M43</f>
        <v>170590.58260175577</v>
      </c>
      <c r="P43" s="45"/>
      <c r="Q43" s="45"/>
      <c r="R43" s="45"/>
    </row>
    <row r="44" spans="1:18" ht="20.100000000000001" customHeight="1" x14ac:dyDescent="0.25">
      <c r="A44" s="14">
        <f t="shared" si="8"/>
        <v>3</v>
      </c>
      <c r="B44" s="45">
        <f t="shared" si="6"/>
        <v>98666.666666666672</v>
      </c>
      <c r="C44" s="45"/>
      <c r="D44" s="45"/>
      <c r="E44" s="45"/>
      <c r="F44" s="15">
        <v>0.75</v>
      </c>
      <c r="G44" s="15">
        <v>0.9</v>
      </c>
      <c r="H44" s="15">
        <v>1</v>
      </c>
      <c r="I44" s="45">
        <f t="shared" si="9"/>
        <v>0.64999999999999991</v>
      </c>
      <c r="J44" s="47"/>
      <c r="K44" s="45">
        <f t="shared" si="10"/>
        <v>0.89999999999999991</v>
      </c>
      <c r="L44" s="47"/>
      <c r="M44" s="45">
        <f t="shared" si="7"/>
        <v>0.58499999999999985</v>
      </c>
      <c r="N44" s="47"/>
      <c r="O44" s="45">
        <f t="shared" si="11"/>
        <v>57719.999999999985</v>
      </c>
      <c r="P44" s="45"/>
      <c r="Q44" s="45"/>
      <c r="R44" s="45"/>
    </row>
    <row r="45" spans="1:18" ht="20.100000000000001" customHeight="1" x14ac:dyDescent="0.25">
      <c r="A45" s="14">
        <f t="shared" si="8"/>
        <v>4</v>
      </c>
      <c r="B45" s="45">
        <f t="shared" si="6"/>
        <v>170940.17094017094</v>
      </c>
      <c r="C45" s="45"/>
      <c r="D45" s="45"/>
      <c r="E45" s="45"/>
      <c r="F45" s="15">
        <v>1</v>
      </c>
      <c r="G45" s="15">
        <v>0.95</v>
      </c>
      <c r="H45" s="15">
        <v>1</v>
      </c>
      <c r="I45" s="45">
        <f t="shared" si="9"/>
        <v>0.95</v>
      </c>
      <c r="J45" s="47"/>
      <c r="K45" s="45">
        <f t="shared" si="10"/>
        <v>0.89999999999999991</v>
      </c>
      <c r="L45" s="47"/>
      <c r="M45" s="45">
        <f t="shared" si="7"/>
        <v>0.85499999999999987</v>
      </c>
      <c r="N45" s="47"/>
      <c r="O45" s="45">
        <f t="shared" si="11"/>
        <v>146153.84615384613</v>
      </c>
      <c r="P45" s="45"/>
      <c r="Q45" s="45"/>
      <c r="R45" s="45"/>
    </row>
    <row r="46" spans="1:18" ht="20.100000000000001" customHeight="1" x14ac:dyDescent="0.25">
      <c r="A46" s="14">
        <f t="shared" si="8"/>
        <v>5</v>
      </c>
      <c r="B46" s="45">
        <f t="shared" si="6"/>
        <v>189959.29443690638</v>
      </c>
      <c r="C46" s="45"/>
      <c r="D46" s="45"/>
      <c r="E46" s="45"/>
      <c r="F46" s="15">
        <v>0.95</v>
      </c>
      <c r="G46" s="15">
        <v>0.9</v>
      </c>
      <c r="H46" s="15">
        <v>1</v>
      </c>
      <c r="I46" s="45">
        <f t="shared" si="9"/>
        <v>0.85000000000000009</v>
      </c>
      <c r="J46" s="47"/>
      <c r="K46" s="45">
        <f t="shared" si="10"/>
        <v>0.89999999999999991</v>
      </c>
      <c r="L46" s="47"/>
      <c r="M46" s="45">
        <f t="shared" si="7"/>
        <v>0.76500000000000001</v>
      </c>
      <c r="N46" s="47"/>
      <c r="O46" s="45">
        <f t="shared" si="11"/>
        <v>145318.86024423339</v>
      </c>
      <c r="P46" s="45"/>
      <c r="Q46" s="45"/>
      <c r="R46" s="45"/>
    </row>
    <row r="47" spans="1:18" ht="20.100000000000001" customHeight="1" x14ac:dyDescent="0.25">
      <c r="A47" s="14">
        <f t="shared" si="8"/>
        <v>6</v>
      </c>
      <c r="B47" s="45">
        <f t="shared" si="6"/>
        <v>199521.14924181963</v>
      </c>
      <c r="C47" s="45"/>
      <c r="D47" s="45"/>
      <c r="E47" s="45"/>
      <c r="F47" s="15">
        <v>1</v>
      </c>
      <c r="G47" s="15">
        <v>0.9</v>
      </c>
      <c r="H47" s="15">
        <v>1</v>
      </c>
      <c r="I47" s="45">
        <f t="shared" si="9"/>
        <v>0.89999999999999991</v>
      </c>
      <c r="J47" s="47"/>
      <c r="K47" s="45">
        <f t="shared" si="10"/>
        <v>0.89999999999999991</v>
      </c>
      <c r="L47" s="47"/>
      <c r="M47" s="45">
        <f t="shared" si="7"/>
        <v>0.80999999999999983</v>
      </c>
      <c r="N47" s="47"/>
      <c r="O47" s="45">
        <f t="shared" si="11"/>
        <v>161612.13088587386</v>
      </c>
      <c r="P47" s="45"/>
      <c r="Q47" s="45"/>
      <c r="R47" s="45"/>
    </row>
    <row r="48" spans="1:18" ht="20.100000000000001" customHeight="1" x14ac:dyDescent="0.25">
      <c r="A48" s="14">
        <f t="shared" si="8"/>
        <v>7</v>
      </c>
      <c r="B48" s="45">
        <f t="shared" si="6"/>
        <v>194049.15912031048</v>
      </c>
      <c r="C48" s="45"/>
      <c r="D48" s="45"/>
      <c r="E48" s="45"/>
      <c r="F48" s="15">
        <v>1</v>
      </c>
      <c r="G48" s="15">
        <v>0.9</v>
      </c>
      <c r="H48" s="15">
        <v>1</v>
      </c>
      <c r="I48" s="45">
        <f t="shared" ref="I48:I53" si="12">SUM(F48:G48)-COUNT(F48:G48)+1</f>
        <v>0.89999999999999991</v>
      </c>
      <c r="J48" s="47"/>
      <c r="K48" s="45">
        <f t="shared" si="10"/>
        <v>0.89999999999999991</v>
      </c>
      <c r="L48" s="47"/>
      <c r="M48" s="45">
        <f t="shared" si="7"/>
        <v>0.80999999999999983</v>
      </c>
      <c r="N48" s="47"/>
      <c r="O48" s="45">
        <f t="shared" si="11"/>
        <v>157179.81888745146</v>
      </c>
      <c r="P48" s="45"/>
      <c r="Q48" s="45"/>
      <c r="R48" s="45"/>
    </row>
    <row r="49" spans="1:18" ht="20.100000000000001" customHeight="1" x14ac:dyDescent="0.25">
      <c r="A49" s="14">
        <f t="shared" si="8"/>
        <v>8</v>
      </c>
      <c r="B49" s="45">
        <f t="shared" si="6"/>
        <v>181818.18181818182</v>
      </c>
      <c r="C49" s="45"/>
      <c r="D49" s="45"/>
      <c r="E49" s="45"/>
      <c r="F49" s="15">
        <v>1</v>
      </c>
      <c r="G49" s="15">
        <v>0.9</v>
      </c>
      <c r="H49" s="15">
        <v>1</v>
      </c>
      <c r="I49" s="45">
        <f t="shared" si="12"/>
        <v>0.89999999999999991</v>
      </c>
      <c r="J49" s="47"/>
      <c r="K49" s="45">
        <f t="shared" si="10"/>
        <v>0.89999999999999991</v>
      </c>
      <c r="L49" s="47"/>
      <c r="M49" s="45">
        <f t="shared" si="7"/>
        <v>0.80999999999999983</v>
      </c>
      <c r="N49" s="47"/>
      <c r="O49" s="45">
        <f t="shared" si="11"/>
        <v>147272.72727272724</v>
      </c>
      <c r="P49" s="45"/>
      <c r="Q49" s="45"/>
      <c r="R49" s="45"/>
    </row>
    <row r="50" spans="1:18" ht="20.100000000000001" customHeight="1" x14ac:dyDescent="0.25">
      <c r="A50" s="14">
        <f t="shared" si="8"/>
        <v>9</v>
      </c>
      <c r="B50" s="45">
        <f t="shared" si="6"/>
        <v>181818.18181818182</v>
      </c>
      <c r="C50" s="45"/>
      <c r="D50" s="45"/>
      <c r="E50" s="45"/>
      <c r="F50" s="15">
        <v>1</v>
      </c>
      <c r="G50" s="15">
        <v>0.9</v>
      </c>
      <c r="H50" s="15">
        <v>1</v>
      </c>
      <c r="I50" s="45">
        <f t="shared" si="12"/>
        <v>0.89999999999999991</v>
      </c>
      <c r="J50" s="47"/>
      <c r="K50" s="45">
        <f t="shared" si="10"/>
        <v>0.89999999999999991</v>
      </c>
      <c r="L50" s="47"/>
      <c r="M50" s="45">
        <f t="shared" si="7"/>
        <v>0.80999999999999983</v>
      </c>
      <c r="N50" s="47"/>
      <c r="O50" s="45">
        <f t="shared" si="11"/>
        <v>147272.72727272724</v>
      </c>
      <c r="P50" s="45"/>
      <c r="Q50" s="45"/>
      <c r="R50" s="45"/>
    </row>
    <row r="51" spans="1:18" ht="20.100000000000001" customHeight="1" x14ac:dyDescent="0.25">
      <c r="A51" s="14">
        <f t="shared" si="8"/>
        <v>10</v>
      </c>
      <c r="B51" s="45">
        <f t="shared" si="6"/>
        <v>194049.15912031048</v>
      </c>
      <c r="C51" s="45"/>
      <c r="D51" s="45"/>
      <c r="E51" s="45"/>
      <c r="F51" s="15">
        <v>1</v>
      </c>
      <c r="G51" s="15">
        <v>0.9</v>
      </c>
      <c r="H51" s="15">
        <v>1</v>
      </c>
      <c r="I51" s="45">
        <f t="shared" si="12"/>
        <v>0.89999999999999991</v>
      </c>
      <c r="J51" s="47"/>
      <c r="K51" s="45">
        <f t="shared" si="10"/>
        <v>0.89999999999999991</v>
      </c>
      <c r="L51" s="47"/>
      <c r="M51" s="45">
        <f t="shared" si="7"/>
        <v>0.80999999999999983</v>
      </c>
      <c r="N51" s="47"/>
      <c r="O51" s="45">
        <f t="shared" si="11"/>
        <v>157179.81888745146</v>
      </c>
      <c r="P51" s="45"/>
      <c r="Q51" s="45"/>
      <c r="R51" s="45"/>
    </row>
    <row r="52" spans="1:18" ht="20.100000000000001" customHeight="1" x14ac:dyDescent="0.25">
      <c r="A52" s="14">
        <f t="shared" si="8"/>
        <v>11</v>
      </c>
      <c r="B52" s="45">
        <f t="shared" si="6"/>
        <v>188235.29411764705</v>
      </c>
      <c r="C52" s="45"/>
      <c r="D52" s="45"/>
      <c r="E52" s="45"/>
      <c r="F52" s="15">
        <v>1</v>
      </c>
      <c r="G52" s="15">
        <v>0.9</v>
      </c>
      <c r="H52" s="15">
        <v>1</v>
      </c>
      <c r="I52" s="45">
        <f t="shared" si="12"/>
        <v>0.89999999999999991</v>
      </c>
      <c r="J52" s="47"/>
      <c r="K52" s="45">
        <f t="shared" si="10"/>
        <v>0.89999999999999991</v>
      </c>
      <c r="L52" s="47"/>
      <c r="M52" s="45">
        <f t="shared" si="7"/>
        <v>0.80999999999999983</v>
      </c>
      <c r="N52" s="47"/>
      <c r="O52" s="45">
        <f t="shared" si="11"/>
        <v>152470.58823529407</v>
      </c>
      <c r="P52" s="45"/>
      <c r="Q52" s="45"/>
      <c r="R52" s="45"/>
    </row>
    <row r="53" spans="1:18" ht="20.100000000000001" customHeight="1" x14ac:dyDescent="0.25">
      <c r="A53" s="14">
        <f t="shared" si="8"/>
        <v>12</v>
      </c>
      <c r="B53" s="45">
        <f t="shared" si="6"/>
        <v>187018.70187018701</v>
      </c>
      <c r="C53" s="45"/>
      <c r="D53" s="45"/>
      <c r="E53" s="45"/>
      <c r="F53" s="15">
        <v>1</v>
      </c>
      <c r="G53" s="15">
        <v>0.9</v>
      </c>
      <c r="H53" s="15">
        <v>1</v>
      </c>
      <c r="I53" s="45">
        <f t="shared" si="12"/>
        <v>0.89999999999999991</v>
      </c>
      <c r="J53" s="47"/>
      <c r="K53" s="45">
        <f t="shared" si="10"/>
        <v>0.89999999999999991</v>
      </c>
      <c r="L53" s="47"/>
      <c r="M53" s="45">
        <f t="shared" si="7"/>
        <v>0.80999999999999983</v>
      </c>
      <c r="N53" s="47"/>
      <c r="O53" s="45">
        <f t="shared" si="11"/>
        <v>151485.14851485143</v>
      </c>
      <c r="P53" s="45"/>
      <c r="Q53" s="45"/>
      <c r="R53" s="45"/>
    </row>
    <row r="55" spans="1:18" ht="20.100000000000001" customHeight="1" x14ac:dyDescent="0.25">
      <c r="E55" s="16"/>
      <c r="F55" s="16"/>
      <c r="G55" s="16"/>
      <c r="H55" s="16"/>
      <c r="I55" s="16"/>
      <c r="L55" s="47" t="s">
        <v>10</v>
      </c>
      <c r="M55" s="47"/>
      <c r="N55" s="47"/>
      <c r="O55" s="47"/>
      <c r="P55" s="51">
        <f>AVERAGE(O42:O53)</f>
        <v>154283.25884158909</v>
      </c>
      <c r="Q55" s="51"/>
      <c r="R55" s="51"/>
    </row>
    <row r="56" spans="1:18" ht="20.100000000000001" customHeight="1" x14ac:dyDescent="0.25">
      <c r="E56" s="17"/>
      <c r="L56" s="53" t="s">
        <v>11</v>
      </c>
      <c r="M56" s="53"/>
      <c r="N56" s="53"/>
      <c r="O56" s="53"/>
      <c r="P56" s="51">
        <f>STDEVA(O42:O47)</f>
        <v>63785.855404508955</v>
      </c>
      <c r="Q56" s="51"/>
      <c r="R56" s="51"/>
    </row>
    <row r="57" spans="1:18" ht="20.100000000000001" customHeight="1" x14ac:dyDescent="0.25">
      <c r="H57" s="18"/>
      <c r="L57" s="54" t="s">
        <v>9</v>
      </c>
      <c r="M57" s="54"/>
      <c r="N57" s="54"/>
      <c r="O57" s="54"/>
      <c r="P57" s="77">
        <f>P56/P55</f>
        <v>0.41343342034278208</v>
      </c>
      <c r="Q57" s="77"/>
      <c r="R57" s="77"/>
    </row>
    <row r="58" spans="1:18" ht="20.100000000000001" customHeight="1" x14ac:dyDescent="0.25">
      <c r="I58" s="19"/>
    </row>
    <row r="59" spans="1:18" ht="20.100000000000001" customHeight="1" x14ac:dyDescent="0.25">
      <c r="I59" s="19"/>
    </row>
    <row r="60" spans="1:18" ht="20.100000000000001" customHeight="1" x14ac:dyDescent="0.25">
      <c r="A60" s="66" t="s">
        <v>64</v>
      </c>
      <c r="B60" s="66"/>
      <c r="C60" s="66"/>
      <c r="D60" s="66"/>
      <c r="E60" s="66"/>
      <c r="F60" s="66"/>
      <c r="G60" s="66"/>
      <c r="H60" s="66"/>
      <c r="I60" s="66"/>
      <c r="J60" s="66"/>
      <c r="K60" s="66"/>
      <c r="L60" s="66"/>
      <c r="M60" s="66"/>
      <c r="N60" s="66"/>
      <c r="O60" s="66"/>
      <c r="P60" s="66"/>
      <c r="Q60" s="66"/>
      <c r="R60" s="66"/>
    </row>
    <row r="61" spans="1:18" ht="20.100000000000001" customHeight="1" x14ac:dyDescent="0.25">
      <c r="A61" s="66"/>
      <c r="B61" s="66"/>
      <c r="C61" s="66"/>
      <c r="D61" s="66"/>
      <c r="E61" s="66"/>
      <c r="F61" s="66"/>
      <c r="G61" s="66"/>
      <c r="H61" s="66"/>
      <c r="I61" s="66"/>
      <c r="J61" s="66"/>
      <c r="K61" s="66"/>
      <c r="L61" s="66"/>
      <c r="M61" s="66"/>
      <c r="N61" s="66"/>
      <c r="O61" s="66"/>
      <c r="P61" s="66"/>
      <c r="Q61" s="66"/>
      <c r="R61" s="66"/>
    </row>
    <row r="62" spans="1:18" ht="20.100000000000001" customHeight="1" x14ac:dyDescent="0.25">
      <c r="I62" s="19"/>
    </row>
    <row r="63" spans="1:18" ht="20.100000000000001" customHeight="1" x14ac:dyDescent="0.25">
      <c r="A63" s="44" t="s">
        <v>63</v>
      </c>
      <c r="B63" s="44" t="s">
        <v>65</v>
      </c>
      <c r="C63" s="44"/>
      <c r="D63" s="44"/>
      <c r="F63" s="44" t="s">
        <v>7</v>
      </c>
      <c r="G63" s="44"/>
      <c r="H63" s="44"/>
      <c r="I63" s="19"/>
      <c r="M63" s="44" t="s">
        <v>66</v>
      </c>
      <c r="N63" s="44"/>
      <c r="O63" s="44"/>
    </row>
    <row r="64" spans="1:18" ht="20.100000000000001" customHeight="1" x14ac:dyDescent="0.25">
      <c r="A64" s="44"/>
      <c r="B64" s="31" t="s">
        <v>72</v>
      </c>
      <c r="C64" s="31" t="s">
        <v>73</v>
      </c>
      <c r="D64" s="31" t="s">
        <v>74</v>
      </c>
      <c r="F64" s="31" t="s">
        <v>72</v>
      </c>
      <c r="G64" s="31" t="s">
        <v>73</v>
      </c>
      <c r="H64" s="31" t="s">
        <v>74</v>
      </c>
      <c r="I64" s="19"/>
      <c r="M64" s="31" t="s">
        <v>72</v>
      </c>
      <c r="N64" s="31" t="s">
        <v>73</v>
      </c>
      <c r="O64" s="31" t="s">
        <v>74</v>
      </c>
    </row>
    <row r="65" spans="1:19" ht="20.100000000000001" customHeight="1" x14ac:dyDescent="0.25">
      <c r="A65" s="14">
        <f>A10</f>
        <v>1</v>
      </c>
      <c r="B65" s="15">
        <f>F42</f>
        <v>1</v>
      </c>
      <c r="C65" s="15">
        <f>G42</f>
        <v>1</v>
      </c>
      <c r="D65" s="15">
        <f>H42</f>
        <v>1</v>
      </c>
      <c r="F65" s="15">
        <f>E39</f>
        <v>0.95</v>
      </c>
      <c r="G65" s="15">
        <f>F39</f>
        <v>0.95</v>
      </c>
      <c r="H65" s="15">
        <f>G39</f>
        <v>1</v>
      </c>
      <c r="I65" s="19"/>
      <c r="M65" s="20" t="str">
        <f>IF(AND(($F$65/B65)&gt;=0.5,($F$65/B65)&lt;=2),"Aceito","Rejeitado")</f>
        <v>Aceito</v>
      </c>
      <c r="N65" s="20" t="str">
        <f>IF(AND(($G$65/C65)&gt;=0.5,($G$65/C65)&lt;=2),"Aceito","Rejeitado")</f>
        <v>Aceito</v>
      </c>
      <c r="O65" s="20" t="str">
        <f>IF(AND(($H$65/D65)&gt;=0.5,($H$65/D65)&lt;=2),"Aceito","Rejeitado")</f>
        <v>Aceito</v>
      </c>
      <c r="S65" s="1">
        <v>1</v>
      </c>
    </row>
    <row r="66" spans="1:19" ht="20.100000000000001" customHeight="1" x14ac:dyDescent="0.25">
      <c r="A66" s="21">
        <f t="shared" ref="A66:A76" si="13">A11</f>
        <v>2</v>
      </c>
      <c r="B66" s="22">
        <f t="shared" ref="B66:C70" si="14">F43</f>
        <v>1</v>
      </c>
      <c r="C66" s="22">
        <f t="shared" si="14"/>
        <v>0.95</v>
      </c>
      <c r="D66" s="22">
        <f t="shared" ref="D66:D76" si="15">H43</f>
        <v>1</v>
      </c>
      <c r="I66" s="19"/>
      <c r="M66" s="23" t="str">
        <f t="shared" ref="M66:M76" si="16">IF(AND((F$65/B66)&gt;=0.5,(F$65/B66)&lt;=2),"Aceito","Rejeitado")</f>
        <v>Aceito</v>
      </c>
      <c r="N66" s="23" t="str">
        <f t="shared" ref="N66:N76" si="17">IF(AND((G$65/C66)&gt;=0.5,(G$65/C66)&lt;=2),"Aceito","Rejeitado")</f>
        <v>Aceito</v>
      </c>
      <c r="O66" s="23" t="str">
        <f t="shared" ref="O66:O76" si="18">IF(AND(($H$65/D66)&gt;=0.5,($H$65/D66)&lt;=2),"Aceito","Rejeitado")</f>
        <v>Aceito</v>
      </c>
      <c r="S66" s="1">
        <v>1</v>
      </c>
    </row>
    <row r="67" spans="1:19" ht="20.100000000000001" customHeight="1" x14ac:dyDescent="0.25">
      <c r="A67" s="21">
        <f t="shared" si="13"/>
        <v>3</v>
      </c>
      <c r="B67" s="22">
        <f t="shared" si="14"/>
        <v>0.75</v>
      </c>
      <c r="C67" s="22">
        <f t="shared" si="14"/>
        <v>0.9</v>
      </c>
      <c r="D67" s="22">
        <f t="shared" si="15"/>
        <v>1</v>
      </c>
      <c r="I67" s="19"/>
      <c r="M67" s="23" t="str">
        <f t="shared" si="16"/>
        <v>Aceito</v>
      </c>
      <c r="N67" s="23" t="str">
        <f t="shared" si="17"/>
        <v>Aceito</v>
      </c>
      <c r="O67" s="23" t="str">
        <f t="shared" si="18"/>
        <v>Aceito</v>
      </c>
      <c r="S67" s="1">
        <v>1</v>
      </c>
    </row>
    <row r="68" spans="1:19" ht="20.100000000000001" customHeight="1" x14ac:dyDescent="0.25">
      <c r="A68" s="21">
        <f t="shared" si="13"/>
        <v>4</v>
      </c>
      <c r="B68" s="22">
        <f t="shared" si="14"/>
        <v>1</v>
      </c>
      <c r="C68" s="22">
        <f t="shared" si="14"/>
        <v>0.95</v>
      </c>
      <c r="D68" s="22">
        <f t="shared" si="15"/>
        <v>1</v>
      </c>
      <c r="I68" s="19"/>
      <c r="M68" s="23" t="str">
        <f t="shared" si="16"/>
        <v>Aceito</v>
      </c>
      <c r="N68" s="23" t="str">
        <f t="shared" si="17"/>
        <v>Aceito</v>
      </c>
      <c r="O68" s="23" t="str">
        <f t="shared" si="18"/>
        <v>Aceito</v>
      </c>
      <c r="S68" s="1">
        <v>1</v>
      </c>
    </row>
    <row r="69" spans="1:19" ht="20.100000000000001" customHeight="1" x14ac:dyDescent="0.25">
      <c r="A69" s="21">
        <f t="shared" si="13"/>
        <v>5</v>
      </c>
      <c r="B69" s="22">
        <f t="shared" si="14"/>
        <v>0.95</v>
      </c>
      <c r="C69" s="22">
        <f t="shared" si="14"/>
        <v>0.9</v>
      </c>
      <c r="D69" s="22">
        <f t="shared" si="15"/>
        <v>1</v>
      </c>
      <c r="I69" s="19"/>
      <c r="M69" s="23" t="str">
        <f t="shared" si="16"/>
        <v>Aceito</v>
      </c>
      <c r="N69" s="23" t="str">
        <f t="shared" si="17"/>
        <v>Aceito</v>
      </c>
      <c r="O69" s="23" t="str">
        <f t="shared" si="18"/>
        <v>Aceito</v>
      </c>
      <c r="S69" s="1">
        <v>1</v>
      </c>
    </row>
    <row r="70" spans="1:19" ht="20.100000000000001" customHeight="1" x14ac:dyDescent="0.25">
      <c r="A70" s="21">
        <f t="shared" si="13"/>
        <v>6</v>
      </c>
      <c r="B70" s="22">
        <f t="shared" si="14"/>
        <v>1</v>
      </c>
      <c r="C70" s="22">
        <f t="shared" si="14"/>
        <v>0.9</v>
      </c>
      <c r="D70" s="22">
        <f t="shared" si="15"/>
        <v>1</v>
      </c>
      <c r="I70" s="19"/>
      <c r="M70" s="23" t="str">
        <f t="shared" si="16"/>
        <v>Aceito</v>
      </c>
      <c r="N70" s="23" t="str">
        <f t="shared" si="17"/>
        <v>Aceito</v>
      </c>
      <c r="O70" s="23" t="str">
        <f t="shared" si="18"/>
        <v>Aceito</v>
      </c>
      <c r="S70" s="1">
        <v>1</v>
      </c>
    </row>
    <row r="71" spans="1:19" ht="20.100000000000001" customHeight="1" x14ac:dyDescent="0.25">
      <c r="A71" s="21">
        <f t="shared" si="13"/>
        <v>7</v>
      </c>
      <c r="B71" s="22">
        <f t="shared" ref="B71:B76" si="19">F48</f>
        <v>1</v>
      </c>
      <c r="C71" s="22">
        <f t="shared" ref="C71:C76" si="20">G48</f>
        <v>0.9</v>
      </c>
      <c r="D71" s="22">
        <f t="shared" si="15"/>
        <v>1</v>
      </c>
      <c r="I71" s="19"/>
      <c r="M71" s="23" t="str">
        <f t="shared" si="16"/>
        <v>Aceito</v>
      </c>
      <c r="N71" s="23" t="str">
        <f t="shared" si="17"/>
        <v>Aceito</v>
      </c>
      <c r="O71" s="23" t="str">
        <f t="shared" si="18"/>
        <v>Aceito</v>
      </c>
      <c r="S71" s="1">
        <v>1</v>
      </c>
    </row>
    <row r="72" spans="1:19" ht="20.100000000000001" customHeight="1" x14ac:dyDescent="0.25">
      <c r="A72" s="21">
        <f t="shared" si="13"/>
        <v>8</v>
      </c>
      <c r="B72" s="22">
        <f t="shared" si="19"/>
        <v>1</v>
      </c>
      <c r="C72" s="22">
        <f t="shared" si="20"/>
        <v>0.9</v>
      </c>
      <c r="D72" s="22">
        <f t="shared" si="15"/>
        <v>1</v>
      </c>
      <c r="I72" s="19"/>
      <c r="M72" s="23" t="str">
        <f t="shared" si="16"/>
        <v>Aceito</v>
      </c>
      <c r="N72" s="23" t="str">
        <f t="shared" si="17"/>
        <v>Aceito</v>
      </c>
      <c r="O72" s="23" t="str">
        <f t="shared" si="18"/>
        <v>Aceito</v>
      </c>
      <c r="S72" s="1">
        <v>1</v>
      </c>
    </row>
    <row r="73" spans="1:19" ht="20.100000000000001" customHeight="1" x14ac:dyDescent="0.25">
      <c r="A73" s="21">
        <f t="shared" si="13"/>
        <v>9</v>
      </c>
      <c r="B73" s="22">
        <f t="shared" si="19"/>
        <v>1</v>
      </c>
      <c r="C73" s="22">
        <f t="shared" si="20"/>
        <v>0.9</v>
      </c>
      <c r="D73" s="22">
        <f t="shared" si="15"/>
        <v>1</v>
      </c>
      <c r="I73" s="19"/>
      <c r="M73" s="23" t="str">
        <f t="shared" si="16"/>
        <v>Aceito</v>
      </c>
      <c r="N73" s="23" t="str">
        <f t="shared" si="17"/>
        <v>Aceito</v>
      </c>
      <c r="O73" s="23" t="str">
        <f t="shared" si="18"/>
        <v>Aceito</v>
      </c>
      <c r="S73" s="1">
        <v>1</v>
      </c>
    </row>
    <row r="74" spans="1:19" ht="20.100000000000001" customHeight="1" x14ac:dyDescent="0.25">
      <c r="A74" s="21">
        <f t="shared" si="13"/>
        <v>10</v>
      </c>
      <c r="B74" s="22">
        <f t="shared" si="19"/>
        <v>1</v>
      </c>
      <c r="C74" s="22">
        <f t="shared" si="20"/>
        <v>0.9</v>
      </c>
      <c r="D74" s="22">
        <f t="shared" si="15"/>
        <v>1</v>
      </c>
      <c r="I74" s="19"/>
      <c r="M74" s="23" t="str">
        <f t="shared" si="16"/>
        <v>Aceito</v>
      </c>
      <c r="N74" s="23" t="str">
        <f t="shared" si="17"/>
        <v>Aceito</v>
      </c>
      <c r="O74" s="23" t="str">
        <f t="shared" si="18"/>
        <v>Aceito</v>
      </c>
      <c r="S74" s="1">
        <v>1</v>
      </c>
    </row>
    <row r="75" spans="1:19" ht="20.100000000000001" customHeight="1" x14ac:dyDescent="0.25">
      <c r="A75" s="21">
        <f t="shared" si="13"/>
        <v>11</v>
      </c>
      <c r="B75" s="22">
        <f t="shared" si="19"/>
        <v>1</v>
      </c>
      <c r="C75" s="22">
        <f t="shared" si="20"/>
        <v>0.9</v>
      </c>
      <c r="D75" s="22">
        <f t="shared" si="15"/>
        <v>1</v>
      </c>
      <c r="I75" s="19"/>
      <c r="M75" s="23" t="str">
        <f t="shared" si="16"/>
        <v>Aceito</v>
      </c>
      <c r="N75" s="23" t="str">
        <f t="shared" si="17"/>
        <v>Aceito</v>
      </c>
      <c r="O75" s="23" t="str">
        <f t="shared" si="18"/>
        <v>Aceito</v>
      </c>
      <c r="S75" s="1">
        <v>1</v>
      </c>
    </row>
    <row r="76" spans="1:19" ht="20.100000000000001" customHeight="1" x14ac:dyDescent="0.25">
      <c r="A76" s="21">
        <f t="shared" si="13"/>
        <v>12</v>
      </c>
      <c r="B76" s="22">
        <f t="shared" si="19"/>
        <v>1</v>
      </c>
      <c r="C76" s="22">
        <f t="shared" si="20"/>
        <v>0.9</v>
      </c>
      <c r="D76" s="22">
        <f t="shared" si="15"/>
        <v>1</v>
      </c>
      <c r="I76" s="19"/>
      <c r="M76" s="23" t="str">
        <f t="shared" si="16"/>
        <v>Aceito</v>
      </c>
      <c r="N76" s="23" t="str">
        <f t="shared" si="17"/>
        <v>Aceito</v>
      </c>
      <c r="O76" s="23" t="str">
        <f t="shared" si="18"/>
        <v>Aceito</v>
      </c>
      <c r="S76" s="1">
        <v>1</v>
      </c>
    </row>
    <row r="77" spans="1:19" ht="20.100000000000001" customHeight="1" x14ac:dyDescent="0.25">
      <c r="I77" s="19"/>
    </row>
    <row r="78" spans="1:19" ht="20.100000000000001" customHeight="1" x14ac:dyDescent="0.25">
      <c r="I78" s="19"/>
    </row>
    <row r="79" spans="1:19" ht="20.100000000000001" customHeight="1" x14ac:dyDescent="0.25">
      <c r="A79" s="53" t="s">
        <v>76</v>
      </c>
      <c r="B79" s="53"/>
      <c r="C79" s="53"/>
      <c r="D79" s="53"/>
      <c r="E79" s="53"/>
      <c r="F79" s="53"/>
      <c r="G79" s="53"/>
      <c r="H79" s="53"/>
      <c r="I79" s="53"/>
      <c r="J79" s="53"/>
      <c r="K79" s="53"/>
      <c r="L79" s="53"/>
      <c r="M79" s="53"/>
      <c r="N79" s="53"/>
      <c r="O79" s="53"/>
      <c r="P79" s="53"/>
      <c r="Q79" s="53"/>
      <c r="R79" s="53"/>
    </row>
    <row r="80" spans="1:19" ht="20.100000000000001" customHeight="1" x14ac:dyDescent="0.25">
      <c r="I80" s="19"/>
    </row>
    <row r="81" spans="9:9" ht="20.100000000000001" customHeight="1" x14ac:dyDescent="0.25">
      <c r="I81" s="19"/>
    </row>
    <row r="82" spans="9:9" ht="20.100000000000001" customHeight="1" x14ac:dyDescent="0.25">
      <c r="I82" s="19"/>
    </row>
    <row r="83" spans="9:9" ht="20.100000000000001" customHeight="1" x14ac:dyDescent="0.25">
      <c r="I83" s="19"/>
    </row>
    <row r="84" spans="9:9" ht="20.100000000000001" customHeight="1" x14ac:dyDescent="0.25">
      <c r="I84" s="19"/>
    </row>
    <row r="85" spans="9:9" ht="20.100000000000001" customHeight="1" x14ac:dyDescent="0.25">
      <c r="I85" s="19"/>
    </row>
    <row r="86" spans="9:9" ht="20.100000000000001" customHeight="1" x14ac:dyDescent="0.25">
      <c r="I86" s="19"/>
    </row>
    <row r="87" spans="9:9" ht="20.100000000000001" customHeight="1" x14ac:dyDescent="0.25">
      <c r="I87" s="19"/>
    </row>
    <row r="88" spans="9:9" ht="20.100000000000001" customHeight="1" x14ac:dyDescent="0.25">
      <c r="I88" s="19"/>
    </row>
    <row r="89" spans="9:9" ht="20.100000000000001" customHeight="1" x14ac:dyDescent="0.25">
      <c r="I89" s="19"/>
    </row>
    <row r="90" spans="9:9" ht="20.100000000000001" customHeight="1" x14ac:dyDescent="0.25">
      <c r="I90" s="19"/>
    </row>
    <row r="91" spans="9:9" ht="20.100000000000001" customHeight="1" x14ac:dyDescent="0.25">
      <c r="I91" s="19"/>
    </row>
    <row r="92" spans="9:9" ht="20.100000000000001" customHeight="1" x14ac:dyDescent="0.25">
      <c r="I92" s="19"/>
    </row>
    <row r="93" spans="9:9" ht="20.100000000000001" customHeight="1" x14ac:dyDescent="0.25">
      <c r="I93" s="19"/>
    </row>
    <row r="94" spans="9:9" ht="20.100000000000001" customHeight="1" x14ac:dyDescent="0.25">
      <c r="I94" s="19"/>
    </row>
    <row r="96" spans="9:9" ht="20.100000000000001" customHeight="1" x14ac:dyDescent="0.25">
      <c r="I96" s="19"/>
    </row>
    <row r="97" spans="1:18" ht="20.100000000000001" customHeight="1" x14ac:dyDescent="0.25">
      <c r="A97" s="53" t="s">
        <v>77</v>
      </c>
      <c r="B97" s="53"/>
      <c r="C97" s="53"/>
      <c r="D97" s="53"/>
      <c r="E97" s="53"/>
      <c r="F97" s="53"/>
      <c r="G97" s="53"/>
      <c r="H97" s="53"/>
      <c r="I97" s="53"/>
      <c r="J97" s="53"/>
      <c r="K97" s="53"/>
      <c r="L97" s="53"/>
      <c r="M97" s="53"/>
      <c r="N97" s="53"/>
      <c r="O97" s="53"/>
      <c r="P97" s="53"/>
      <c r="Q97" s="53"/>
      <c r="R97" s="53"/>
    </row>
    <row r="98" spans="1:18" ht="20.100000000000001" customHeight="1" x14ac:dyDescent="0.25">
      <c r="I98" s="19"/>
    </row>
    <row r="99" spans="1:18" ht="20.100000000000001" customHeight="1" x14ac:dyDescent="0.25">
      <c r="I99" s="19"/>
    </row>
    <row r="100" spans="1:18" ht="20.100000000000001" customHeight="1" x14ac:dyDescent="0.25">
      <c r="I100" s="19"/>
    </row>
    <row r="101" spans="1:18" ht="20.100000000000001" customHeight="1" x14ac:dyDescent="0.25">
      <c r="I101" s="19"/>
    </row>
    <row r="102" spans="1:18" ht="20.100000000000001" customHeight="1" x14ac:dyDescent="0.25">
      <c r="I102" s="19"/>
    </row>
    <row r="103" spans="1:18" ht="20.100000000000001" customHeight="1" x14ac:dyDescent="0.25">
      <c r="I103" s="19"/>
    </row>
    <row r="104" spans="1:18" ht="20.100000000000001" customHeight="1" x14ac:dyDescent="0.25">
      <c r="I104" s="19"/>
    </row>
    <row r="105" spans="1:18" ht="20.100000000000001" customHeight="1" x14ac:dyDescent="0.25">
      <c r="I105" s="19"/>
    </row>
    <row r="106" spans="1:18" ht="20.100000000000001" customHeight="1" x14ac:dyDescent="0.25">
      <c r="I106" s="19"/>
    </row>
    <row r="107" spans="1:18" ht="20.100000000000001" customHeight="1" x14ac:dyDescent="0.25">
      <c r="I107" s="19"/>
    </row>
    <row r="108" spans="1:18" ht="20.100000000000001" customHeight="1" x14ac:dyDescent="0.25">
      <c r="I108" s="19"/>
    </row>
    <row r="109" spans="1:18" ht="20.100000000000001" customHeight="1" x14ac:dyDescent="0.25">
      <c r="I109" s="19"/>
    </row>
    <row r="110" spans="1:18" ht="20.100000000000001" customHeight="1" x14ac:dyDescent="0.25">
      <c r="I110" s="19"/>
    </row>
    <row r="111" spans="1:18" ht="20.100000000000001" customHeight="1" x14ac:dyDescent="0.25">
      <c r="I111" s="19"/>
    </row>
    <row r="112" spans="1:18" ht="20.100000000000001" customHeight="1" x14ac:dyDescent="0.25">
      <c r="I112" s="19"/>
    </row>
    <row r="113" spans="1:18" ht="20.100000000000001" customHeight="1" x14ac:dyDescent="0.25">
      <c r="I113" s="19"/>
    </row>
    <row r="114" spans="1:18" ht="20.100000000000001" customHeight="1" x14ac:dyDescent="0.25">
      <c r="I114" s="19"/>
    </row>
    <row r="115" spans="1:18" ht="20.100000000000001" customHeight="1" x14ac:dyDescent="0.25">
      <c r="A115" s="53" t="s">
        <v>78</v>
      </c>
      <c r="B115" s="53"/>
      <c r="C115" s="53"/>
      <c r="D115" s="53"/>
      <c r="E115" s="53"/>
      <c r="F115" s="53"/>
      <c r="G115" s="53"/>
      <c r="H115" s="53"/>
      <c r="I115" s="53"/>
      <c r="J115" s="53"/>
      <c r="K115" s="53"/>
      <c r="L115" s="53"/>
      <c r="M115" s="53"/>
      <c r="N115" s="53"/>
      <c r="O115" s="53"/>
      <c r="P115" s="53"/>
      <c r="Q115" s="53"/>
      <c r="R115" s="53"/>
    </row>
    <row r="116" spans="1:18" ht="20.100000000000001" customHeight="1" x14ac:dyDescent="0.25">
      <c r="I116" s="19"/>
    </row>
    <row r="117" spans="1:18" ht="20.100000000000001" customHeight="1" x14ac:dyDescent="0.25">
      <c r="I117" s="19"/>
    </row>
    <row r="118" spans="1:18" ht="20.100000000000001" customHeight="1" x14ac:dyDescent="0.25">
      <c r="I118" s="19"/>
    </row>
    <row r="119" spans="1:18" ht="20.100000000000001" customHeight="1" x14ac:dyDescent="0.25">
      <c r="I119" s="19"/>
    </row>
    <row r="120" spans="1:18" ht="20.100000000000001" customHeight="1" x14ac:dyDescent="0.25">
      <c r="I120" s="19"/>
    </row>
    <row r="121" spans="1:18" ht="20.100000000000001" customHeight="1" x14ac:dyDescent="0.25">
      <c r="I121" s="19"/>
    </row>
    <row r="122" spans="1:18" ht="20.100000000000001" customHeight="1" x14ac:dyDescent="0.25">
      <c r="I122" s="19"/>
    </row>
    <row r="123" spans="1:18" ht="20.100000000000001" customHeight="1" x14ac:dyDescent="0.25">
      <c r="I123" s="19"/>
    </row>
    <row r="124" spans="1:18" ht="20.100000000000001" customHeight="1" x14ac:dyDescent="0.25">
      <c r="I124" s="19"/>
    </row>
    <row r="125" spans="1:18" ht="20.100000000000001" customHeight="1" x14ac:dyDescent="0.25">
      <c r="I125" s="19"/>
    </row>
    <row r="126" spans="1:18" ht="20.100000000000001" customHeight="1" x14ac:dyDescent="0.25">
      <c r="I126" s="19"/>
    </row>
    <row r="127" spans="1:18" ht="20.100000000000001" customHeight="1" x14ac:dyDescent="0.25">
      <c r="I127" s="19"/>
    </row>
    <row r="128" spans="1:18" ht="20.100000000000001" customHeight="1" x14ac:dyDescent="0.25">
      <c r="I128" s="19"/>
    </row>
    <row r="129" spans="1:25" ht="20.100000000000001" customHeight="1" x14ac:dyDescent="0.25">
      <c r="I129" s="19"/>
    </row>
    <row r="130" spans="1:25" ht="20.100000000000001" customHeight="1" x14ac:dyDescent="0.25">
      <c r="I130" s="19"/>
    </row>
    <row r="131" spans="1:25" ht="20.100000000000001" customHeight="1" x14ac:dyDescent="0.25">
      <c r="I131" s="19"/>
    </row>
    <row r="133" spans="1:25" ht="20.100000000000001" customHeight="1" x14ac:dyDescent="0.25">
      <c r="P133" s="24"/>
      <c r="Q133" s="24"/>
      <c r="R133" s="24"/>
      <c r="W133" s="6"/>
      <c r="X133" s="6"/>
      <c r="Y133" s="6"/>
    </row>
    <row r="134" spans="1:25" ht="20.100000000000001" customHeight="1" x14ac:dyDescent="0.25">
      <c r="A134" s="56" t="s">
        <v>19</v>
      </c>
      <c r="B134" s="56"/>
      <c r="C134" s="56"/>
      <c r="D134" s="56"/>
      <c r="E134" s="56"/>
      <c r="F134" s="56"/>
      <c r="G134" s="56"/>
      <c r="H134" s="56"/>
      <c r="I134" s="56"/>
      <c r="J134" s="56"/>
      <c r="K134" s="56"/>
      <c r="L134" s="56"/>
      <c r="M134" s="56"/>
      <c r="N134" s="56"/>
      <c r="O134" s="56"/>
      <c r="P134" s="56"/>
      <c r="Q134" s="56"/>
      <c r="R134" s="56"/>
    </row>
    <row r="136" spans="1:25" ht="20.100000000000001" customHeight="1" x14ac:dyDescent="0.25">
      <c r="A136" s="31" t="s">
        <v>3</v>
      </c>
      <c r="B136" s="44" t="str">
        <f t="shared" ref="B136:B148" si="21">O41</f>
        <v>Preço  unitário da terra nua homogeneizado</v>
      </c>
      <c r="C136" s="44"/>
      <c r="D136" s="44"/>
      <c r="E136" s="44"/>
      <c r="F136" s="44"/>
      <c r="G136" s="25"/>
      <c r="L136" s="47" t="s">
        <v>48</v>
      </c>
      <c r="M136" s="47"/>
      <c r="N136" s="47"/>
      <c r="O136" s="47"/>
      <c r="P136" s="47"/>
      <c r="Q136" s="50">
        <f>COUNT(B137:B148)</f>
        <v>12</v>
      </c>
      <c r="R136" s="50"/>
      <c r="V136" s="1" t="s">
        <v>12</v>
      </c>
      <c r="W136" s="1" t="s">
        <v>13</v>
      </c>
      <c r="X136" s="1" t="s">
        <v>10</v>
      </c>
      <c r="Y136" s="1">
        <f>VLOOKUP(P146,B137:G148,6,0)</f>
        <v>1</v>
      </c>
    </row>
    <row r="137" spans="1:25" ht="20.100000000000001" customHeight="1" x14ac:dyDescent="0.25">
      <c r="A137" s="26">
        <f t="shared" ref="A137:A148" si="22">A10</f>
        <v>1</v>
      </c>
      <c r="B137" s="45">
        <f t="shared" si="21"/>
        <v>257142.85714285713</v>
      </c>
      <c r="C137" s="45"/>
      <c r="D137" s="45"/>
      <c r="E137" s="45"/>
      <c r="F137" s="45"/>
      <c r="G137" s="27">
        <f>A137</f>
        <v>1</v>
      </c>
      <c r="L137" s="47" t="s">
        <v>20</v>
      </c>
      <c r="M137" s="47"/>
      <c r="N137" s="47"/>
      <c r="O137" s="47"/>
      <c r="P137" s="47"/>
      <c r="Q137" s="49">
        <f>_xlfn.NORM.S.INV(1-((1/Q136)/4))</f>
        <v>2.0368341317013874</v>
      </c>
      <c r="R137" s="49"/>
      <c r="V137" s="6">
        <f>$P$142</f>
        <v>66360.203893480691</v>
      </c>
      <c r="W137" s="6">
        <f>$P$141</f>
        <v>242206.31378969748</v>
      </c>
      <c r="X137" s="6">
        <f>$P$139</f>
        <v>154283.25884158909</v>
      </c>
      <c r="Y137" s="6"/>
    </row>
    <row r="138" spans="1:25" ht="20.100000000000001" customHeight="1" x14ac:dyDescent="0.25">
      <c r="A138" s="28">
        <f t="shared" si="22"/>
        <v>2</v>
      </c>
      <c r="B138" s="48">
        <f t="shared" si="21"/>
        <v>170590.58260175577</v>
      </c>
      <c r="C138" s="48"/>
      <c r="D138" s="48"/>
      <c r="E138" s="48"/>
      <c r="F138" s="48"/>
      <c r="G138" s="27">
        <f t="shared" ref="G138:G148" si="23">A138</f>
        <v>2</v>
      </c>
      <c r="V138" s="6">
        <f t="shared" ref="V138:V148" si="24">$P$142</f>
        <v>66360.203893480691</v>
      </c>
      <c r="W138" s="6">
        <f t="shared" ref="W138:W148" si="25">$P$141</f>
        <v>242206.31378969748</v>
      </c>
      <c r="X138" s="6">
        <f t="shared" ref="X138:X148" si="26">$P$139</f>
        <v>154283.25884158909</v>
      </c>
      <c r="Y138" s="6"/>
    </row>
    <row r="139" spans="1:25" ht="20.100000000000001" customHeight="1" x14ac:dyDescent="0.25">
      <c r="A139" s="28">
        <f t="shared" si="22"/>
        <v>3</v>
      </c>
      <c r="B139" s="48">
        <f t="shared" si="21"/>
        <v>57719.999999999985</v>
      </c>
      <c r="C139" s="48"/>
      <c r="D139" s="48"/>
      <c r="E139" s="48"/>
      <c r="F139" s="48"/>
      <c r="G139" s="27">
        <f t="shared" si="23"/>
        <v>3</v>
      </c>
      <c r="L139" s="47" t="s">
        <v>10</v>
      </c>
      <c r="M139" s="47"/>
      <c r="N139" s="47"/>
      <c r="O139" s="47"/>
      <c r="P139" s="45">
        <f>AVERAGE(B137:B148)</f>
        <v>154283.25884158909</v>
      </c>
      <c r="Q139" s="45"/>
      <c r="R139" s="45"/>
      <c r="V139" s="6">
        <f t="shared" si="24"/>
        <v>66360.203893480691</v>
      </c>
      <c r="W139" s="6">
        <f t="shared" si="25"/>
        <v>242206.31378969748</v>
      </c>
      <c r="X139" s="6">
        <f t="shared" si="26"/>
        <v>154283.25884158909</v>
      </c>
      <c r="Y139" s="6"/>
    </row>
    <row r="140" spans="1:25" ht="20.100000000000001" customHeight="1" x14ac:dyDescent="0.25">
      <c r="A140" s="28">
        <f t="shared" si="22"/>
        <v>4</v>
      </c>
      <c r="B140" s="48">
        <f t="shared" si="21"/>
        <v>146153.84615384613</v>
      </c>
      <c r="C140" s="48"/>
      <c r="D140" s="48"/>
      <c r="E140" s="48"/>
      <c r="F140" s="48"/>
      <c r="G140" s="27">
        <f t="shared" si="23"/>
        <v>4</v>
      </c>
      <c r="L140" s="47" t="s">
        <v>11</v>
      </c>
      <c r="M140" s="47"/>
      <c r="N140" s="47"/>
      <c r="O140" s="47"/>
      <c r="P140" s="45">
        <f>STDEVA(B137:B148)</f>
        <v>43166.526709106853</v>
      </c>
      <c r="Q140" s="45"/>
      <c r="R140" s="45"/>
      <c r="V140" s="6">
        <f t="shared" si="24"/>
        <v>66360.203893480691</v>
      </c>
      <c r="W140" s="6">
        <f t="shared" si="25"/>
        <v>242206.31378969748</v>
      </c>
      <c r="X140" s="6">
        <f t="shared" si="26"/>
        <v>154283.25884158909</v>
      </c>
      <c r="Y140" s="6"/>
    </row>
    <row r="141" spans="1:25" ht="20.100000000000001" customHeight="1" x14ac:dyDescent="0.25">
      <c r="A141" s="28">
        <f t="shared" si="22"/>
        <v>5</v>
      </c>
      <c r="B141" s="48">
        <f t="shared" si="21"/>
        <v>145318.86024423339</v>
      </c>
      <c r="C141" s="48"/>
      <c r="D141" s="48"/>
      <c r="E141" s="48"/>
      <c r="F141" s="48"/>
      <c r="G141" s="27">
        <f t="shared" si="23"/>
        <v>5</v>
      </c>
      <c r="L141" s="47" t="s">
        <v>13</v>
      </c>
      <c r="M141" s="47"/>
      <c r="N141" s="47"/>
      <c r="O141" s="47"/>
      <c r="P141" s="45">
        <f>P139+(Q137*P140)</f>
        <v>242206.31378969748</v>
      </c>
      <c r="Q141" s="45"/>
      <c r="R141" s="45"/>
      <c r="V141" s="6">
        <f t="shared" si="24"/>
        <v>66360.203893480691</v>
      </c>
      <c r="W141" s="6">
        <f t="shared" si="25"/>
        <v>242206.31378969748</v>
      </c>
      <c r="X141" s="6">
        <f t="shared" si="26"/>
        <v>154283.25884158909</v>
      </c>
      <c r="Y141" s="6"/>
    </row>
    <row r="142" spans="1:25" ht="20.100000000000001" customHeight="1" x14ac:dyDescent="0.25">
      <c r="A142" s="28">
        <f t="shared" si="22"/>
        <v>6</v>
      </c>
      <c r="B142" s="48">
        <f t="shared" si="21"/>
        <v>161612.13088587386</v>
      </c>
      <c r="C142" s="48"/>
      <c r="D142" s="48"/>
      <c r="E142" s="48"/>
      <c r="F142" s="48"/>
      <c r="G142" s="27">
        <f t="shared" si="23"/>
        <v>6</v>
      </c>
      <c r="L142" s="47" t="s">
        <v>12</v>
      </c>
      <c r="M142" s="47"/>
      <c r="N142" s="47"/>
      <c r="O142" s="47"/>
      <c r="P142" s="45">
        <f>P139-(Q137*P140)</f>
        <v>66360.203893480691</v>
      </c>
      <c r="Q142" s="45"/>
      <c r="R142" s="45"/>
      <c r="V142" s="6">
        <f t="shared" si="24"/>
        <v>66360.203893480691</v>
      </c>
      <c r="W142" s="6">
        <f t="shared" si="25"/>
        <v>242206.31378969748</v>
      </c>
      <c r="X142" s="6">
        <f t="shared" si="26"/>
        <v>154283.25884158909</v>
      </c>
      <c r="Y142" s="6"/>
    </row>
    <row r="143" spans="1:25" ht="20.100000000000001" customHeight="1" x14ac:dyDescent="0.25">
      <c r="A143" s="28">
        <f t="shared" si="22"/>
        <v>7</v>
      </c>
      <c r="B143" s="48">
        <f t="shared" si="21"/>
        <v>157179.81888745146</v>
      </c>
      <c r="C143" s="48"/>
      <c r="D143" s="48"/>
      <c r="E143" s="48"/>
      <c r="F143" s="48"/>
      <c r="G143" s="27">
        <f t="shared" si="23"/>
        <v>7</v>
      </c>
      <c r="L143" s="47" t="s">
        <v>15</v>
      </c>
      <c r="M143" s="47"/>
      <c r="N143" s="47"/>
      <c r="O143" s="47"/>
      <c r="P143" s="45">
        <f>MAX(B137:B148)</f>
        <v>257142.85714285713</v>
      </c>
      <c r="Q143" s="45"/>
      <c r="R143" s="45"/>
      <c r="V143" s="6">
        <f t="shared" si="24"/>
        <v>66360.203893480691</v>
      </c>
      <c r="W143" s="6">
        <f t="shared" si="25"/>
        <v>242206.31378969748</v>
      </c>
      <c r="X143" s="6">
        <f t="shared" si="26"/>
        <v>154283.25884158909</v>
      </c>
      <c r="Y143" s="6"/>
    </row>
    <row r="144" spans="1:25" ht="20.100000000000001" customHeight="1" x14ac:dyDescent="0.25">
      <c r="A144" s="28">
        <f t="shared" si="22"/>
        <v>8</v>
      </c>
      <c r="B144" s="48">
        <f t="shared" si="21"/>
        <v>147272.72727272724</v>
      </c>
      <c r="C144" s="48"/>
      <c r="D144" s="48"/>
      <c r="E144" s="48"/>
      <c r="F144" s="48"/>
      <c r="G144" s="27">
        <f t="shared" si="23"/>
        <v>8</v>
      </c>
      <c r="L144" s="47" t="s">
        <v>14</v>
      </c>
      <c r="M144" s="47"/>
      <c r="N144" s="47"/>
      <c r="O144" s="47"/>
      <c r="P144" s="45">
        <f>MIN(B137:B148)</f>
        <v>57719.999999999985</v>
      </c>
      <c r="Q144" s="45"/>
      <c r="R144" s="45"/>
      <c r="V144" s="6">
        <f t="shared" si="24"/>
        <v>66360.203893480691</v>
      </c>
      <c r="W144" s="6">
        <f t="shared" si="25"/>
        <v>242206.31378969748</v>
      </c>
      <c r="X144" s="6">
        <f t="shared" si="26"/>
        <v>154283.25884158909</v>
      </c>
    </row>
    <row r="145" spans="1:25" ht="20.100000000000001" customHeight="1" x14ac:dyDescent="0.25">
      <c r="A145" s="28">
        <f t="shared" si="22"/>
        <v>9</v>
      </c>
      <c r="B145" s="48">
        <f t="shared" si="21"/>
        <v>147272.72727272724</v>
      </c>
      <c r="C145" s="48"/>
      <c r="D145" s="48"/>
      <c r="E145" s="48"/>
      <c r="F145" s="48"/>
      <c r="G145" s="27">
        <f t="shared" si="23"/>
        <v>9</v>
      </c>
      <c r="V145" s="6">
        <f t="shared" si="24"/>
        <v>66360.203893480691</v>
      </c>
      <c r="W145" s="6">
        <f t="shared" si="25"/>
        <v>242206.31378969748</v>
      </c>
      <c r="X145" s="6">
        <f t="shared" si="26"/>
        <v>154283.25884158909</v>
      </c>
      <c r="Y145" s="6"/>
    </row>
    <row r="146" spans="1:25" ht="20.100000000000001" customHeight="1" x14ac:dyDescent="0.25">
      <c r="A146" s="28">
        <f t="shared" si="22"/>
        <v>10</v>
      </c>
      <c r="B146" s="48">
        <f t="shared" si="21"/>
        <v>157179.81888745146</v>
      </c>
      <c r="C146" s="48"/>
      <c r="D146" s="48"/>
      <c r="E146" s="48"/>
      <c r="F146" s="48"/>
      <c r="G146" s="27">
        <f t="shared" si="23"/>
        <v>10</v>
      </c>
      <c r="L146" s="47" t="s">
        <v>18</v>
      </c>
      <c r="M146" s="47"/>
      <c r="N146" s="74">
        <f>IF(P146="Nada a excluir","",Y136)</f>
        <v>1</v>
      </c>
      <c r="O146" s="74"/>
      <c r="P146" s="45" cm="1">
        <f t="array" ref="P146">_xlfn.IFS(AND(OR(P143&gt;P141,P144&lt;P142),(P143-P139)&gt;(P139-P144)),P143,AND(OR(P144&lt;P142,P143&gt;P141),(P139-P144)&gt;(P143-P139)),P144,AND(P143&lt;=P141,P144&gt;=P142),"Nada a excluir")</f>
        <v>257142.85714285713</v>
      </c>
      <c r="Q146" s="45"/>
      <c r="R146" s="45"/>
      <c r="V146" s="6">
        <f t="shared" si="24"/>
        <v>66360.203893480691</v>
      </c>
      <c r="W146" s="6">
        <f t="shared" si="25"/>
        <v>242206.31378969748</v>
      </c>
      <c r="X146" s="6">
        <f t="shared" si="26"/>
        <v>154283.25884158909</v>
      </c>
      <c r="Y146" s="6"/>
    </row>
    <row r="147" spans="1:25" ht="20.100000000000001" customHeight="1" x14ac:dyDescent="0.25">
      <c r="A147" s="28">
        <f t="shared" si="22"/>
        <v>11</v>
      </c>
      <c r="B147" s="48">
        <f t="shared" si="21"/>
        <v>152470.58823529407</v>
      </c>
      <c r="C147" s="48"/>
      <c r="D147" s="48"/>
      <c r="E147" s="48"/>
      <c r="F147" s="48"/>
      <c r="G147" s="27">
        <f t="shared" si="23"/>
        <v>11</v>
      </c>
      <c r="L147" s="54" t="s">
        <v>17</v>
      </c>
      <c r="M147" s="54"/>
      <c r="N147" s="54"/>
      <c r="O147" s="54"/>
      <c r="P147" s="61" t="str">
        <f>IF(P146="Nada a excluir","Encerrar","Continuar")</f>
        <v>Continuar</v>
      </c>
      <c r="Q147" s="61"/>
      <c r="R147" s="61"/>
      <c r="V147" s="6">
        <f t="shared" si="24"/>
        <v>66360.203893480691</v>
      </c>
      <c r="W147" s="6">
        <f t="shared" si="25"/>
        <v>242206.31378969748</v>
      </c>
      <c r="X147" s="6">
        <f t="shared" si="26"/>
        <v>154283.25884158909</v>
      </c>
    </row>
    <row r="148" spans="1:25" ht="20.100000000000001" customHeight="1" x14ac:dyDescent="0.25">
      <c r="A148" s="28">
        <f t="shared" si="22"/>
        <v>12</v>
      </c>
      <c r="B148" s="48">
        <f t="shared" si="21"/>
        <v>151485.14851485143</v>
      </c>
      <c r="C148" s="48"/>
      <c r="D148" s="48"/>
      <c r="E148" s="48"/>
      <c r="F148" s="48"/>
      <c r="G148" s="27">
        <f t="shared" si="23"/>
        <v>12</v>
      </c>
      <c r="V148" s="6">
        <f t="shared" si="24"/>
        <v>66360.203893480691</v>
      </c>
      <c r="W148" s="6">
        <f t="shared" si="25"/>
        <v>242206.31378969748</v>
      </c>
      <c r="X148" s="6">
        <f t="shared" si="26"/>
        <v>154283.25884158909</v>
      </c>
      <c r="Y148" s="6"/>
    </row>
    <row r="150" spans="1:25" ht="20.100000000000001" customHeight="1" x14ac:dyDescent="0.25">
      <c r="L150" s="47" t="s">
        <v>16</v>
      </c>
      <c r="M150" s="47"/>
      <c r="N150" s="47"/>
      <c r="O150" s="47"/>
      <c r="P150" s="51">
        <f>P140</f>
        <v>43166.526709106853</v>
      </c>
      <c r="Q150" s="52"/>
      <c r="R150" s="52"/>
    </row>
    <row r="151" spans="1:25" ht="20.100000000000001" customHeight="1" x14ac:dyDescent="0.25">
      <c r="L151" s="54" t="s">
        <v>9</v>
      </c>
      <c r="M151" s="54"/>
      <c r="N151" s="54"/>
      <c r="O151" s="54"/>
      <c r="P151" s="77">
        <f>P140/P139</f>
        <v>0.2797874962793484</v>
      </c>
      <c r="Q151" s="77"/>
      <c r="R151" s="77"/>
    </row>
    <row r="173" spans="1:26" ht="20.100000000000001" customHeight="1" x14ac:dyDescent="0.25">
      <c r="A173" s="56" t="s">
        <v>21</v>
      </c>
      <c r="B173" s="56"/>
      <c r="C173" s="56"/>
      <c r="D173" s="56"/>
      <c r="E173" s="56"/>
      <c r="F173" s="56"/>
      <c r="G173" s="56"/>
      <c r="H173" s="56"/>
      <c r="I173" s="56"/>
      <c r="J173" s="56"/>
      <c r="K173" s="56"/>
      <c r="L173" s="56"/>
      <c r="M173" s="56"/>
      <c r="N173" s="56"/>
      <c r="O173" s="56"/>
      <c r="P173" s="56"/>
      <c r="Q173" s="56"/>
      <c r="R173" s="56"/>
    </row>
    <row r="175" spans="1:26" ht="20.100000000000001" customHeight="1" x14ac:dyDescent="0.25">
      <c r="A175" s="31" t="s">
        <v>3</v>
      </c>
      <c r="B175" s="44" t="str">
        <f t="shared" ref="B175:B187" si="27">O41</f>
        <v>Preço  unitário da terra nua homogeneizado</v>
      </c>
      <c r="C175" s="44"/>
      <c r="D175" s="44"/>
      <c r="E175" s="44"/>
      <c r="F175" s="44"/>
      <c r="G175" s="29"/>
      <c r="L175" s="47" t="s">
        <v>48</v>
      </c>
      <c r="M175" s="47"/>
      <c r="N175" s="47"/>
      <c r="O175" s="47"/>
      <c r="P175" s="47"/>
      <c r="Q175" s="71">
        <f>COUNT(B176:B187)</f>
        <v>12</v>
      </c>
      <c r="R175" s="71"/>
      <c r="W175" s="1" t="s">
        <v>12</v>
      </c>
      <c r="X175" s="1" t="s">
        <v>13</v>
      </c>
      <c r="Y175" s="1" t="s">
        <v>10</v>
      </c>
      <c r="Z175" s="2">
        <f>VLOOKUP(P188,B176:G187,6,0)</f>
        <v>1</v>
      </c>
    </row>
    <row r="176" spans="1:26" ht="20.100000000000001" customHeight="1" x14ac:dyDescent="0.25">
      <c r="A176" s="26">
        <f t="shared" ref="A176:A187" si="28">A10</f>
        <v>1</v>
      </c>
      <c r="B176" s="45">
        <f t="shared" si="27"/>
        <v>257142.85714285713</v>
      </c>
      <c r="C176" s="45"/>
      <c r="D176" s="45"/>
      <c r="E176" s="45"/>
      <c r="F176" s="45"/>
      <c r="G176" s="27">
        <f>A176</f>
        <v>1</v>
      </c>
      <c r="L176" s="47" t="s">
        <v>22</v>
      </c>
      <c r="M176" s="47"/>
      <c r="N176" s="47"/>
      <c r="O176" s="47"/>
      <c r="P176" s="47"/>
      <c r="Q176" s="67" cm="1">
        <f t="array" ref="Q176">_xlfn.IFS(Q175&lt;=5,0.1,AND(Q175&gt;=6,Q175&lt;=10),0.05,AND(Q175&gt;=11,Q175&lt;=50),0.01,Q175&gt;50,0.001)</f>
        <v>0.01</v>
      </c>
      <c r="R176" s="67"/>
      <c r="W176" s="6">
        <f t="shared" ref="W176:W187" si="29">$P$184</f>
        <v>52936.99960109005</v>
      </c>
      <c r="X176" s="6">
        <f t="shared" ref="X176:X187" si="30">$P$183</f>
        <v>255629.51808208815</v>
      </c>
      <c r="Y176" s="6">
        <f t="shared" ref="Y176:Y187" si="31">$P$180</f>
        <v>154283.25884158909</v>
      </c>
    </row>
    <row r="177" spans="1:26" ht="20.100000000000001" customHeight="1" x14ac:dyDescent="0.25">
      <c r="A177" s="28">
        <f t="shared" si="28"/>
        <v>2</v>
      </c>
      <c r="B177" s="48">
        <f t="shared" si="27"/>
        <v>170590.58260175577</v>
      </c>
      <c r="C177" s="48"/>
      <c r="D177" s="48"/>
      <c r="E177" s="48"/>
      <c r="F177" s="48"/>
      <c r="G177" s="27">
        <f t="shared" ref="G177:G187" si="32">A177</f>
        <v>2</v>
      </c>
      <c r="L177" s="47" t="s">
        <v>23</v>
      </c>
      <c r="M177" s="47"/>
      <c r="N177" s="47"/>
      <c r="O177" s="47"/>
      <c r="P177" s="47"/>
      <c r="Q177" s="88">
        <f>Q175-2</f>
        <v>10</v>
      </c>
      <c r="R177" s="88"/>
      <c r="W177" s="6">
        <f t="shared" si="29"/>
        <v>52936.99960109005</v>
      </c>
      <c r="X177" s="6">
        <f t="shared" si="30"/>
        <v>255629.51808208815</v>
      </c>
      <c r="Y177" s="6">
        <f t="shared" si="31"/>
        <v>154283.25884158909</v>
      </c>
      <c r="Z177" s="2">
        <f>_xlfn.T.INV.2T(Q176,Q177)</f>
        <v>3.1692726726169518</v>
      </c>
    </row>
    <row r="178" spans="1:26" ht="20.100000000000001" customHeight="1" x14ac:dyDescent="0.25">
      <c r="A178" s="28">
        <f t="shared" si="28"/>
        <v>3</v>
      </c>
      <c r="B178" s="48">
        <f t="shared" si="27"/>
        <v>57719.999999999985</v>
      </c>
      <c r="C178" s="48"/>
      <c r="D178" s="48"/>
      <c r="E178" s="48"/>
      <c r="F178" s="48"/>
      <c r="G178" s="27">
        <f t="shared" si="32"/>
        <v>3</v>
      </c>
      <c r="L178" s="47" t="s">
        <v>20</v>
      </c>
      <c r="M178" s="47"/>
      <c r="N178" s="47"/>
      <c r="O178" s="47"/>
      <c r="P178" s="47"/>
      <c r="Q178" s="49">
        <f>Z178</f>
        <v>2.3477974015249643</v>
      </c>
      <c r="R178" s="49"/>
      <c r="W178" s="6">
        <f t="shared" si="29"/>
        <v>52936.99960109005</v>
      </c>
      <c r="X178" s="6">
        <f t="shared" si="30"/>
        <v>255629.51808208815</v>
      </c>
      <c r="Y178" s="6">
        <f t="shared" si="31"/>
        <v>154283.25884158909</v>
      </c>
      <c r="Z178" s="2">
        <f>((((Z177^2)*(Q175))-Z177^2)/(Q175-2+Z177^2))^(1/2)</f>
        <v>2.3477974015249643</v>
      </c>
    </row>
    <row r="179" spans="1:26" ht="20.100000000000001" customHeight="1" x14ac:dyDescent="0.25">
      <c r="A179" s="28">
        <f t="shared" si="28"/>
        <v>4</v>
      </c>
      <c r="B179" s="48">
        <f t="shared" si="27"/>
        <v>146153.84615384613</v>
      </c>
      <c r="C179" s="48"/>
      <c r="D179" s="48"/>
      <c r="E179" s="48"/>
      <c r="F179" s="48"/>
      <c r="G179" s="27">
        <f t="shared" si="32"/>
        <v>4</v>
      </c>
      <c r="W179" s="6">
        <f t="shared" si="29"/>
        <v>52936.99960109005</v>
      </c>
      <c r="X179" s="6">
        <f t="shared" si="30"/>
        <v>255629.51808208815</v>
      </c>
      <c r="Y179" s="6">
        <f t="shared" si="31"/>
        <v>154283.25884158909</v>
      </c>
    </row>
    <row r="180" spans="1:26" ht="20.100000000000001" customHeight="1" x14ac:dyDescent="0.25">
      <c r="A180" s="28">
        <f t="shared" si="28"/>
        <v>5</v>
      </c>
      <c r="B180" s="48">
        <f t="shared" si="27"/>
        <v>145318.86024423339</v>
      </c>
      <c r="C180" s="48"/>
      <c r="D180" s="48"/>
      <c r="E180" s="48"/>
      <c r="F180" s="48"/>
      <c r="G180" s="27">
        <f t="shared" si="32"/>
        <v>5</v>
      </c>
      <c r="L180" s="47" t="s">
        <v>10</v>
      </c>
      <c r="M180" s="47"/>
      <c r="N180" s="47"/>
      <c r="O180" s="47"/>
      <c r="P180" s="45">
        <f>AVERAGE(B176:B187)</f>
        <v>154283.25884158909</v>
      </c>
      <c r="Q180" s="45"/>
      <c r="R180" s="45"/>
      <c r="W180" s="6">
        <f t="shared" si="29"/>
        <v>52936.99960109005</v>
      </c>
      <c r="X180" s="6">
        <f t="shared" si="30"/>
        <v>255629.51808208815</v>
      </c>
      <c r="Y180" s="6">
        <f t="shared" si="31"/>
        <v>154283.25884158909</v>
      </c>
    </row>
    <row r="181" spans="1:26" ht="20.100000000000001" customHeight="1" x14ac:dyDescent="0.25">
      <c r="A181" s="28">
        <f t="shared" si="28"/>
        <v>6</v>
      </c>
      <c r="B181" s="48">
        <f t="shared" si="27"/>
        <v>161612.13088587386</v>
      </c>
      <c r="C181" s="48"/>
      <c r="D181" s="48"/>
      <c r="E181" s="48"/>
      <c r="F181" s="48"/>
      <c r="G181" s="27">
        <f t="shared" si="32"/>
        <v>6</v>
      </c>
      <c r="L181" s="47" t="s">
        <v>11</v>
      </c>
      <c r="M181" s="47"/>
      <c r="N181" s="47"/>
      <c r="O181" s="47"/>
      <c r="P181" s="45">
        <f>STDEVA(B176:B187)</f>
        <v>43166.526709106853</v>
      </c>
      <c r="Q181" s="45"/>
      <c r="R181" s="45"/>
      <c r="W181" s="6">
        <f t="shared" si="29"/>
        <v>52936.99960109005</v>
      </c>
      <c r="X181" s="6">
        <f t="shared" si="30"/>
        <v>255629.51808208815</v>
      </c>
      <c r="Y181" s="6">
        <f t="shared" si="31"/>
        <v>154283.25884158909</v>
      </c>
    </row>
    <row r="182" spans="1:26" ht="20.100000000000001" customHeight="1" x14ac:dyDescent="0.25">
      <c r="A182" s="28">
        <f t="shared" si="28"/>
        <v>7</v>
      </c>
      <c r="B182" s="48">
        <f t="shared" si="27"/>
        <v>157179.81888745146</v>
      </c>
      <c r="C182" s="48"/>
      <c r="D182" s="48"/>
      <c r="E182" s="48"/>
      <c r="F182" s="48"/>
      <c r="G182" s="27">
        <f t="shared" si="32"/>
        <v>7</v>
      </c>
      <c r="P182" s="17"/>
      <c r="Q182" s="17"/>
      <c r="R182" s="17"/>
      <c r="W182" s="6">
        <f t="shared" si="29"/>
        <v>52936.99960109005</v>
      </c>
      <c r="X182" s="6">
        <f t="shared" si="30"/>
        <v>255629.51808208815</v>
      </c>
      <c r="Y182" s="6">
        <f t="shared" si="31"/>
        <v>154283.25884158909</v>
      </c>
    </row>
    <row r="183" spans="1:26" ht="20.100000000000001" customHeight="1" x14ac:dyDescent="0.25">
      <c r="A183" s="28">
        <f t="shared" si="28"/>
        <v>8</v>
      </c>
      <c r="B183" s="48">
        <f t="shared" si="27"/>
        <v>147272.72727272724</v>
      </c>
      <c r="C183" s="48"/>
      <c r="D183" s="48"/>
      <c r="E183" s="48"/>
      <c r="F183" s="48"/>
      <c r="G183" s="27">
        <f t="shared" si="32"/>
        <v>8</v>
      </c>
      <c r="L183" s="47" t="s">
        <v>13</v>
      </c>
      <c r="M183" s="47"/>
      <c r="N183" s="47"/>
      <c r="O183" s="47"/>
      <c r="P183" s="45">
        <f>P180+(Q178*P181)</f>
        <v>255629.51808208815</v>
      </c>
      <c r="Q183" s="45"/>
      <c r="R183" s="45"/>
      <c r="W183" s="6">
        <f t="shared" si="29"/>
        <v>52936.99960109005</v>
      </c>
      <c r="X183" s="6">
        <f t="shared" si="30"/>
        <v>255629.51808208815</v>
      </c>
      <c r="Y183" s="6">
        <f t="shared" si="31"/>
        <v>154283.25884158909</v>
      </c>
    </row>
    <row r="184" spans="1:26" ht="20.100000000000001" customHeight="1" x14ac:dyDescent="0.25">
      <c r="A184" s="28">
        <f t="shared" si="28"/>
        <v>9</v>
      </c>
      <c r="B184" s="48">
        <f t="shared" si="27"/>
        <v>147272.72727272724</v>
      </c>
      <c r="C184" s="48"/>
      <c r="D184" s="48"/>
      <c r="E184" s="48"/>
      <c r="F184" s="48"/>
      <c r="G184" s="27">
        <f t="shared" si="32"/>
        <v>9</v>
      </c>
      <c r="L184" s="47" t="s">
        <v>12</v>
      </c>
      <c r="M184" s="47"/>
      <c r="N184" s="47"/>
      <c r="O184" s="47"/>
      <c r="P184" s="45">
        <f>P180-(Q178*P181)</f>
        <v>52936.99960109005</v>
      </c>
      <c r="Q184" s="45"/>
      <c r="R184" s="45"/>
      <c r="W184" s="6">
        <f t="shared" si="29"/>
        <v>52936.99960109005</v>
      </c>
      <c r="X184" s="6">
        <f t="shared" si="30"/>
        <v>255629.51808208815</v>
      </c>
      <c r="Y184" s="6">
        <f t="shared" si="31"/>
        <v>154283.25884158909</v>
      </c>
    </row>
    <row r="185" spans="1:26" ht="20.100000000000001" customHeight="1" x14ac:dyDescent="0.25">
      <c r="A185" s="28">
        <f t="shared" si="28"/>
        <v>10</v>
      </c>
      <c r="B185" s="48">
        <f t="shared" si="27"/>
        <v>157179.81888745146</v>
      </c>
      <c r="C185" s="48"/>
      <c r="D185" s="48"/>
      <c r="E185" s="48"/>
      <c r="F185" s="48"/>
      <c r="G185" s="27">
        <f t="shared" si="32"/>
        <v>10</v>
      </c>
      <c r="L185" s="47" t="s">
        <v>15</v>
      </c>
      <c r="M185" s="47"/>
      <c r="N185" s="47"/>
      <c r="O185" s="47"/>
      <c r="P185" s="45">
        <f>MAX(B176:B193)</f>
        <v>257142.85714285713</v>
      </c>
      <c r="Q185" s="45"/>
      <c r="R185" s="45"/>
      <c r="W185" s="6">
        <f t="shared" si="29"/>
        <v>52936.99960109005</v>
      </c>
      <c r="X185" s="6">
        <f t="shared" si="30"/>
        <v>255629.51808208815</v>
      </c>
      <c r="Y185" s="6">
        <f t="shared" si="31"/>
        <v>154283.25884158909</v>
      </c>
    </row>
    <row r="186" spans="1:26" ht="20.100000000000001" customHeight="1" x14ac:dyDescent="0.25">
      <c r="A186" s="28">
        <f t="shared" si="28"/>
        <v>11</v>
      </c>
      <c r="B186" s="48">
        <f t="shared" si="27"/>
        <v>152470.58823529407</v>
      </c>
      <c r="C186" s="48"/>
      <c r="D186" s="48"/>
      <c r="E186" s="48"/>
      <c r="F186" s="48"/>
      <c r="G186" s="27">
        <f t="shared" si="32"/>
        <v>11</v>
      </c>
      <c r="L186" s="47" t="s">
        <v>14</v>
      </c>
      <c r="M186" s="47"/>
      <c r="N186" s="47"/>
      <c r="O186" s="47"/>
      <c r="P186" s="45">
        <f>MIN(B176:B193)</f>
        <v>57719.999999999985</v>
      </c>
      <c r="Q186" s="45"/>
      <c r="R186" s="45"/>
      <c r="W186" s="6">
        <f t="shared" si="29"/>
        <v>52936.99960109005</v>
      </c>
      <c r="X186" s="6">
        <f t="shared" si="30"/>
        <v>255629.51808208815</v>
      </c>
      <c r="Y186" s="6">
        <f t="shared" si="31"/>
        <v>154283.25884158909</v>
      </c>
    </row>
    <row r="187" spans="1:26" ht="20.100000000000001" customHeight="1" x14ac:dyDescent="0.25">
      <c r="A187" s="28">
        <f t="shared" si="28"/>
        <v>12</v>
      </c>
      <c r="B187" s="48">
        <f t="shared" si="27"/>
        <v>151485.14851485143</v>
      </c>
      <c r="C187" s="48"/>
      <c r="D187" s="48"/>
      <c r="E187" s="48"/>
      <c r="F187" s="48"/>
      <c r="G187" s="27">
        <f t="shared" si="32"/>
        <v>12</v>
      </c>
      <c r="P187" s="17"/>
      <c r="Q187" s="17"/>
      <c r="R187" s="17"/>
      <c r="W187" s="6">
        <f t="shared" si="29"/>
        <v>52936.99960109005</v>
      </c>
      <c r="X187" s="6">
        <f t="shared" si="30"/>
        <v>255629.51808208815</v>
      </c>
      <c r="Y187" s="6">
        <f t="shared" si="31"/>
        <v>154283.25884158909</v>
      </c>
    </row>
    <row r="188" spans="1:26" ht="20.100000000000001" customHeight="1" x14ac:dyDescent="0.25">
      <c r="G188" s="29">
        <f t="shared" ref="G188:G193" si="33">A188</f>
        <v>0</v>
      </c>
      <c r="L188" s="47" t="s">
        <v>18</v>
      </c>
      <c r="M188" s="47"/>
      <c r="N188" s="74">
        <f>IF(P188="Nada a excluir","",Z175)</f>
        <v>1</v>
      </c>
      <c r="O188" s="74"/>
      <c r="P188" s="45" cm="1">
        <f t="array" ref="P188">_xlfn.IFS(AND(OR(P185&gt;P183,P186&lt;P184),(P185-P180)&gt;(P180-P186)),P185,AND(OR(P186&lt;P184,P185&gt;P183),(P180-P186)&gt;(P185-P180)),P186,AND(P185&lt;=P183,P186&gt;=P184),"Nada a excluir")</f>
        <v>257142.85714285713</v>
      </c>
      <c r="Q188" s="45"/>
      <c r="R188" s="45"/>
    </row>
    <row r="189" spans="1:26" ht="20.100000000000001" customHeight="1" x14ac:dyDescent="0.25">
      <c r="G189" s="29">
        <f t="shared" si="33"/>
        <v>0</v>
      </c>
      <c r="L189" s="54" t="s">
        <v>17</v>
      </c>
      <c r="M189" s="54"/>
      <c r="N189" s="54"/>
      <c r="O189" s="54"/>
      <c r="P189" s="61" t="str">
        <f>IF(P188="Nada a excluir","Encerrar","Continuar")</f>
        <v>Continuar</v>
      </c>
      <c r="Q189" s="61"/>
      <c r="R189" s="61"/>
    </row>
    <row r="190" spans="1:26" ht="20.100000000000001" customHeight="1" x14ac:dyDescent="0.25">
      <c r="G190" s="29">
        <f t="shared" si="33"/>
        <v>0</v>
      </c>
    </row>
    <row r="191" spans="1:26" ht="20.100000000000001" customHeight="1" x14ac:dyDescent="0.25">
      <c r="G191" s="29">
        <f t="shared" si="33"/>
        <v>0</v>
      </c>
      <c r="L191" s="47" t="s">
        <v>16</v>
      </c>
      <c r="M191" s="47"/>
      <c r="N191" s="47"/>
      <c r="O191" s="47"/>
      <c r="P191" s="51">
        <f>P181</f>
        <v>43166.526709106853</v>
      </c>
      <c r="Q191" s="52"/>
      <c r="R191" s="52"/>
    </row>
    <row r="192" spans="1:26" ht="20.100000000000001" customHeight="1" x14ac:dyDescent="0.25">
      <c r="G192" s="29">
        <f t="shared" si="33"/>
        <v>0</v>
      </c>
      <c r="L192" s="54" t="s">
        <v>9</v>
      </c>
      <c r="M192" s="54"/>
      <c r="N192" s="54"/>
      <c r="O192" s="54"/>
      <c r="P192" s="77">
        <f>P181/P180</f>
        <v>0.2797874962793484</v>
      </c>
      <c r="Q192" s="77"/>
      <c r="R192" s="77"/>
    </row>
    <row r="193" spans="7:25" ht="20.100000000000001" customHeight="1" x14ac:dyDescent="0.25">
      <c r="G193" s="29">
        <f t="shared" si="33"/>
        <v>0</v>
      </c>
      <c r="P193" s="17"/>
      <c r="Q193" s="17"/>
      <c r="R193" s="17"/>
    </row>
    <row r="207" spans="7:25" ht="20.100000000000001" customHeight="1" x14ac:dyDescent="0.25">
      <c r="W207" s="6"/>
      <c r="X207" s="6"/>
      <c r="Y207" s="6"/>
    </row>
    <row r="208" spans="7:25" ht="20.100000000000001" customHeight="1" x14ac:dyDescent="0.25">
      <c r="W208" s="6"/>
      <c r="X208" s="6"/>
      <c r="Y208" s="6"/>
    </row>
    <row r="209" spans="1:28" ht="20.100000000000001" customHeight="1" x14ac:dyDescent="0.25">
      <c r="W209" s="6"/>
      <c r="X209" s="6"/>
      <c r="Y209" s="6"/>
    </row>
    <row r="210" spans="1:28" ht="20.100000000000001" customHeight="1" x14ac:dyDescent="0.25">
      <c r="W210" s="6"/>
      <c r="X210" s="6"/>
      <c r="Y210" s="6"/>
    </row>
    <row r="211" spans="1:28" ht="20.100000000000001" customHeight="1" x14ac:dyDescent="0.25">
      <c r="W211" s="6"/>
      <c r="X211" s="6"/>
      <c r="Y211" s="6"/>
    </row>
    <row r="212" spans="1:28" ht="20.100000000000001" customHeight="1" x14ac:dyDescent="0.25">
      <c r="W212" s="6"/>
      <c r="X212" s="6"/>
      <c r="Y212" s="6"/>
    </row>
    <row r="213" spans="1:28" ht="20.100000000000001" customHeight="1" x14ac:dyDescent="0.25">
      <c r="W213" s="6"/>
      <c r="X213" s="6"/>
      <c r="Y213" s="6"/>
    </row>
    <row r="214" spans="1:28" ht="20.100000000000001" customHeight="1" x14ac:dyDescent="0.25">
      <c r="A214" s="59" t="s">
        <v>24</v>
      </c>
      <c r="B214" s="59"/>
      <c r="C214" s="59"/>
      <c r="D214" s="59"/>
      <c r="E214" s="59"/>
      <c r="F214" s="59"/>
      <c r="G214" s="59" t="s">
        <v>10</v>
      </c>
      <c r="H214" s="59"/>
      <c r="I214" s="59"/>
      <c r="J214" s="59"/>
      <c r="K214" s="59" t="s">
        <v>11</v>
      </c>
      <c r="L214" s="59"/>
      <c r="M214" s="59"/>
      <c r="N214" s="59"/>
      <c r="O214" s="59" t="s">
        <v>9</v>
      </c>
      <c r="P214" s="59"/>
      <c r="Q214" s="59"/>
      <c r="R214" s="59"/>
    </row>
    <row r="215" spans="1:28" ht="20.100000000000001" customHeight="1" x14ac:dyDescent="0.25">
      <c r="A215" s="47" t="s">
        <v>25</v>
      </c>
      <c r="B215" s="47"/>
      <c r="C215" s="47"/>
      <c r="D215" s="47"/>
      <c r="E215" s="47"/>
      <c r="F215" s="47"/>
      <c r="G215" s="45">
        <f>P139</f>
        <v>154283.25884158909</v>
      </c>
      <c r="H215" s="45"/>
      <c r="I215" s="45"/>
      <c r="J215" s="45"/>
      <c r="K215" s="45">
        <f>P140</f>
        <v>43166.526709106853</v>
      </c>
      <c r="L215" s="45"/>
      <c r="M215" s="45"/>
      <c r="N215" s="45"/>
      <c r="O215" s="69">
        <f>P151</f>
        <v>0.2797874962793484</v>
      </c>
      <c r="P215" s="69"/>
      <c r="Q215" s="69"/>
      <c r="R215" s="69"/>
      <c r="X215" s="7">
        <f>O215</f>
        <v>0.2797874962793484</v>
      </c>
      <c r="Y215" s="1" t="str">
        <f>A215</f>
        <v>Critério de Chauvenet</v>
      </c>
      <c r="Z215" s="2">
        <f>G215</f>
        <v>154283.25884158909</v>
      </c>
      <c r="AA215" s="2">
        <f>K215</f>
        <v>43166.526709106853</v>
      </c>
      <c r="AB215" s="8">
        <f>Q136</f>
        <v>12</v>
      </c>
    </row>
    <row r="216" spans="1:28" ht="20.100000000000001" customHeight="1" x14ac:dyDescent="0.25">
      <c r="A216" s="54" t="s">
        <v>26</v>
      </c>
      <c r="B216" s="54"/>
      <c r="C216" s="54"/>
      <c r="D216" s="54"/>
      <c r="E216" s="54"/>
      <c r="F216" s="54"/>
      <c r="G216" s="48">
        <f>P180</f>
        <v>154283.25884158909</v>
      </c>
      <c r="H216" s="48"/>
      <c r="I216" s="48"/>
      <c r="J216" s="48"/>
      <c r="K216" s="48">
        <f>P191</f>
        <v>43166.526709106853</v>
      </c>
      <c r="L216" s="48"/>
      <c r="M216" s="48"/>
      <c r="N216" s="48"/>
      <c r="O216" s="70">
        <f>P192</f>
        <v>0.2797874962793484</v>
      </c>
      <c r="P216" s="70"/>
      <c r="Q216" s="70"/>
      <c r="R216" s="70"/>
      <c r="X216" s="7">
        <f>O216</f>
        <v>0.2797874962793484</v>
      </c>
      <c r="Y216" s="1" t="str">
        <f>A216</f>
        <v>Critério de Arley</v>
      </c>
      <c r="Z216" s="2">
        <f>G216</f>
        <v>154283.25884158909</v>
      </c>
      <c r="AA216" s="2">
        <f>K216</f>
        <v>43166.526709106853</v>
      </c>
      <c r="AB216" s="8">
        <f>Q175</f>
        <v>12</v>
      </c>
    </row>
    <row r="218" spans="1:28" ht="20.100000000000001" customHeight="1" x14ac:dyDescent="0.25">
      <c r="A218" s="47" t="s">
        <v>27</v>
      </c>
      <c r="B218" s="47"/>
      <c r="C218" s="47"/>
      <c r="D218" s="47"/>
      <c r="E218" s="47"/>
      <c r="F218" s="47"/>
      <c r="G218" s="69">
        <f>MIN(O215:O216)</f>
        <v>0.2797874962793484</v>
      </c>
      <c r="H218" s="69"/>
      <c r="I218" s="69"/>
      <c r="J218" s="69"/>
      <c r="K218" s="69"/>
      <c r="L218" s="69"/>
    </row>
    <row r="219" spans="1:28" ht="20.100000000000001" customHeight="1" x14ac:dyDescent="0.25">
      <c r="A219" s="54" t="s">
        <v>28</v>
      </c>
      <c r="B219" s="54"/>
      <c r="C219" s="54"/>
      <c r="D219" s="54"/>
      <c r="E219" s="54"/>
      <c r="F219" s="54"/>
      <c r="G219" s="61" t="str">
        <f>VLOOKUP(G218,X215:Z216,2,0)</f>
        <v>Critério de Chauvenet</v>
      </c>
      <c r="H219" s="61"/>
      <c r="I219" s="61"/>
      <c r="J219" s="61"/>
      <c r="K219" s="61"/>
      <c r="L219" s="61"/>
    </row>
    <row r="220" spans="1:28" ht="20.100000000000001" customHeight="1" x14ac:dyDescent="0.25">
      <c r="A220" s="54" t="s">
        <v>29</v>
      </c>
      <c r="B220" s="54"/>
      <c r="C220" s="54"/>
      <c r="D220" s="54"/>
      <c r="E220" s="54"/>
      <c r="F220" s="54"/>
      <c r="G220" s="48">
        <f>VLOOKUP(G218,X215:Z216,3,0)</f>
        <v>154283.25884158909</v>
      </c>
      <c r="H220" s="48"/>
      <c r="I220" s="48"/>
      <c r="J220" s="48"/>
      <c r="K220" s="48"/>
      <c r="L220" s="48"/>
    </row>
    <row r="221" spans="1:28" ht="20.100000000000001" customHeight="1" x14ac:dyDescent="0.25">
      <c r="A221" s="54" t="s">
        <v>31</v>
      </c>
      <c r="B221" s="54"/>
      <c r="C221" s="54"/>
      <c r="D221" s="54"/>
      <c r="E221" s="54"/>
      <c r="F221" s="54"/>
      <c r="G221" s="48">
        <f>VLOOKUP(G218,X215:AA216,4,0)</f>
        <v>43166.526709106853</v>
      </c>
      <c r="H221" s="48"/>
      <c r="I221" s="48"/>
      <c r="J221" s="48"/>
      <c r="K221" s="48"/>
      <c r="L221" s="48"/>
    </row>
    <row r="224" spans="1:28" ht="20.100000000000001" customHeight="1" x14ac:dyDescent="0.25">
      <c r="A224" s="56" t="s">
        <v>61</v>
      </c>
      <c r="B224" s="56"/>
      <c r="C224" s="56"/>
      <c r="D224" s="56"/>
      <c r="E224" s="56"/>
      <c r="F224" s="56"/>
      <c r="G224" s="56"/>
      <c r="H224" s="56"/>
      <c r="I224" s="56"/>
      <c r="J224" s="56"/>
      <c r="K224" s="56"/>
      <c r="L224" s="56"/>
      <c r="M224" s="56"/>
      <c r="N224" s="56"/>
      <c r="O224" s="56"/>
      <c r="P224" s="56"/>
      <c r="Q224" s="56"/>
      <c r="R224" s="56"/>
    </row>
    <row r="226" spans="1:18" ht="39.950000000000003" customHeight="1" x14ac:dyDescent="0.25">
      <c r="A226" s="57" t="s">
        <v>60</v>
      </c>
      <c r="B226" s="57"/>
      <c r="C226" s="57"/>
      <c r="D226" s="57"/>
      <c r="E226" s="57"/>
      <c r="F226" s="57"/>
      <c r="G226" s="57"/>
      <c r="H226" s="57"/>
      <c r="I226" s="57"/>
      <c r="J226" s="57"/>
      <c r="K226" s="57"/>
      <c r="L226" s="57"/>
      <c r="M226" s="57"/>
      <c r="N226" s="57"/>
      <c r="O226" s="57"/>
      <c r="P226" s="57"/>
      <c r="Q226" s="57"/>
      <c r="R226" s="57"/>
    </row>
    <row r="228" spans="1:18" ht="20.100000000000001" customHeight="1" x14ac:dyDescent="0.25">
      <c r="A228" s="47" t="s">
        <v>10</v>
      </c>
      <c r="B228" s="47"/>
      <c r="C228" s="47"/>
      <c r="D228" s="47"/>
      <c r="E228" s="51">
        <f>G220</f>
        <v>154283.25884158909</v>
      </c>
      <c r="F228" s="52"/>
      <c r="G228" s="52"/>
      <c r="H228" s="52"/>
    </row>
    <row r="229" spans="1:18" ht="20.100000000000001" customHeight="1" x14ac:dyDescent="0.25">
      <c r="A229" s="54" t="s">
        <v>11</v>
      </c>
      <c r="B229" s="54"/>
      <c r="C229" s="54"/>
      <c r="D229" s="54"/>
      <c r="E229" s="60">
        <f>G221</f>
        <v>43166.526709106853</v>
      </c>
      <c r="F229" s="61"/>
      <c r="G229" s="61"/>
      <c r="H229" s="61"/>
    </row>
    <row r="230" spans="1:18" ht="20.100000000000001" customHeight="1" x14ac:dyDescent="0.25">
      <c r="A230" s="54" t="s">
        <v>48</v>
      </c>
      <c r="B230" s="54"/>
      <c r="C230" s="54"/>
      <c r="D230" s="54"/>
      <c r="E230" s="62">
        <f>VLOOKUP(G218,X215:AB216,5,0)</f>
        <v>12</v>
      </c>
      <c r="F230" s="62"/>
      <c r="G230" s="62"/>
      <c r="H230" s="62"/>
    </row>
    <row r="231" spans="1:18" ht="20.100000000000001" customHeight="1" x14ac:dyDescent="0.25">
      <c r="A231" s="54" t="s">
        <v>30</v>
      </c>
      <c r="B231" s="54"/>
      <c r="C231" s="54"/>
      <c r="D231" s="54"/>
      <c r="E231" s="63">
        <v>0.8</v>
      </c>
      <c r="F231" s="63"/>
      <c r="G231" s="63"/>
      <c r="H231" s="63"/>
    </row>
    <row r="232" spans="1:18" ht="20.100000000000001" customHeight="1" x14ac:dyDescent="0.25">
      <c r="A232" s="54" t="s">
        <v>75</v>
      </c>
      <c r="B232" s="54"/>
      <c r="C232" s="54"/>
      <c r="D232" s="54"/>
      <c r="E232" s="72">
        <f>_xlfn.T.INV.2T(1-E231,E230-1)</f>
        <v>1.3634303180205409</v>
      </c>
      <c r="F232" s="72"/>
      <c r="G232" s="72"/>
      <c r="H232" s="72"/>
    </row>
    <row r="233" spans="1:18" ht="20.100000000000001" customHeight="1" x14ac:dyDescent="0.25">
      <c r="A233" s="53"/>
      <c r="B233" s="53"/>
      <c r="C233" s="53"/>
      <c r="D233" s="53"/>
      <c r="E233" s="73"/>
      <c r="F233" s="73"/>
      <c r="G233" s="73"/>
      <c r="H233" s="73"/>
    </row>
    <row r="235" spans="1:18" ht="20.100000000000001" customHeight="1" x14ac:dyDescent="0.25">
      <c r="A235" s="47" t="s">
        <v>12</v>
      </c>
      <c r="B235" s="47"/>
      <c r="C235" s="47"/>
      <c r="D235" s="47"/>
      <c r="E235" s="51">
        <f>E228-(_xlfn.CONFIDENCE.T(1-E231,E229,E230))</f>
        <v>137293.41334119972</v>
      </c>
      <c r="F235" s="52"/>
      <c r="G235" s="52"/>
      <c r="H235" s="52"/>
      <c r="K235" s="47" t="s">
        <v>32</v>
      </c>
      <c r="L235" s="47"/>
      <c r="M235" s="47"/>
      <c r="N235" s="47"/>
      <c r="O235" s="51">
        <f>E236-E235</f>
        <v>33979.691000778752</v>
      </c>
      <c r="P235" s="52"/>
      <c r="Q235" s="52"/>
      <c r="R235" s="52"/>
    </row>
    <row r="236" spans="1:18" ht="20.100000000000001" customHeight="1" x14ac:dyDescent="0.25">
      <c r="A236" s="47" t="s">
        <v>13</v>
      </c>
      <c r="B236" s="47"/>
      <c r="C236" s="47"/>
      <c r="D236" s="47"/>
      <c r="E236" s="51">
        <f>E228+(_xlfn.CONFIDENCE.T(1-E231,E229,E230))</f>
        <v>171273.10434197847</v>
      </c>
      <c r="F236" s="52"/>
      <c r="G236" s="52"/>
      <c r="H236" s="52"/>
      <c r="K236" s="47" t="s">
        <v>10</v>
      </c>
      <c r="L236" s="47"/>
      <c r="M236" s="47"/>
      <c r="N236" s="47"/>
      <c r="O236" s="51">
        <f>E228</f>
        <v>154283.25884158909</v>
      </c>
      <c r="P236" s="52"/>
      <c r="Q236" s="52"/>
      <c r="R236" s="52"/>
    </row>
    <row r="237" spans="1:18" ht="20.100000000000001" customHeight="1" x14ac:dyDescent="0.25">
      <c r="K237" s="47" t="s">
        <v>33</v>
      </c>
      <c r="L237" s="47"/>
      <c r="M237" s="47"/>
      <c r="N237" s="47"/>
      <c r="O237" s="68">
        <f>O235/O236</f>
        <v>0.22024224310472679</v>
      </c>
      <c r="P237" s="68"/>
      <c r="Q237" s="68"/>
      <c r="R237" s="68"/>
    </row>
    <row r="240" spans="1:18" ht="20.100000000000001" customHeight="1" x14ac:dyDescent="0.25">
      <c r="A240" s="56" t="s">
        <v>69</v>
      </c>
      <c r="B240" s="56"/>
      <c r="C240" s="56"/>
      <c r="D240" s="56"/>
      <c r="E240" s="56"/>
      <c r="F240" s="56"/>
      <c r="G240" s="56"/>
      <c r="H240" s="56"/>
      <c r="I240" s="56"/>
      <c r="J240" s="56"/>
      <c r="K240" s="56"/>
      <c r="L240" s="56"/>
      <c r="M240" s="56"/>
      <c r="N240" s="56"/>
      <c r="O240" s="56"/>
      <c r="P240" s="56"/>
      <c r="Q240" s="56"/>
      <c r="R240" s="56"/>
    </row>
    <row r="242" spans="1:18" ht="20.100000000000001" customHeight="1" x14ac:dyDescent="0.25">
      <c r="A242" s="64" t="s">
        <v>34</v>
      </c>
      <c r="B242" s="64"/>
      <c r="C242" s="64"/>
      <c r="D242" s="64"/>
      <c r="E242" s="65" t="s">
        <v>30</v>
      </c>
      <c r="F242" s="64"/>
      <c r="G242" s="64"/>
      <c r="H242" s="64"/>
      <c r="I242" s="65" t="s">
        <v>71</v>
      </c>
      <c r="J242" s="64"/>
      <c r="K242" s="64"/>
      <c r="L242" s="64"/>
      <c r="M242" s="65" t="s">
        <v>46</v>
      </c>
      <c r="N242" s="64"/>
      <c r="O242" s="64"/>
      <c r="P242" s="64"/>
    </row>
    <row r="243" spans="1:18" ht="20.100000000000001" customHeight="1" x14ac:dyDescent="0.25">
      <c r="A243" s="47" t="s">
        <v>35</v>
      </c>
      <c r="B243" s="47"/>
      <c r="C243" s="47"/>
      <c r="D243" s="47"/>
      <c r="E243" s="51">
        <f>E235</f>
        <v>137293.41334119972</v>
      </c>
      <c r="F243" s="52"/>
      <c r="G243" s="52"/>
      <c r="H243" s="52"/>
      <c r="I243" s="51">
        <f>E228*(1-0.15)</f>
        <v>131140.77001535072</v>
      </c>
      <c r="J243" s="52"/>
      <c r="K243" s="52"/>
      <c r="L243" s="52"/>
      <c r="M243" s="51">
        <f>MAX(E243:L243)</f>
        <v>137293.41334119972</v>
      </c>
      <c r="N243" s="52"/>
      <c r="O243" s="52"/>
      <c r="P243" s="52"/>
    </row>
    <row r="244" spans="1:18" ht="20.100000000000001" customHeight="1" x14ac:dyDescent="0.25">
      <c r="A244" s="47" t="s">
        <v>36</v>
      </c>
      <c r="B244" s="47"/>
      <c r="C244" s="47"/>
      <c r="D244" s="47"/>
      <c r="E244" s="51">
        <f>E236</f>
        <v>171273.10434197847</v>
      </c>
      <c r="F244" s="52"/>
      <c r="G244" s="52"/>
      <c r="H244" s="52"/>
      <c r="I244" s="51">
        <f>E228*(1+0.15)</f>
        <v>177425.74766782744</v>
      </c>
      <c r="J244" s="52"/>
      <c r="K244" s="52"/>
      <c r="L244" s="52"/>
      <c r="M244" s="51">
        <f>MIN(E244:L244)</f>
        <v>171273.10434197847</v>
      </c>
      <c r="N244" s="52"/>
      <c r="O244" s="52"/>
      <c r="P244" s="52"/>
    </row>
    <row r="247" spans="1:18" ht="20.100000000000001" customHeight="1" x14ac:dyDescent="0.25">
      <c r="A247" s="66" t="s">
        <v>67</v>
      </c>
      <c r="B247" s="66"/>
      <c r="C247" s="66"/>
      <c r="D247" s="66"/>
      <c r="E247" s="66"/>
      <c r="F247" s="66"/>
      <c r="G247" s="66"/>
      <c r="H247" s="66"/>
      <c r="I247" s="66"/>
      <c r="J247" s="66"/>
      <c r="K247" s="66"/>
      <c r="L247" s="66"/>
      <c r="M247" s="66"/>
      <c r="N247" s="66"/>
      <c r="O247" s="66"/>
      <c r="P247" s="66"/>
      <c r="Q247" s="66"/>
      <c r="R247" s="66"/>
    </row>
    <row r="248" spans="1:18" ht="20.100000000000001" customHeight="1" x14ac:dyDescent="0.25">
      <c r="A248" s="66"/>
      <c r="B248" s="66"/>
      <c r="C248" s="66"/>
      <c r="D248" s="66"/>
      <c r="E248" s="66"/>
      <c r="F248" s="66"/>
      <c r="G248" s="66"/>
      <c r="H248" s="66"/>
      <c r="I248" s="66"/>
      <c r="J248" s="66"/>
      <c r="K248" s="66"/>
      <c r="L248" s="66"/>
      <c r="M248" s="66"/>
      <c r="N248" s="66"/>
      <c r="O248" s="66"/>
      <c r="P248" s="66"/>
      <c r="Q248" s="66"/>
      <c r="R248" s="66"/>
    </row>
    <row r="250" spans="1:18" ht="20.100000000000001" customHeight="1" x14ac:dyDescent="0.25">
      <c r="D250" s="44" t="s">
        <v>63</v>
      </c>
      <c r="E250" s="44" t="s">
        <v>88</v>
      </c>
      <c r="F250" s="44"/>
      <c r="G250" s="44"/>
      <c r="I250" s="44" t="s">
        <v>79</v>
      </c>
      <c r="J250" s="44"/>
      <c r="K250" s="44"/>
      <c r="M250" s="44" t="s">
        <v>66</v>
      </c>
      <c r="N250" s="44"/>
      <c r="O250" s="44"/>
    </row>
    <row r="251" spans="1:18" ht="20.100000000000001" customHeight="1" x14ac:dyDescent="0.25">
      <c r="D251" s="44"/>
      <c r="E251" s="44"/>
      <c r="F251" s="44"/>
      <c r="G251" s="44"/>
      <c r="I251" s="44"/>
      <c r="J251" s="44"/>
      <c r="K251" s="44"/>
      <c r="M251" s="44" t="s">
        <v>68</v>
      </c>
      <c r="N251" s="44"/>
      <c r="O251" s="44"/>
    </row>
    <row r="252" spans="1:18" ht="20.100000000000001" customHeight="1" x14ac:dyDescent="0.25">
      <c r="D252" s="14">
        <f t="shared" ref="D252:D263" si="34">A10</f>
        <v>1</v>
      </c>
      <c r="E252" s="45">
        <f t="shared" ref="E252:E263" si="35">H10</f>
        <v>285714.28571428574</v>
      </c>
      <c r="F252" s="45"/>
      <c r="G252" s="45"/>
      <c r="I252" s="45">
        <f t="shared" ref="I252:I263" si="36">O42</f>
        <v>257142.85714285713</v>
      </c>
      <c r="J252" s="45"/>
      <c r="K252" s="45"/>
      <c r="M252" s="43" t="str">
        <f>IF(AND(($I252/E252)&gt;=0.5,($I252/E252)&lt;=2),"Aceito","Rejeitado")</f>
        <v>Aceito</v>
      </c>
      <c r="N252" s="43"/>
      <c r="O252" s="43"/>
    </row>
    <row r="253" spans="1:18" ht="20.100000000000001" customHeight="1" x14ac:dyDescent="0.25">
      <c r="D253" s="21">
        <f t="shared" si="34"/>
        <v>2</v>
      </c>
      <c r="E253" s="45">
        <f t="shared" si="35"/>
        <v>199521.14924181963</v>
      </c>
      <c r="F253" s="45"/>
      <c r="G253" s="45"/>
      <c r="I253" s="45">
        <f t="shared" si="36"/>
        <v>170590.58260175577</v>
      </c>
      <c r="J253" s="45"/>
      <c r="K253" s="45"/>
      <c r="M253" s="43" t="str">
        <f t="shared" ref="M253:M263" si="37">IF(AND(($I253/E253)&gt;=0.5,($I253/E253)&lt;=2),"Aceito","Rejeitado")</f>
        <v>Aceito</v>
      </c>
      <c r="N253" s="43"/>
      <c r="O253" s="43"/>
    </row>
    <row r="254" spans="1:18" ht="20.100000000000001" customHeight="1" x14ac:dyDescent="0.25">
      <c r="D254" s="21">
        <f t="shared" si="34"/>
        <v>3</v>
      </c>
      <c r="E254" s="45">
        <f t="shared" si="35"/>
        <v>98666.666666666672</v>
      </c>
      <c r="F254" s="45"/>
      <c r="G254" s="45"/>
      <c r="I254" s="45">
        <f t="shared" si="36"/>
        <v>57719.999999999985</v>
      </c>
      <c r="J254" s="45"/>
      <c r="K254" s="45"/>
      <c r="M254" s="43" t="str">
        <f t="shared" si="37"/>
        <v>Aceito</v>
      </c>
      <c r="N254" s="43"/>
      <c r="O254" s="43"/>
    </row>
    <row r="255" spans="1:18" ht="20.100000000000001" customHeight="1" x14ac:dyDescent="0.25">
      <c r="D255" s="21">
        <f t="shared" si="34"/>
        <v>4</v>
      </c>
      <c r="E255" s="45">
        <f t="shared" si="35"/>
        <v>170940.17094017094</v>
      </c>
      <c r="F255" s="45"/>
      <c r="G255" s="45"/>
      <c r="I255" s="45">
        <f t="shared" si="36"/>
        <v>146153.84615384613</v>
      </c>
      <c r="J255" s="45"/>
      <c r="K255" s="45"/>
      <c r="M255" s="43" t="str">
        <f t="shared" si="37"/>
        <v>Aceito</v>
      </c>
      <c r="N255" s="43"/>
      <c r="O255" s="43"/>
    </row>
    <row r="256" spans="1:18" ht="20.100000000000001" customHeight="1" x14ac:dyDescent="0.25">
      <c r="D256" s="21">
        <f t="shared" si="34"/>
        <v>5</v>
      </c>
      <c r="E256" s="45">
        <f t="shared" si="35"/>
        <v>189959.29443690638</v>
      </c>
      <c r="F256" s="45"/>
      <c r="G256" s="45"/>
      <c r="I256" s="45">
        <f t="shared" si="36"/>
        <v>145318.86024423339</v>
      </c>
      <c r="J256" s="45"/>
      <c r="K256" s="45"/>
      <c r="M256" s="43" t="str">
        <f t="shared" si="37"/>
        <v>Aceito</v>
      </c>
      <c r="N256" s="43"/>
      <c r="O256" s="43"/>
    </row>
    <row r="257" spans="1:18" ht="20.100000000000001" customHeight="1" x14ac:dyDescent="0.25">
      <c r="D257" s="21">
        <f t="shared" si="34"/>
        <v>6</v>
      </c>
      <c r="E257" s="45">
        <f t="shared" si="35"/>
        <v>199521.14924181963</v>
      </c>
      <c r="F257" s="45"/>
      <c r="G257" s="45"/>
      <c r="I257" s="45">
        <f t="shared" si="36"/>
        <v>161612.13088587386</v>
      </c>
      <c r="J257" s="45"/>
      <c r="K257" s="45"/>
      <c r="M257" s="43" t="str">
        <f t="shared" si="37"/>
        <v>Aceito</v>
      </c>
      <c r="N257" s="43"/>
      <c r="O257" s="43"/>
    </row>
    <row r="258" spans="1:18" ht="20.100000000000001" customHeight="1" x14ac:dyDescent="0.25">
      <c r="D258" s="21">
        <f t="shared" si="34"/>
        <v>7</v>
      </c>
      <c r="E258" s="45">
        <f t="shared" si="35"/>
        <v>194049.15912031048</v>
      </c>
      <c r="F258" s="45"/>
      <c r="G258" s="45"/>
      <c r="I258" s="45">
        <f t="shared" si="36"/>
        <v>157179.81888745146</v>
      </c>
      <c r="J258" s="45"/>
      <c r="K258" s="45"/>
      <c r="M258" s="43" t="str">
        <f t="shared" si="37"/>
        <v>Aceito</v>
      </c>
      <c r="N258" s="43"/>
      <c r="O258" s="43"/>
    </row>
    <row r="259" spans="1:18" ht="20.100000000000001" customHeight="1" x14ac:dyDescent="0.25">
      <c r="D259" s="21">
        <f t="shared" si="34"/>
        <v>8</v>
      </c>
      <c r="E259" s="45">
        <f t="shared" si="35"/>
        <v>181818.18181818182</v>
      </c>
      <c r="F259" s="45"/>
      <c r="G259" s="45"/>
      <c r="I259" s="45">
        <f t="shared" si="36"/>
        <v>147272.72727272724</v>
      </c>
      <c r="J259" s="45"/>
      <c r="K259" s="45"/>
      <c r="M259" s="43" t="str">
        <f t="shared" si="37"/>
        <v>Aceito</v>
      </c>
      <c r="N259" s="43"/>
      <c r="O259" s="43"/>
    </row>
    <row r="260" spans="1:18" ht="20.100000000000001" customHeight="1" x14ac:dyDescent="0.25">
      <c r="D260" s="21">
        <f t="shared" si="34"/>
        <v>9</v>
      </c>
      <c r="E260" s="45">
        <f t="shared" si="35"/>
        <v>181818.18181818182</v>
      </c>
      <c r="F260" s="45"/>
      <c r="G260" s="45"/>
      <c r="I260" s="45">
        <f t="shared" si="36"/>
        <v>147272.72727272724</v>
      </c>
      <c r="J260" s="45"/>
      <c r="K260" s="45"/>
      <c r="M260" s="43" t="str">
        <f t="shared" si="37"/>
        <v>Aceito</v>
      </c>
      <c r="N260" s="43"/>
      <c r="O260" s="43"/>
    </row>
    <row r="261" spans="1:18" ht="20.100000000000001" customHeight="1" x14ac:dyDescent="0.25">
      <c r="D261" s="21">
        <f t="shared" si="34"/>
        <v>10</v>
      </c>
      <c r="E261" s="45">
        <f t="shared" si="35"/>
        <v>194049.15912031048</v>
      </c>
      <c r="F261" s="45"/>
      <c r="G261" s="45"/>
      <c r="I261" s="45">
        <f t="shared" si="36"/>
        <v>157179.81888745146</v>
      </c>
      <c r="J261" s="45"/>
      <c r="K261" s="45"/>
      <c r="M261" s="43" t="str">
        <f t="shared" si="37"/>
        <v>Aceito</v>
      </c>
      <c r="N261" s="43"/>
      <c r="O261" s="43"/>
    </row>
    <row r="262" spans="1:18" ht="20.100000000000001" customHeight="1" x14ac:dyDescent="0.25">
      <c r="D262" s="21">
        <f t="shared" si="34"/>
        <v>11</v>
      </c>
      <c r="E262" s="45">
        <f t="shared" si="35"/>
        <v>188235.29411764705</v>
      </c>
      <c r="F262" s="45"/>
      <c r="G262" s="45"/>
      <c r="I262" s="45">
        <f t="shared" si="36"/>
        <v>152470.58823529407</v>
      </c>
      <c r="J262" s="45"/>
      <c r="K262" s="45"/>
      <c r="M262" s="43" t="str">
        <f t="shared" si="37"/>
        <v>Aceito</v>
      </c>
      <c r="N262" s="43"/>
      <c r="O262" s="43"/>
    </row>
    <row r="263" spans="1:18" ht="20.100000000000001" customHeight="1" x14ac:dyDescent="0.25">
      <c r="D263" s="21">
        <f t="shared" si="34"/>
        <v>12</v>
      </c>
      <c r="E263" s="45">
        <f t="shared" si="35"/>
        <v>187018.70187018701</v>
      </c>
      <c r="F263" s="45"/>
      <c r="G263" s="45"/>
      <c r="I263" s="45">
        <f t="shared" si="36"/>
        <v>151485.14851485143</v>
      </c>
      <c r="J263" s="45"/>
      <c r="K263" s="45"/>
      <c r="M263" s="43" t="str">
        <f t="shared" si="37"/>
        <v>Aceito</v>
      </c>
      <c r="N263" s="43"/>
      <c r="O263" s="43"/>
    </row>
    <row r="266" spans="1:18" ht="20.100000000000001" customHeight="1" x14ac:dyDescent="0.25">
      <c r="A266" s="90" t="s">
        <v>37</v>
      </c>
      <c r="B266" s="90"/>
      <c r="C266" s="90"/>
      <c r="D266" s="90"/>
      <c r="E266" s="90"/>
      <c r="F266" s="90"/>
      <c r="G266" s="90"/>
      <c r="H266" s="90"/>
      <c r="I266" s="90"/>
      <c r="J266" s="90"/>
      <c r="K266" s="90"/>
      <c r="L266" s="90"/>
      <c r="M266" s="90"/>
      <c r="N266" s="90"/>
      <c r="O266" s="90"/>
      <c r="P266" s="90"/>
      <c r="Q266" s="90"/>
      <c r="R266" s="90"/>
    </row>
    <row r="268" spans="1:18" ht="20.100000000000001" customHeight="1" x14ac:dyDescent="0.25">
      <c r="A268" s="47" t="s">
        <v>70</v>
      </c>
      <c r="B268" s="47"/>
      <c r="C268" s="47"/>
      <c r="D268" s="47"/>
      <c r="E268" s="47"/>
      <c r="F268" s="47"/>
      <c r="G268" s="47"/>
      <c r="H268" s="47"/>
      <c r="I268" s="47"/>
      <c r="J268" s="47"/>
      <c r="K268" s="47"/>
      <c r="L268" s="47"/>
      <c r="M268" s="51">
        <v>7.5</v>
      </c>
      <c r="N268" s="51"/>
      <c r="O268" s="51"/>
      <c r="P268" s="51"/>
      <c r="Q268" s="51"/>
      <c r="R268" s="51"/>
    </row>
    <row r="269" spans="1:18" ht="20.100000000000001" customHeight="1" x14ac:dyDescent="0.25">
      <c r="A269" s="47" t="s">
        <v>80</v>
      </c>
      <c r="B269" s="47"/>
      <c r="C269" s="47"/>
      <c r="D269" s="47"/>
      <c r="E269" s="47"/>
      <c r="F269" s="47"/>
      <c r="G269" s="47"/>
      <c r="H269" s="47"/>
      <c r="I269" s="47"/>
      <c r="J269" s="47"/>
      <c r="K269" s="47"/>
      <c r="L269" s="47"/>
      <c r="M269" s="51">
        <f>E228</f>
        <v>154283.25884158909</v>
      </c>
      <c r="N269" s="51"/>
      <c r="O269" s="51"/>
      <c r="P269" s="51"/>
      <c r="Q269" s="51"/>
      <c r="R269" s="51"/>
    </row>
    <row r="270" spans="1:18" ht="20.100000000000001" customHeight="1" x14ac:dyDescent="0.25">
      <c r="A270" s="47" t="s">
        <v>62</v>
      </c>
      <c r="B270" s="47"/>
      <c r="C270" s="47"/>
      <c r="D270" s="47"/>
      <c r="E270" s="47"/>
      <c r="F270" s="47"/>
      <c r="G270" s="47"/>
      <c r="H270" s="47"/>
      <c r="I270" s="47"/>
      <c r="J270" s="47"/>
      <c r="K270" s="47"/>
      <c r="L270" s="47"/>
      <c r="M270" s="51">
        <f>M268*M269</f>
        <v>1157124.4413119182</v>
      </c>
      <c r="N270" s="51"/>
      <c r="O270" s="51"/>
      <c r="P270" s="51"/>
      <c r="Q270" s="51"/>
      <c r="R270" s="51"/>
    </row>
    <row r="272" spans="1:18" ht="20.100000000000001" customHeight="1" x14ac:dyDescent="0.25">
      <c r="A272" s="84" t="s">
        <v>38</v>
      </c>
      <c r="B272" s="84"/>
      <c r="C272" s="84"/>
      <c r="D272" s="84"/>
      <c r="E272" s="84"/>
      <c r="F272" s="84"/>
      <c r="G272" s="84"/>
      <c r="H272" s="84"/>
      <c r="I272" s="84"/>
      <c r="J272" s="84"/>
      <c r="K272" s="84"/>
      <c r="L272" s="84"/>
      <c r="M272" s="53"/>
      <c r="N272" s="53"/>
      <c r="O272" s="53"/>
      <c r="P272" s="53"/>
      <c r="Q272" s="53"/>
      <c r="R272" s="53"/>
    </row>
    <row r="273" spans="1:21" ht="20.100000000000001" customHeight="1" x14ac:dyDescent="0.25">
      <c r="A273" s="47" t="s">
        <v>39</v>
      </c>
      <c r="B273" s="47"/>
      <c r="C273" s="47"/>
      <c r="D273" s="47"/>
      <c r="E273" s="47"/>
      <c r="F273" s="47"/>
      <c r="G273" s="47"/>
      <c r="H273" s="47"/>
      <c r="I273" s="47"/>
      <c r="J273" s="47"/>
      <c r="K273" s="47"/>
      <c r="L273" s="47"/>
      <c r="M273" s="74">
        <v>3</v>
      </c>
      <c r="N273" s="74"/>
      <c r="O273" s="74"/>
      <c r="P273" s="74"/>
      <c r="Q273" s="74"/>
      <c r="R273" s="74"/>
      <c r="S273" s="89" t="str">
        <f>IF(M275&gt;0.01,"Reduzir o número de casas decimais","")</f>
        <v/>
      </c>
      <c r="T273" s="89"/>
      <c r="U273" s="89"/>
    </row>
    <row r="274" spans="1:21" ht="20.100000000000001" customHeight="1" x14ac:dyDescent="0.25">
      <c r="A274" s="54" t="s">
        <v>40</v>
      </c>
      <c r="B274" s="54"/>
      <c r="C274" s="54"/>
      <c r="D274" s="54"/>
      <c r="E274" s="54"/>
      <c r="F274" s="54"/>
      <c r="G274" s="54"/>
      <c r="H274" s="54"/>
      <c r="I274" s="54"/>
      <c r="J274" s="54"/>
      <c r="K274" s="54"/>
      <c r="L274" s="54"/>
      <c r="M274" s="48">
        <f>M277-M270</f>
        <v>875.55868808180094</v>
      </c>
      <c r="N274" s="54"/>
      <c r="O274" s="54"/>
      <c r="P274" s="54"/>
      <c r="Q274" s="54"/>
      <c r="R274" s="54"/>
    </row>
    <row r="275" spans="1:21" ht="20.100000000000001" customHeight="1" x14ac:dyDescent="0.25">
      <c r="A275" s="54" t="s">
        <v>41</v>
      </c>
      <c r="B275" s="54"/>
      <c r="C275" s="54"/>
      <c r="D275" s="54"/>
      <c r="E275" s="54"/>
      <c r="F275" s="54"/>
      <c r="G275" s="54"/>
      <c r="H275" s="54"/>
      <c r="I275" s="54"/>
      <c r="J275" s="54"/>
      <c r="K275" s="54"/>
      <c r="L275" s="54"/>
      <c r="M275" s="85">
        <f>M274/M270</f>
        <v>7.5666769866956994E-4</v>
      </c>
      <c r="N275" s="85"/>
      <c r="O275" s="85"/>
      <c r="P275" s="85"/>
      <c r="Q275" s="85"/>
      <c r="R275" s="85"/>
    </row>
    <row r="277" spans="1:21" ht="20.100000000000001" customHeight="1" x14ac:dyDescent="0.25">
      <c r="A277" s="86" t="s">
        <v>37</v>
      </c>
      <c r="B277" s="86"/>
      <c r="C277" s="86"/>
      <c r="D277" s="86"/>
      <c r="E277" s="86"/>
      <c r="F277" s="86"/>
      <c r="G277" s="86"/>
      <c r="H277" s="86"/>
      <c r="I277" s="86"/>
      <c r="J277" s="86"/>
      <c r="K277" s="86"/>
      <c r="L277" s="86"/>
      <c r="M277" s="87">
        <f>ROUNDUP(M270,-M273)</f>
        <v>1158000</v>
      </c>
      <c r="N277" s="87"/>
      <c r="O277" s="87"/>
      <c r="P277" s="87"/>
      <c r="Q277" s="87"/>
      <c r="R277" s="87"/>
    </row>
    <row r="280" spans="1:21" ht="20.100000000000001" customHeight="1" x14ac:dyDescent="0.25">
      <c r="A280" s="83"/>
      <c r="B280" s="83"/>
      <c r="C280" s="83"/>
      <c r="D280" s="83"/>
      <c r="E280" s="83"/>
      <c r="F280" s="83"/>
      <c r="G280" s="83"/>
      <c r="H280" s="83"/>
      <c r="I280" s="83"/>
      <c r="J280" s="83"/>
      <c r="K280" s="83"/>
      <c r="L280" s="83"/>
      <c r="M280" s="83"/>
      <c r="N280" s="83"/>
      <c r="O280" s="83"/>
      <c r="P280" s="83"/>
      <c r="Q280" s="83"/>
      <c r="R280" s="83"/>
    </row>
    <row r="281" spans="1:21" ht="20.100000000000001" customHeight="1" x14ac:dyDescent="0.25">
      <c r="A281" s="83" t="s">
        <v>43</v>
      </c>
      <c r="B281" s="83"/>
      <c r="C281" s="83"/>
      <c r="D281" s="83"/>
      <c r="E281" s="83"/>
      <c r="F281" s="83"/>
      <c r="G281" s="83"/>
      <c r="H281" s="83"/>
      <c r="I281" s="83"/>
      <c r="J281" s="83"/>
      <c r="K281" s="83"/>
      <c r="L281" s="83"/>
      <c r="M281" s="83"/>
      <c r="N281" s="83"/>
      <c r="O281" s="83"/>
      <c r="P281" s="83"/>
      <c r="Q281" s="83"/>
      <c r="R281" s="83"/>
    </row>
    <row r="282" spans="1:21" ht="20.100000000000001" customHeight="1" x14ac:dyDescent="0.25">
      <c r="A282" s="83" t="s">
        <v>42</v>
      </c>
      <c r="B282" s="83"/>
      <c r="C282" s="83"/>
      <c r="D282" s="83"/>
      <c r="E282" s="83"/>
      <c r="F282" s="83"/>
      <c r="G282" s="83"/>
      <c r="H282" s="83"/>
      <c r="I282" s="83"/>
      <c r="J282" s="83"/>
      <c r="K282" s="83"/>
      <c r="L282" s="83"/>
      <c r="M282" s="83"/>
      <c r="N282" s="83"/>
      <c r="O282" s="83"/>
      <c r="P282" s="83"/>
      <c r="Q282" s="83"/>
      <c r="R282" s="83"/>
    </row>
  </sheetData>
  <sheetProtection formatCells="0"/>
  <mergeCells count="387">
    <mergeCell ref="S273:U273"/>
    <mergeCell ref="A63:A64"/>
    <mergeCell ref="A79:R79"/>
    <mergeCell ref="A97:R97"/>
    <mergeCell ref="A115:R115"/>
    <mergeCell ref="I46:J46"/>
    <mergeCell ref="M46:N46"/>
    <mergeCell ref="I47:J47"/>
    <mergeCell ref="M47:N47"/>
    <mergeCell ref="A226:R226"/>
    <mergeCell ref="E243:H243"/>
    <mergeCell ref="A266:R266"/>
    <mergeCell ref="D250:D251"/>
    <mergeCell ref="M253:O253"/>
    <mergeCell ref="M254:O254"/>
    <mergeCell ref="L151:O151"/>
    <mergeCell ref="A173:R173"/>
    <mergeCell ref="B175:F175"/>
    <mergeCell ref="L180:O180"/>
    <mergeCell ref="P180:R180"/>
    <mergeCell ref="L181:O181"/>
    <mergeCell ref="P141:R141"/>
    <mergeCell ref="B143:F143"/>
    <mergeCell ref="B144:F144"/>
    <mergeCell ref="E37:G37"/>
    <mergeCell ref="J32:N32"/>
    <mergeCell ref="O32:R32"/>
    <mergeCell ref="J33:N33"/>
    <mergeCell ref="O33:R33"/>
    <mergeCell ref="J34:N34"/>
    <mergeCell ref="O34:R34"/>
    <mergeCell ref="L192:O192"/>
    <mergeCell ref="P192:R192"/>
    <mergeCell ref="P189:R189"/>
    <mergeCell ref="P151:R151"/>
    <mergeCell ref="B179:F179"/>
    <mergeCell ref="B180:F180"/>
    <mergeCell ref="B181:F181"/>
    <mergeCell ref="B178:F178"/>
    <mergeCell ref="Q177:R177"/>
    <mergeCell ref="L189:O189"/>
    <mergeCell ref="L184:O184"/>
    <mergeCell ref="P181:R181"/>
    <mergeCell ref="P185:R185"/>
    <mergeCell ref="L186:O186"/>
    <mergeCell ref="P186:R186"/>
    <mergeCell ref="L141:O141"/>
    <mergeCell ref="A280:R280"/>
    <mergeCell ref="A281:R281"/>
    <mergeCell ref="A282:R282"/>
    <mergeCell ref="A268:L268"/>
    <mergeCell ref="M268:R268"/>
    <mergeCell ref="A269:L269"/>
    <mergeCell ref="M269:R269"/>
    <mergeCell ref="A270:L270"/>
    <mergeCell ref="M270:R270"/>
    <mergeCell ref="A272:L272"/>
    <mergeCell ref="M272:R272"/>
    <mergeCell ref="A273:L273"/>
    <mergeCell ref="M273:R273"/>
    <mergeCell ref="A274:L274"/>
    <mergeCell ref="M274:R274"/>
    <mergeCell ref="A275:L275"/>
    <mergeCell ref="M275:R275"/>
    <mergeCell ref="A277:L277"/>
    <mergeCell ref="M277:R277"/>
    <mergeCell ref="A5:R5"/>
    <mergeCell ref="A216:F216"/>
    <mergeCell ref="G218:L218"/>
    <mergeCell ref="G219:L219"/>
    <mergeCell ref="G220:L220"/>
    <mergeCell ref="A218:F218"/>
    <mergeCell ref="G215:J215"/>
    <mergeCell ref="K215:N215"/>
    <mergeCell ref="H32:I32"/>
    <mergeCell ref="H33:I33"/>
    <mergeCell ref="H34:I34"/>
    <mergeCell ref="L191:O191"/>
    <mergeCell ref="P191:R191"/>
    <mergeCell ref="N188:O188"/>
    <mergeCell ref="P188:R188"/>
    <mergeCell ref="B137:F137"/>
    <mergeCell ref="B138:F138"/>
    <mergeCell ref="B140:F140"/>
    <mergeCell ref="A219:F219"/>
    <mergeCell ref="A220:F220"/>
    <mergeCell ref="A215:F215"/>
    <mergeCell ref="L188:M188"/>
    <mergeCell ref="L178:P178"/>
    <mergeCell ref="Q178:R178"/>
    <mergeCell ref="B145:F145"/>
    <mergeCell ref="B146:F146"/>
    <mergeCell ref="B147:F147"/>
    <mergeCell ref="B148:F148"/>
    <mergeCell ref="B142:F142"/>
    <mergeCell ref="L142:O142"/>
    <mergeCell ref="B141:F141"/>
    <mergeCell ref="P142:R142"/>
    <mergeCell ref="L147:O147"/>
    <mergeCell ref="P147:R147"/>
    <mergeCell ref="L150:O150"/>
    <mergeCell ref="A6:R6"/>
    <mergeCell ref="A7:R7"/>
    <mergeCell ref="H9:J9"/>
    <mergeCell ref="E10:G10"/>
    <mergeCell ref="H10:J10"/>
    <mergeCell ref="E11:G11"/>
    <mergeCell ref="H11:J11"/>
    <mergeCell ref="B10:D10"/>
    <mergeCell ref="B11:D11"/>
    <mergeCell ref="P9:R9"/>
    <mergeCell ref="E9:G9"/>
    <mergeCell ref="K9:M9"/>
    <mergeCell ref="K10:M10"/>
    <mergeCell ref="K11:M11"/>
    <mergeCell ref="P55:R55"/>
    <mergeCell ref="L56:O56"/>
    <mergeCell ref="P56:R56"/>
    <mergeCell ref="L57:O57"/>
    <mergeCell ref="A33:G33"/>
    <mergeCell ref="P10:R10"/>
    <mergeCell ref="P11:R11"/>
    <mergeCell ref="N9:O9"/>
    <mergeCell ref="M42:N42"/>
    <mergeCell ref="P57:R57"/>
    <mergeCell ref="M43:N43"/>
    <mergeCell ref="H39:I39"/>
    <mergeCell ref="B14:D14"/>
    <mergeCell ref="E14:G14"/>
    <mergeCell ref="H14:J14"/>
    <mergeCell ref="K14:M14"/>
    <mergeCell ref="N14:O14"/>
    <mergeCell ref="P14:R14"/>
    <mergeCell ref="A37:D38"/>
    <mergeCell ref="H37:I38"/>
    <mergeCell ref="B18:D18"/>
    <mergeCell ref="E18:G18"/>
    <mergeCell ref="B19:D19"/>
    <mergeCell ref="E19:G19"/>
    <mergeCell ref="B20:D20"/>
    <mergeCell ref="E20:G20"/>
    <mergeCell ref="H15:J15"/>
    <mergeCell ref="H16:J16"/>
    <mergeCell ref="H17:J17"/>
    <mergeCell ref="H18:J18"/>
    <mergeCell ref="H19:J19"/>
    <mergeCell ref="H20:J20"/>
    <mergeCell ref="B15:D15"/>
    <mergeCell ref="T9:U9"/>
    <mergeCell ref="A224:R224"/>
    <mergeCell ref="A228:D228"/>
    <mergeCell ref="I42:J42"/>
    <mergeCell ref="I43:J43"/>
    <mergeCell ref="A34:G34"/>
    <mergeCell ref="I44:J44"/>
    <mergeCell ref="M44:N44"/>
    <mergeCell ref="A60:R61"/>
    <mergeCell ref="F63:H63"/>
    <mergeCell ref="B63:D63"/>
    <mergeCell ref="M63:O63"/>
    <mergeCell ref="A134:R134"/>
    <mergeCell ref="L136:P136"/>
    <mergeCell ref="L139:O139"/>
    <mergeCell ref="P139:R139"/>
    <mergeCell ref="L137:P137"/>
    <mergeCell ref="B21:D21"/>
    <mergeCell ref="E21:G21"/>
    <mergeCell ref="H21:J21"/>
    <mergeCell ref="K21:M21"/>
    <mergeCell ref="N21:O21"/>
    <mergeCell ref="P21:R21"/>
    <mergeCell ref="B9:D9"/>
    <mergeCell ref="N10:O10"/>
    <mergeCell ref="N11:O11"/>
    <mergeCell ref="B12:D12"/>
    <mergeCell ref="E12:G12"/>
    <mergeCell ref="H12:J12"/>
    <mergeCell ref="K12:M12"/>
    <mergeCell ref="N12:O12"/>
    <mergeCell ref="P12:R12"/>
    <mergeCell ref="B13:D13"/>
    <mergeCell ref="E13:G13"/>
    <mergeCell ref="H13:J13"/>
    <mergeCell ref="K13:M13"/>
    <mergeCell ref="N13:O13"/>
    <mergeCell ref="P13:R13"/>
    <mergeCell ref="L55:O55"/>
    <mergeCell ref="I45:J45"/>
    <mergeCell ref="M45:N45"/>
    <mergeCell ref="O46:R46"/>
    <mergeCell ref="O47:R47"/>
    <mergeCell ref="O45:R45"/>
    <mergeCell ref="M242:P242"/>
    <mergeCell ref="M243:P243"/>
    <mergeCell ref="M244:P244"/>
    <mergeCell ref="I242:L242"/>
    <mergeCell ref="I243:L243"/>
    <mergeCell ref="K237:N237"/>
    <mergeCell ref="O237:R237"/>
    <mergeCell ref="O215:R215"/>
    <mergeCell ref="O216:R216"/>
    <mergeCell ref="L144:O144"/>
    <mergeCell ref="P144:R144"/>
    <mergeCell ref="L175:P175"/>
    <mergeCell ref="Q175:R175"/>
    <mergeCell ref="K216:N216"/>
    <mergeCell ref="O214:R214"/>
    <mergeCell ref="N146:O146"/>
    <mergeCell ref="P146:R146"/>
    <mergeCell ref="L146:M146"/>
    <mergeCell ref="A244:D244"/>
    <mergeCell ref="E244:H244"/>
    <mergeCell ref="A242:D242"/>
    <mergeCell ref="E242:H242"/>
    <mergeCell ref="K214:N214"/>
    <mergeCell ref="A243:D243"/>
    <mergeCell ref="A235:D235"/>
    <mergeCell ref="E235:H235"/>
    <mergeCell ref="K235:N235"/>
    <mergeCell ref="K236:N236"/>
    <mergeCell ref="A232:D232"/>
    <mergeCell ref="A233:D233"/>
    <mergeCell ref="A214:F214"/>
    <mergeCell ref="E232:H232"/>
    <mergeCell ref="E233:H233"/>
    <mergeCell ref="A236:D236"/>
    <mergeCell ref="E236:H236"/>
    <mergeCell ref="A229:D229"/>
    <mergeCell ref="A221:F221"/>
    <mergeCell ref="G221:L221"/>
    <mergeCell ref="A230:D230"/>
    <mergeCell ref="A231:D231"/>
    <mergeCell ref="E228:H228"/>
    <mergeCell ref="E229:H229"/>
    <mergeCell ref="E230:H230"/>
    <mergeCell ref="E231:H231"/>
    <mergeCell ref="A240:R240"/>
    <mergeCell ref="O235:R235"/>
    <mergeCell ref="O236:R236"/>
    <mergeCell ref="E15:G15"/>
    <mergeCell ref="B16:D16"/>
    <mergeCell ref="E16:G16"/>
    <mergeCell ref="B17:D17"/>
    <mergeCell ref="E17:G17"/>
    <mergeCell ref="K15:M15"/>
    <mergeCell ref="K16:M16"/>
    <mergeCell ref="K17:M17"/>
    <mergeCell ref="K18:M18"/>
    <mergeCell ref="K19:M19"/>
    <mergeCell ref="K20:M20"/>
    <mergeCell ref="N15:O15"/>
    <mergeCell ref="N16:O16"/>
    <mergeCell ref="N17:O17"/>
    <mergeCell ref="N18:O18"/>
    <mergeCell ref="N19:O19"/>
    <mergeCell ref="N20:O20"/>
    <mergeCell ref="P15:R15"/>
    <mergeCell ref="P16:R16"/>
    <mergeCell ref="P17:R17"/>
    <mergeCell ref="P18:R18"/>
    <mergeCell ref="P19:R19"/>
    <mergeCell ref="P20:R20"/>
    <mergeCell ref="L23:O23"/>
    <mergeCell ref="L24:O24"/>
    <mergeCell ref="L25:O25"/>
    <mergeCell ref="P23:R23"/>
    <mergeCell ref="P24:R24"/>
    <mergeCell ref="P25:R25"/>
    <mergeCell ref="A28:R28"/>
    <mergeCell ref="A30:R30"/>
    <mergeCell ref="M48:N48"/>
    <mergeCell ref="B41:E41"/>
    <mergeCell ref="B42:E42"/>
    <mergeCell ref="B43:E43"/>
    <mergeCell ref="B44:E44"/>
    <mergeCell ref="B45:E45"/>
    <mergeCell ref="B46:E46"/>
    <mergeCell ref="B47:E47"/>
    <mergeCell ref="B48:E48"/>
    <mergeCell ref="I41:J41"/>
    <mergeCell ref="M41:N41"/>
    <mergeCell ref="O41:R41"/>
    <mergeCell ref="O42:R42"/>
    <mergeCell ref="O43:R43"/>
    <mergeCell ref="O44:R44"/>
    <mergeCell ref="A32:G32"/>
    <mergeCell ref="B51:E51"/>
    <mergeCell ref="B52:E52"/>
    <mergeCell ref="B53:E53"/>
    <mergeCell ref="M51:N51"/>
    <mergeCell ref="M52:N52"/>
    <mergeCell ref="M53:N53"/>
    <mergeCell ref="I48:J48"/>
    <mergeCell ref="I49:J49"/>
    <mergeCell ref="I50:J50"/>
    <mergeCell ref="I51:J51"/>
    <mergeCell ref="I52:J52"/>
    <mergeCell ref="I53:J53"/>
    <mergeCell ref="K48:L48"/>
    <mergeCell ref="K49:L49"/>
    <mergeCell ref="K50:L50"/>
    <mergeCell ref="M49:N49"/>
    <mergeCell ref="M50:N50"/>
    <mergeCell ref="B49:E49"/>
    <mergeCell ref="B50:E50"/>
    <mergeCell ref="B182:F182"/>
    <mergeCell ref="B183:F183"/>
    <mergeCell ref="B184:F184"/>
    <mergeCell ref="B185:F185"/>
    <mergeCell ref="B186:F186"/>
    <mergeCell ref="B187:F187"/>
    <mergeCell ref="B136:F136"/>
    <mergeCell ref="P143:R143"/>
    <mergeCell ref="L140:O140"/>
    <mergeCell ref="P140:R140"/>
    <mergeCell ref="Q137:R137"/>
    <mergeCell ref="B139:F139"/>
    <mergeCell ref="Q136:R136"/>
    <mergeCell ref="P150:R150"/>
    <mergeCell ref="L143:O143"/>
    <mergeCell ref="L176:P176"/>
    <mergeCell ref="Q176:R176"/>
    <mergeCell ref="B177:F177"/>
    <mergeCell ref="L177:P177"/>
    <mergeCell ref="B176:F176"/>
    <mergeCell ref="P184:R184"/>
    <mergeCell ref="L183:O183"/>
    <mergeCell ref="P183:R183"/>
    <mergeCell ref="L185:O185"/>
    <mergeCell ref="K41:L41"/>
    <mergeCell ref="K42:L42"/>
    <mergeCell ref="K43:L43"/>
    <mergeCell ref="K44:L44"/>
    <mergeCell ref="K45:L45"/>
    <mergeCell ref="K46:L46"/>
    <mergeCell ref="K47:L47"/>
    <mergeCell ref="M256:O256"/>
    <mergeCell ref="M255:O255"/>
    <mergeCell ref="M251:O251"/>
    <mergeCell ref="I252:K252"/>
    <mergeCell ref="O51:R51"/>
    <mergeCell ref="O52:R52"/>
    <mergeCell ref="O53:R53"/>
    <mergeCell ref="K51:L51"/>
    <mergeCell ref="K52:L52"/>
    <mergeCell ref="K53:L53"/>
    <mergeCell ref="O48:R48"/>
    <mergeCell ref="O49:R49"/>
    <mergeCell ref="O50:R50"/>
    <mergeCell ref="I244:L244"/>
    <mergeCell ref="G216:J216"/>
    <mergeCell ref="G214:J214"/>
    <mergeCell ref="A247:R248"/>
    <mergeCell ref="M250:O250"/>
    <mergeCell ref="E260:G260"/>
    <mergeCell ref="E259:G259"/>
    <mergeCell ref="E258:G258"/>
    <mergeCell ref="E256:G256"/>
    <mergeCell ref="E255:G255"/>
    <mergeCell ref="E254:G254"/>
    <mergeCell ref="E257:G257"/>
    <mergeCell ref="E253:G253"/>
    <mergeCell ref="E252:G252"/>
    <mergeCell ref="M257:O257"/>
    <mergeCell ref="M258:O258"/>
    <mergeCell ref="M259:O259"/>
    <mergeCell ref="M260:O260"/>
    <mergeCell ref="M261:O261"/>
    <mergeCell ref="M262:O262"/>
    <mergeCell ref="M263:O263"/>
    <mergeCell ref="E250:G251"/>
    <mergeCell ref="I250:K251"/>
    <mergeCell ref="I253:K253"/>
    <mergeCell ref="I254:K254"/>
    <mergeCell ref="I255:K255"/>
    <mergeCell ref="I256:K256"/>
    <mergeCell ref="I257:K257"/>
    <mergeCell ref="I258:K258"/>
    <mergeCell ref="I259:K259"/>
    <mergeCell ref="I260:K260"/>
    <mergeCell ref="I261:K261"/>
    <mergeCell ref="I262:K262"/>
    <mergeCell ref="I263:K263"/>
    <mergeCell ref="E261:G261"/>
    <mergeCell ref="E262:G262"/>
    <mergeCell ref="E263:G263"/>
    <mergeCell ref="M252:O252"/>
  </mergeCells>
  <conditionalFormatting sqref="M65:O76 M252:O263">
    <cfRule type="containsText" dxfId="14" priority="1" operator="containsText" text="Rejeitado">
      <formula>NOT(ISERROR(SEARCH("Rejeitado",M65)))</formula>
    </cfRule>
  </conditionalFormatting>
  <conditionalFormatting sqref="M275:R275">
    <cfRule type="cellIs" dxfId="13" priority="10" operator="greaterThan">
      <formula>0.01</formula>
    </cfRule>
  </conditionalFormatting>
  <conditionalFormatting sqref="P147 P189">
    <cfRule type="containsText" dxfId="12" priority="3" operator="containsText" text="Encerrar">
      <formula>NOT(ISERROR(SEARCH("Encerrar",P147)))</formula>
    </cfRule>
    <cfRule type="containsText" dxfId="11" priority="4" operator="containsText" text="Continuar">
      <formula>NOT(ISERROR(SEARCH("Continuar",P147)))</formula>
    </cfRule>
  </conditionalFormatting>
  <conditionalFormatting sqref="S273:U273">
    <cfRule type="containsText" dxfId="10" priority="2" operator="containsText" text="Reduzir o número de casas decimais">
      <formula>NOT(ISERROR(SEARCH("Reduzir o número de casas decimais",S273)))</formula>
    </cfRule>
  </conditionalFormatting>
  <dataValidations disablePrompts="1" count="1">
    <dataValidation type="list" allowBlank="1" showInputMessage="1" showErrorMessage="1" sqref="K10:K21" xr:uid="{5C2DD489-0C83-42A1-A5AC-6D8E4F2B2F12}">
      <formula1>$T$11:$T$12</formula1>
    </dataValidation>
  </dataValidations>
  <printOptions horizontalCentered="1"/>
  <pageMargins left="0.25" right="0.25" top="0.75" bottom="0.75" header="0.3" footer="0.3"/>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ED24-DE13-4920-82A4-1EFB577B07A8}">
  <sheetPr>
    <pageSetUpPr fitToPage="1"/>
  </sheetPr>
  <dimension ref="A1:BF262"/>
  <sheetViews>
    <sheetView showGridLines="0" zoomScaleNormal="100" workbookViewId="0"/>
  </sheetViews>
  <sheetFormatPr defaultColWidth="4.75" defaultRowHeight="20.100000000000001" customHeight="1" x14ac:dyDescent="0.25"/>
  <cols>
    <col min="1" max="18" width="8.625" style="9" customWidth="1"/>
    <col min="19" max="21" width="25.625" style="1" customWidth="1"/>
    <col min="22" max="25" width="20.625" style="1" customWidth="1"/>
    <col min="26" max="58" width="20.625" style="2" customWidth="1"/>
    <col min="59" max="128" width="4.75" style="1" customWidth="1"/>
    <col min="129" max="16384" width="4.75" style="1"/>
  </cols>
  <sheetData>
    <row r="1" spans="1:21" ht="140.1" customHeight="1" x14ac:dyDescent="0.25">
      <c r="A1" s="30"/>
      <c r="B1" s="30"/>
      <c r="C1" s="30"/>
      <c r="D1" s="30"/>
      <c r="E1" s="30"/>
      <c r="F1" s="30"/>
      <c r="G1" s="30"/>
      <c r="H1" s="30"/>
      <c r="I1" s="30"/>
      <c r="J1" s="30"/>
      <c r="K1" s="30"/>
      <c r="L1" s="30"/>
      <c r="M1" s="30"/>
      <c r="N1" s="30"/>
      <c r="O1" s="30"/>
      <c r="P1" s="30"/>
      <c r="Q1" s="30"/>
      <c r="R1" s="30"/>
    </row>
    <row r="2" spans="1:21" ht="5.0999999999999996" customHeight="1" x14ac:dyDescent="0.25"/>
    <row r="3" spans="1:21" ht="5.0999999999999996" customHeight="1" x14ac:dyDescent="0.25">
      <c r="A3" s="30"/>
      <c r="B3" s="30"/>
      <c r="C3" s="30"/>
      <c r="D3" s="30"/>
      <c r="E3" s="30"/>
      <c r="F3" s="30"/>
      <c r="G3" s="30"/>
      <c r="H3" s="30"/>
      <c r="I3" s="30"/>
      <c r="J3" s="30"/>
      <c r="K3" s="30"/>
      <c r="L3" s="30"/>
      <c r="M3" s="30"/>
      <c r="N3" s="30"/>
      <c r="O3" s="30"/>
      <c r="P3" s="30"/>
      <c r="Q3" s="30"/>
      <c r="R3" s="30"/>
    </row>
    <row r="5" spans="1:21" ht="20.100000000000001" customHeight="1" x14ac:dyDescent="0.25">
      <c r="A5" s="80" t="s">
        <v>89</v>
      </c>
      <c r="B5" s="80"/>
      <c r="C5" s="80"/>
      <c r="D5" s="80"/>
      <c r="E5" s="80"/>
      <c r="F5" s="80"/>
      <c r="G5" s="80"/>
      <c r="H5" s="80"/>
      <c r="I5" s="80"/>
      <c r="J5" s="80"/>
      <c r="K5" s="80"/>
      <c r="L5" s="80"/>
      <c r="M5" s="80"/>
      <c r="N5" s="80"/>
      <c r="O5" s="80"/>
      <c r="P5" s="80"/>
      <c r="Q5" s="80"/>
      <c r="R5" s="80"/>
    </row>
    <row r="6" spans="1:21" ht="20.100000000000001" customHeight="1" x14ac:dyDescent="0.25">
      <c r="A6" s="56" t="s">
        <v>49</v>
      </c>
      <c r="B6" s="56"/>
      <c r="C6" s="56"/>
      <c r="D6" s="56"/>
      <c r="E6" s="56"/>
      <c r="F6" s="56"/>
      <c r="G6" s="56"/>
      <c r="H6" s="56"/>
      <c r="I6" s="56"/>
      <c r="J6" s="56"/>
      <c r="K6" s="56"/>
      <c r="L6" s="56"/>
      <c r="M6" s="56"/>
      <c r="N6" s="56"/>
      <c r="O6" s="56"/>
      <c r="P6" s="56"/>
      <c r="Q6" s="56"/>
      <c r="R6" s="56"/>
    </row>
    <row r="7" spans="1:21" ht="20.100000000000001" customHeight="1" x14ac:dyDescent="0.25">
      <c r="A7" s="79" t="s">
        <v>90</v>
      </c>
      <c r="B7" s="79"/>
      <c r="C7" s="79"/>
      <c r="D7" s="79"/>
      <c r="E7" s="79"/>
      <c r="F7" s="79"/>
      <c r="G7" s="79"/>
      <c r="H7" s="79"/>
      <c r="I7" s="79"/>
      <c r="J7" s="79"/>
      <c r="K7" s="79"/>
      <c r="L7" s="79"/>
      <c r="M7" s="79"/>
      <c r="N7" s="79"/>
      <c r="O7" s="79"/>
      <c r="P7" s="79"/>
      <c r="Q7" s="79"/>
      <c r="R7" s="79"/>
    </row>
    <row r="9" spans="1:21" ht="39.950000000000003" customHeight="1" thickBot="1" x14ac:dyDescent="0.3">
      <c r="A9" s="31" t="s">
        <v>3</v>
      </c>
      <c r="B9" s="44" t="s">
        <v>84</v>
      </c>
      <c r="C9" s="44"/>
      <c r="D9" s="44"/>
      <c r="E9" s="44" t="s">
        <v>4</v>
      </c>
      <c r="F9" s="44"/>
      <c r="G9" s="44"/>
      <c r="H9" s="44" t="s">
        <v>85</v>
      </c>
      <c r="I9" s="44"/>
      <c r="J9" s="44"/>
      <c r="K9" s="44" t="s">
        <v>47</v>
      </c>
      <c r="L9" s="44"/>
      <c r="M9" s="44"/>
      <c r="N9" s="44" t="s">
        <v>0</v>
      </c>
      <c r="O9" s="44"/>
      <c r="P9" s="44" t="s">
        <v>86</v>
      </c>
      <c r="Q9" s="44"/>
      <c r="R9" s="44"/>
      <c r="T9" s="91" t="s">
        <v>0</v>
      </c>
      <c r="U9" s="91"/>
    </row>
    <row r="10" spans="1:21" ht="20.100000000000001" customHeight="1" x14ac:dyDescent="0.25">
      <c r="A10" s="10">
        <v>1</v>
      </c>
      <c r="B10" s="45">
        <v>1000000</v>
      </c>
      <c r="C10" s="45"/>
      <c r="D10" s="45"/>
      <c r="E10" s="45">
        <v>3.5</v>
      </c>
      <c r="F10" s="45"/>
      <c r="G10" s="45"/>
      <c r="H10" s="45">
        <f t="shared" ref="H10:H14" si="0">B10/E10</f>
        <v>285714.28571428574</v>
      </c>
      <c r="I10" s="45"/>
      <c r="J10" s="45"/>
      <c r="K10" s="47" t="s">
        <v>2</v>
      </c>
      <c r="L10" s="47"/>
      <c r="M10" s="47"/>
      <c r="N10" s="75">
        <f>VLOOKUP(K10,$T$11:$U$12,2,0)</f>
        <v>1</v>
      </c>
      <c r="O10" s="75"/>
      <c r="P10" s="45">
        <f>H10*N10</f>
        <v>285714.28571428574</v>
      </c>
      <c r="Q10" s="45"/>
      <c r="R10" s="45"/>
      <c r="T10" s="3" t="s">
        <v>50</v>
      </c>
      <c r="U10" s="3" t="s">
        <v>1</v>
      </c>
    </row>
    <row r="11" spans="1:21" ht="20.100000000000001" customHeight="1" x14ac:dyDescent="0.25">
      <c r="A11" s="10">
        <v>2</v>
      </c>
      <c r="B11" s="48">
        <v>2500000</v>
      </c>
      <c r="C11" s="48"/>
      <c r="D11" s="48"/>
      <c r="E11" s="48">
        <v>12.53</v>
      </c>
      <c r="F11" s="48"/>
      <c r="G11" s="48"/>
      <c r="H11" s="48">
        <f t="shared" si="0"/>
        <v>199521.14924181963</v>
      </c>
      <c r="I11" s="48"/>
      <c r="J11" s="48"/>
      <c r="K11" s="54" t="s">
        <v>2</v>
      </c>
      <c r="L11" s="54"/>
      <c r="M11" s="54"/>
      <c r="N11" s="58">
        <f>VLOOKUP(K11,$T$11:$U$12,2,0)</f>
        <v>1</v>
      </c>
      <c r="O11" s="58"/>
      <c r="P11" s="48">
        <f>H11*N11</f>
        <v>199521.14924181963</v>
      </c>
      <c r="Q11" s="48"/>
      <c r="R11" s="48"/>
      <c r="T11" s="4" t="s">
        <v>51</v>
      </c>
      <c r="U11" s="5">
        <v>0.9</v>
      </c>
    </row>
    <row r="12" spans="1:21" ht="20.100000000000001" customHeight="1" x14ac:dyDescent="0.25">
      <c r="A12" s="10">
        <v>3</v>
      </c>
      <c r="B12" s="48">
        <v>14800000</v>
      </c>
      <c r="C12" s="48"/>
      <c r="D12" s="48"/>
      <c r="E12" s="48">
        <v>150</v>
      </c>
      <c r="F12" s="48"/>
      <c r="G12" s="48"/>
      <c r="H12" s="48">
        <f t="shared" si="0"/>
        <v>98666.666666666672</v>
      </c>
      <c r="I12" s="48"/>
      <c r="J12" s="48"/>
      <c r="K12" s="54" t="s">
        <v>2</v>
      </c>
      <c r="L12" s="54"/>
      <c r="M12" s="54"/>
      <c r="N12" s="58">
        <f>VLOOKUP(K12,$T$11:$U$12,2,0)</f>
        <v>1</v>
      </c>
      <c r="O12" s="58"/>
      <c r="P12" s="48">
        <f>H12*N12</f>
        <v>98666.666666666672</v>
      </c>
      <c r="Q12" s="48"/>
      <c r="R12" s="48"/>
      <c r="T12" s="4" t="s">
        <v>2</v>
      </c>
      <c r="U12" s="5">
        <v>1</v>
      </c>
    </row>
    <row r="13" spans="1:21" ht="20.100000000000001" customHeight="1" x14ac:dyDescent="0.25">
      <c r="A13" s="10">
        <v>4</v>
      </c>
      <c r="B13" s="48">
        <v>1000000</v>
      </c>
      <c r="C13" s="48"/>
      <c r="D13" s="48"/>
      <c r="E13" s="48">
        <v>5.85</v>
      </c>
      <c r="F13" s="48"/>
      <c r="G13" s="48"/>
      <c r="H13" s="48">
        <f t="shared" si="0"/>
        <v>170940.17094017094</v>
      </c>
      <c r="I13" s="48"/>
      <c r="J13" s="48"/>
      <c r="K13" s="54" t="s">
        <v>2</v>
      </c>
      <c r="L13" s="54"/>
      <c r="M13" s="54"/>
      <c r="N13" s="58">
        <f>VLOOKUP(K13,$T$11:$U$12,2,0)</f>
        <v>1</v>
      </c>
      <c r="O13" s="58"/>
      <c r="P13" s="48">
        <f>H13*N13</f>
        <v>170940.17094017094</v>
      </c>
      <c r="Q13" s="48"/>
      <c r="R13" s="48"/>
    </row>
    <row r="14" spans="1:21" ht="20.100000000000001" customHeight="1" x14ac:dyDescent="0.25">
      <c r="A14" s="10">
        <v>5</v>
      </c>
      <c r="B14" s="48">
        <v>1700000</v>
      </c>
      <c r="C14" s="48"/>
      <c r="D14" s="48"/>
      <c r="E14" s="48">
        <v>9.09</v>
      </c>
      <c r="F14" s="48"/>
      <c r="G14" s="48"/>
      <c r="H14" s="48">
        <f t="shared" si="0"/>
        <v>187018.70187018701</v>
      </c>
      <c r="I14" s="48"/>
      <c r="J14" s="48"/>
      <c r="K14" s="54" t="s">
        <v>2</v>
      </c>
      <c r="L14" s="54"/>
      <c r="M14" s="54"/>
      <c r="N14" s="58">
        <f t="shared" ref="N14" si="1">VLOOKUP(K14,$T$11:$U$12,2,0)</f>
        <v>1</v>
      </c>
      <c r="O14" s="58"/>
      <c r="P14" s="48">
        <f t="shared" ref="P14" si="2">H14*N14</f>
        <v>187018.70187018701</v>
      </c>
      <c r="Q14" s="48"/>
      <c r="R14" s="48"/>
    </row>
    <row r="16" spans="1:21" ht="20.100000000000001" customHeight="1" x14ac:dyDescent="0.25">
      <c r="L16" s="47" t="s">
        <v>10</v>
      </c>
      <c r="M16" s="47"/>
      <c r="N16" s="47"/>
      <c r="O16" s="47"/>
      <c r="P16" s="45">
        <f>AVERAGE(P10:R14)</f>
        <v>188372.19488662598</v>
      </c>
      <c r="Q16" s="45"/>
      <c r="R16" s="45"/>
    </row>
    <row r="17" spans="1:18" ht="20.100000000000001" customHeight="1" x14ac:dyDescent="0.25">
      <c r="L17" s="53" t="s">
        <v>11</v>
      </c>
      <c r="M17" s="53"/>
      <c r="N17" s="53"/>
      <c r="O17" s="53"/>
      <c r="P17" s="45">
        <f>STDEVA(P10:R14)</f>
        <v>66993.602353791663</v>
      </c>
      <c r="Q17" s="45"/>
      <c r="R17" s="45"/>
    </row>
    <row r="18" spans="1:18" ht="20.100000000000001" customHeight="1" x14ac:dyDescent="0.25">
      <c r="L18" s="54" t="s">
        <v>9</v>
      </c>
      <c r="M18" s="54"/>
      <c r="N18" s="54"/>
      <c r="O18" s="54"/>
      <c r="P18" s="55">
        <f>P17/P16</f>
        <v>0.35564485721532602</v>
      </c>
      <c r="Q18" s="55"/>
      <c r="R18" s="55"/>
    </row>
    <row r="21" spans="1:18" ht="20.100000000000001" customHeight="1" x14ac:dyDescent="0.25">
      <c r="A21" s="56" t="s">
        <v>6</v>
      </c>
      <c r="B21" s="56"/>
      <c r="C21" s="56"/>
      <c r="D21" s="56"/>
      <c r="E21" s="56"/>
      <c r="F21" s="56"/>
      <c r="G21" s="56"/>
      <c r="H21" s="56"/>
      <c r="I21" s="56"/>
      <c r="J21" s="56"/>
      <c r="K21" s="56"/>
      <c r="L21" s="56"/>
      <c r="M21" s="56"/>
      <c r="N21" s="56"/>
      <c r="O21" s="56"/>
      <c r="P21" s="56"/>
      <c r="Q21" s="56"/>
      <c r="R21" s="56"/>
    </row>
    <row r="23" spans="1:18" ht="80.099999999999994" customHeight="1" x14ac:dyDescent="0.25">
      <c r="A23" s="57" t="s">
        <v>44</v>
      </c>
      <c r="B23" s="57"/>
      <c r="C23" s="57"/>
      <c r="D23" s="57"/>
      <c r="E23" s="57"/>
      <c r="F23" s="57"/>
      <c r="G23" s="57"/>
      <c r="H23" s="57"/>
      <c r="I23" s="57"/>
      <c r="J23" s="57"/>
      <c r="K23" s="57"/>
      <c r="L23" s="57"/>
      <c r="M23" s="57"/>
      <c r="N23" s="57"/>
      <c r="O23" s="57"/>
      <c r="P23" s="57"/>
      <c r="Q23" s="57"/>
      <c r="R23" s="57"/>
    </row>
    <row r="25" spans="1:18" ht="20.100000000000001" customHeight="1" x14ac:dyDescent="0.25">
      <c r="A25" s="44" t="s">
        <v>5</v>
      </c>
      <c r="B25" s="44"/>
      <c r="C25" s="44"/>
      <c r="D25" s="44"/>
      <c r="E25" s="44"/>
      <c r="F25" s="44"/>
      <c r="G25" s="44"/>
      <c r="H25" s="44" t="s">
        <v>45</v>
      </c>
      <c r="I25" s="44"/>
      <c r="J25" s="44" t="s">
        <v>57</v>
      </c>
      <c r="K25" s="44"/>
      <c r="L25" s="44"/>
      <c r="M25" s="44"/>
      <c r="N25" s="44"/>
      <c r="O25" s="44" t="s">
        <v>56</v>
      </c>
      <c r="P25" s="44"/>
      <c r="Q25" s="44"/>
      <c r="R25" s="44"/>
    </row>
    <row r="26" spans="1:18" s="2" customFormat="1" ht="20.100000000000001" customHeight="1" x14ac:dyDescent="0.25">
      <c r="A26" s="54" t="s">
        <v>52</v>
      </c>
      <c r="B26" s="54"/>
      <c r="C26" s="54"/>
      <c r="D26" s="54"/>
      <c r="E26" s="54"/>
      <c r="F26" s="54"/>
      <c r="G26" s="54"/>
      <c r="H26" s="81" t="s">
        <v>72</v>
      </c>
      <c r="I26" s="81"/>
      <c r="J26" s="54" t="s">
        <v>53</v>
      </c>
      <c r="K26" s="54"/>
      <c r="L26" s="54"/>
      <c r="M26" s="54"/>
      <c r="N26" s="54"/>
      <c r="O26" s="48">
        <v>1</v>
      </c>
      <c r="P26" s="48"/>
      <c r="Q26" s="48"/>
      <c r="R26" s="48"/>
    </row>
    <row r="27" spans="1:18" s="2" customFormat="1" ht="20.100000000000001" customHeight="1" x14ac:dyDescent="0.25">
      <c r="A27" s="54" t="s">
        <v>54</v>
      </c>
      <c r="B27" s="54"/>
      <c r="C27" s="54"/>
      <c r="D27" s="54"/>
      <c r="E27" s="54"/>
      <c r="F27" s="54"/>
      <c r="G27" s="54"/>
      <c r="H27" s="82" t="s">
        <v>73</v>
      </c>
      <c r="I27" s="82"/>
      <c r="J27" s="54" t="s">
        <v>55</v>
      </c>
      <c r="K27" s="54"/>
      <c r="L27" s="54"/>
      <c r="M27" s="54"/>
      <c r="N27" s="54"/>
      <c r="O27" s="48">
        <v>1</v>
      </c>
      <c r="P27" s="48"/>
      <c r="Q27" s="48"/>
      <c r="R27" s="48"/>
    </row>
    <row r="30" spans="1:18" s="2" customFormat="1" ht="20.100000000000001" customHeight="1" x14ac:dyDescent="0.25">
      <c r="A30" s="46" t="s">
        <v>7</v>
      </c>
      <c r="B30" s="46"/>
      <c r="C30" s="46"/>
      <c r="D30" s="46"/>
      <c r="E30" s="46" t="s">
        <v>8</v>
      </c>
      <c r="F30" s="46"/>
      <c r="G30" s="46"/>
      <c r="H30" s="46" t="s">
        <v>59</v>
      </c>
      <c r="I30" s="46"/>
      <c r="J30" s="9"/>
      <c r="K30" s="9"/>
      <c r="L30" s="9"/>
      <c r="M30" s="9"/>
      <c r="N30" s="9"/>
      <c r="O30" s="9"/>
      <c r="P30" s="9"/>
      <c r="Q30" s="9"/>
      <c r="R30" s="9"/>
    </row>
    <row r="31" spans="1:18" s="2" customFormat="1" ht="20.100000000000001" customHeight="1" x14ac:dyDescent="0.25">
      <c r="A31" s="46"/>
      <c r="B31" s="46"/>
      <c r="C31" s="46"/>
      <c r="D31" s="46"/>
      <c r="E31" s="11" t="s">
        <v>81</v>
      </c>
      <c r="F31" s="11" t="s">
        <v>82</v>
      </c>
      <c r="G31" s="11" t="s">
        <v>83</v>
      </c>
      <c r="H31" s="46"/>
      <c r="I31" s="46"/>
      <c r="J31" s="9"/>
      <c r="K31" s="9"/>
      <c r="L31" s="9"/>
      <c r="M31" s="9"/>
      <c r="N31" s="9"/>
      <c r="O31" s="9"/>
      <c r="P31" s="9"/>
      <c r="Q31" s="9"/>
      <c r="R31" s="9"/>
    </row>
    <row r="32" spans="1:18" s="2" customFormat="1" ht="20.100000000000001" customHeight="1" thickBot="1" x14ac:dyDescent="0.3">
      <c r="A32" s="12"/>
      <c r="B32" s="12"/>
      <c r="C32" s="12"/>
      <c r="D32" s="12"/>
      <c r="E32" s="13">
        <v>0.95</v>
      </c>
      <c r="F32" s="13">
        <v>0.95</v>
      </c>
      <c r="G32" s="13">
        <v>1</v>
      </c>
      <c r="H32" s="78">
        <f>SUM(E32:G32)-COUNT(E32:G32)+1</f>
        <v>0.89999999999999991</v>
      </c>
      <c r="I32" s="78"/>
      <c r="J32" s="9"/>
      <c r="K32" s="9"/>
      <c r="L32" s="9"/>
      <c r="M32" s="9"/>
      <c r="N32" s="9"/>
      <c r="O32" s="9"/>
      <c r="P32" s="9"/>
      <c r="Q32" s="9"/>
      <c r="R32" s="9"/>
    </row>
    <row r="33" spans="1:18" s="2" customFormat="1" ht="20.100000000000001" customHeight="1" x14ac:dyDescent="0.25">
      <c r="A33" s="9"/>
      <c r="B33" s="9"/>
      <c r="C33" s="9"/>
      <c r="D33" s="9"/>
      <c r="E33" s="9"/>
      <c r="F33" s="9"/>
      <c r="G33" s="9"/>
      <c r="H33" s="9"/>
      <c r="I33" s="9"/>
      <c r="J33" s="9"/>
      <c r="K33" s="9"/>
      <c r="L33" s="9"/>
      <c r="M33" s="9"/>
      <c r="N33" s="9"/>
      <c r="O33" s="9"/>
      <c r="P33" s="9"/>
      <c r="Q33" s="9"/>
      <c r="R33" s="9"/>
    </row>
    <row r="34" spans="1:18" s="2" customFormat="1" ht="39.950000000000003" customHeight="1" x14ac:dyDescent="0.25">
      <c r="A34" s="11" t="s">
        <v>3</v>
      </c>
      <c r="B34" s="46" t="str">
        <f t="shared" ref="B34:B39" si="3">P9</f>
        <v>Preço unitário da terra nua ajustado ao fator de oferta</v>
      </c>
      <c r="C34" s="46"/>
      <c r="D34" s="46"/>
      <c r="E34" s="46"/>
      <c r="F34" s="11" t="s">
        <v>81</v>
      </c>
      <c r="G34" s="11" t="s">
        <v>82</v>
      </c>
      <c r="H34" s="11" t="s">
        <v>83</v>
      </c>
      <c r="I34" s="46" t="s">
        <v>58</v>
      </c>
      <c r="J34" s="46"/>
      <c r="K34" s="46" t="s">
        <v>59</v>
      </c>
      <c r="L34" s="46"/>
      <c r="M34" s="46" t="s">
        <v>5</v>
      </c>
      <c r="N34" s="46"/>
      <c r="O34" s="46" t="s">
        <v>87</v>
      </c>
      <c r="P34" s="46"/>
      <c r="Q34" s="46"/>
      <c r="R34" s="46"/>
    </row>
    <row r="35" spans="1:18" s="2" customFormat="1" ht="20.100000000000001" customHeight="1" x14ac:dyDescent="0.25">
      <c r="A35" s="14">
        <f>A10</f>
        <v>1</v>
      </c>
      <c r="B35" s="45">
        <f t="shared" si="3"/>
        <v>285714.28571428574</v>
      </c>
      <c r="C35" s="45"/>
      <c r="D35" s="45"/>
      <c r="E35" s="45"/>
      <c r="F35" s="15">
        <v>1</v>
      </c>
      <c r="G35" s="15">
        <v>1</v>
      </c>
      <c r="H35" s="15">
        <v>1</v>
      </c>
      <c r="I35" s="45">
        <f>SUM(F35:G35)-COUNT(F35:G35)+1</f>
        <v>1</v>
      </c>
      <c r="J35" s="47"/>
      <c r="K35" s="45">
        <f>$H$32</f>
        <v>0.89999999999999991</v>
      </c>
      <c r="L35" s="47"/>
      <c r="M35" s="45">
        <f>K35*I35</f>
        <v>0.89999999999999991</v>
      </c>
      <c r="N35" s="47"/>
      <c r="O35" s="45">
        <f>B35*M35</f>
        <v>257142.85714285713</v>
      </c>
      <c r="P35" s="45"/>
      <c r="Q35" s="45"/>
      <c r="R35" s="45"/>
    </row>
    <row r="36" spans="1:18" s="2" customFormat="1" ht="20.100000000000001" customHeight="1" x14ac:dyDescent="0.25">
      <c r="A36" s="14">
        <f>A11</f>
        <v>2</v>
      </c>
      <c r="B36" s="45">
        <f t="shared" si="3"/>
        <v>199521.14924181963</v>
      </c>
      <c r="C36" s="45"/>
      <c r="D36" s="45"/>
      <c r="E36" s="45"/>
      <c r="F36" s="15">
        <v>1</v>
      </c>
      <c r="G36" s="15">
        <v>0.95</v>
      </c>
      <c r="H36" s="15">
        <v>1</v>
      </c>
      <c r="I36" s="45">
        <f t="shared" ref="I36:I39" si="4">SUM(F36:G36)-COUNT(F36:G36)+1</f>
        <v>0.95</v>
      </c>
      <c r="J36" s="47"/>
      <c r="K36" s="45">
        <f t="shared" ref="K36:K39" si="5">$H$32</f>
        <v>0.89999999999999991</v>
      </c>
      <c r="L36" s="47"/>
      <c r="M36" s="45">
        <f>K36*I36</f>
        <v>0.85499999999999987</v>
      </c>
      <c r="N36" s="47"/>
      <c r="O36" s="45">
        <f t="shared" ref="O36:O39" si="6">B36*M36</f>
        <v>170590.58260175577</v>
      </c>
      <c r="P36" s="45"/>
      <c r="Q36" s="45"/>
      <c r="R36" s="45"/>
    </row>
    <row r="37" spans="1:18" s="2" customFormat="1" ht="20.100000000000001" customHeight="1" x14ac:dyDescent="0.25">
      <c r="A37" s="14">
        <f>A12</f>
        <v>3</v>
      </c>
      <c r="B37" s="45">
        <f t="shared" si="3"/>
        <v>98666.666666666672</v>
      </c>
      <c r="C37" s="45"/>
      <c r="D37" s="45"/>
      <c r="E37" s="45"/>
      <c r="F37" s="15">
        <v>0.75</v>
      </c>
      <c r="G37" s="15">
        <v>0.9</v>
      </c>
      <c r="H37" s="15">
        <v>1</v>
      </c>
      <c r="I37" s="45">
        <f t="shared" si="4"/>
        <v>0.64999999999999991</v>
      </c>
      <c r="J37" s="47"/>
      <c r="K37" s="45">
        <f t="shared" si="5"/>
        <v>0.89999999999999991</v>
      </c>
      <c r="L37" s="47"/>
      <c r="M37" s="45">
        <f>K37*I37</f>
        <v>0.58499999999999985</v>
      </c>
      <c r="N37" s="47"/>
      <c r="O37" s="45">
        <f t="shared" si="6"/>
        <v>57719.999999999985</v>
      </c>
      <c r="P37" s="45"/>
      <c r="Q37" s="45"/>
      <c r="R37" s="45"/>
    </row>
    <row r="38" spans="1:18" s="2" customFormat="1" ht="20.100000000000001" customHeight="1" x14ac:dyDescent="0.25">
      <c r="A38" s="14">
        <f>A13</f>
        <v>4</v>
      </c>
      <c r="B38" s="45">
        <f t="shared" si="3"/>
        <v>170940.17094017094</v>
      </c>
      <c r="C38" s="45"/>
      <c r="D38" s="45"/>
      <c r="E38" s="45"/>
      <c r="F38" s="15">
        <v>1</v>
      </c>
      <c r="G38" s="15">
        <v>0.95</v>
      </c>
      <c r="H38" s="15">
        <v>1</v>
      </c>
      <c r="I38" s="45">
        <f t="shared" si="4"/>
        <v>0.95</v>
      </c>
      <c r="J38" s="47"/>
      <c r="K38" s="45">
        <f t="shared" si="5"/>
        <v>0.89999999999999991</v>
      </c>
      <c r="L38" s="47"/>
      <c r="M38" s="45">
        <f>K38*I38</f>
        <v>0.85499999999999987</v>
      </c>
      <c r="N38" s="47"/>
      <c r="O38" s="45">
        <f t="shared" si="6"/>
        <v>146153.84615384613</v>
      </c>
      <c r="P38" s="45"/>
      <c r="Q38" s="45"/>
      <c r="R38" s="45"/>
    </row>
    <row r="39" spans="1:18" s="2" customFormat="1" ht="20.100000000000001" customHeight="1" x14ac:dyDescent="0.25">
      <c r="A39" s="14">
        <f>A14</f>
        <v>5</v>
      </c>
      <c r="B39" s="45">
        <f t="shared" si="3"/>
        <v>187018.70187018701</v>
      </c>
      <c r="C39" s="45"/>
      <c r="D39" s="45"/>
      <c r="E39" s="45"/>
      <c r="F39" s="15">
        <v>1</v>
      </c>
      <c r="G39" s="15">
        <v>0.9</v>
      </c>
      <c r="H39" s="15">
        <v>1</v>
      </c>
      <c r="I39" s="45">
        <f t="shared" si="4"/>
        <v>0.89999999999999991</v>
      </c>
      <c r="J39" s="47"/>
      <c r="K39" s="45">
        <f t="shared" si="5"/>
        <v>0.89999999999999991</v>
      </c>
      <c r="L39" s="47"/>
      <c r="M39" s="45">
        <f>K39*I39</f>
        <v>0.80999999999999983</v>
      </c>
      <c r="N39" s="47"/>
      <c r="O39" s="45">
        <f t="shared" si="6"/>
        <v>151485.14851485143</v>
      </c>
      <c r="P39" s="45"/>
      <c r="Q39" s="45"/>
      <c r="R39" s="45"/>
    </row>
    <row r="40" spans="1:18" s="2" customFormat="1" ht="20.100000000000001" customHeight="1" x14ac:dyDescent="0.25">
      <c r="A40" s="9"/>
      <c r="B40" s="9"/>
      <c r="C40" s="9"/>
      <c r="D40" s="9"/>
      <c r="E40" s="9"/>
      <c r="F40" s="9"/>
      <c r="G40" s="9"/>
      <c r="H40" s="9"/>
      <c r="I40" s="9"/>
      <c r="J40" s="9"/>
      <c r="K40" s="9"/>
      <c r="L40" s="9"/>
      <c r="M40" s="9"/>
      <c r="N40" s="9"/>
      <c r="O40" s="9"/>
      <c r="P40" s="9"/>
      <c r="Q40" s="9"/>
      <c r="R40" s="9"/>
    </row>
    <row r="41" spans="1:18" s="2" customFormat="1" ht="20.100000000000001" customHeight="1" x14ac:dyDescent="0.25">
      <c r="A41" s="9"/>
      <c r="B41" s="9"/>
      <c r="C41" s="9"/>
      <c r="D41" s="9"/>
      <c r="E41" s="16"/>
      <c r="F41" s="16"/>
      <c r="G41" s="16"/>
      <c r="H41" s="16"/>
      <c r="I41" s="16"/>
      <c r="J41" s="9"/>
      <c r="K41" s="9"/>
      <c r="L41" s="47" t="s">
        <v>10</v>
      </c>
      <c r="M41" s="47"/>
      <c r="N41" s="47"/>
      <c r="O41" s="47"/>
      <c r="P41" s="51">
        <f>AVERAGE(O35:O39)</f>
        <v>156618.48688266211</v>
      </c>
      <c r="Q41" s="51"/>
      <c r="R41" s="51"/>
    </row>
    <row r="42" spans="1:18" s="2" customFormat="1" ht="20.100000000000001" customHeight="1" x14ac:dyDescent="0.25">
      <c r="A42" s="9"/>
      <c r="B42" s="9"/>
      <c r="C42" s="9"/>
      <c r="D42" s="9"/>
      <c r="E42" s="17"/>
      <c r="F42" s="9"/>
      <c r="G42" s="9"/>
      <c r="H42" s="9"/>
      <c r="I42" s="9"/>
      <c r="J42" s="9"/>
      <c r="K42" s="9"/>
      <c r="L42" s="53" t="s">
        <v>11</v>
      </c>
      <c r="M42" s="53"/>
      <c r="N42" s="53"/>
      <c r="O42" s="53"/>
      <c r="P42" s="51">
        <f>STDEVA(O35:O38)</f>
        <v>82024.793198064959</v>
      </c>
      <c r="Q42" s="51"/>
      <c r="R42" s="51"/>
    </row>
    <row r="43" spans="1:18" s="2" customFormat="1" ht="20.100000000000001" customHeight="1" x14ac:dyDescent="0.25">
      <c r="A43" s="9"/>
      <c r="B43" s="9"/>
      <c r="C43" s="9"/>
      <c r="D43" s="9"/>
      <c r="E43" s="9"/>
      <c r="F43" s="9"/>
      <c r="G43" s="9"/>
      <c r="H43" s="18"/>
      <c r="I43" s="9"/>
      <c r="J43" s="9"/>
      <c r="K43" s="9"/>
      <c r="L43" s="54" t="s">
        <v>9</v>
      </c>
      <c r="M43" s="54"/>
      <c r="N43" s="54"/>
      <c r="O43" s="54"/>
      <c r="P43" s="77">
        <f>P42/P41</f>
        <v>0.52372357076542042</v>
      </c>
      <c r="Q43" s="77"/>
      <c r="R43" s="77"/>
    </row>
    <row r="44" spans="1:18" s="2" customFormat="1" ht="20.100000000000001" customHeight="1" x14ac:dyDescent="0.25">
      <c r="A44" s="9"/>
      <c r="B44" s="9"/>
      <c r="C44" s="9"/>
      <c r="D44" s="9"/>
      <c r="E44" s="9"/>
      <c r="F44" s="9"/>
      <c r="G44" s="9"/>
      <c r="H44" s="9"/>
      <c r="I44" s="19"/>
      <c r="J44" s="9"/>
      <c r="K44" s="9"/>
      <c r="L44" s="9"/>
      <c r="M44" s="9"/>
      <c r="N44" s="9"/>
      <c r="O44" s="9"/>
      <c r="P44" s="9"/>
      <c r="Q44" s="9"/>
      <c r="R44" s="9"/>
    </row>
    <row r="45" spans="1:18" s="2" customFormat="1" ht="20.100000000000001" customHeight="1" x14ac:dyDescent="0.25">
      <c r="A45" s="9"/>
      <c r="B45" s="9"/>
      <c r="C45" s="9"/>
      <c r="D45" s="9"/>
      <c r="E45" s="9"/>
      <c r="F45" s="9"/>
      <c r="G45" s="9"/>
      <c r="H45" s="9"/>
      <c r="I45" s="19"/>
      <c r="J45" s="9"/>
      <c r="K45" s="9"/>
      <c r="L45" s="9"/>
      <c r="M45" s="9"/>
      <c r="N45" s="9"/>
      <c r="O45" s="9"/>
      <c r="P45" s="9"/>
      <c r="Q45" s="9"/>
      <c r="R45" s="9"/>
    </row>
    <row r="46" spans="1:18" s="2" customFormat="1" ht="20.100000000000001" customHeight="1" x14ac:dyDescent="0.25">
      <c r="A46" s="66" t="s">
        <v>64</v>
      </c>
      <c r="B46" s="66"/>
      <c r="C46" s="66"/>
      <c r="D46" s="66"/>
      <c r="E46" s="66"/>
      <c r="F46" s="66"/>
      <c r="G46" s="66"/>
      <c r="H46" s="66"/>
      <c r="I46" s="66"/>
      <c r="J46" s="66"/>
      <c r="K46" s="66"/>
      <c r="L46" s="66"/>
      <c r="M46" s="66"/>
      <c r="N46" s="66"/>
      <c r="O46" s="66"/>
      <c r="P46" s="66"/>
      <c r="Q46" s="66"/>
      <c r="R46" s="66"/>
    </row>
    <row r="47" spans="1:18" s="2" customFormat="1" ht="20.100000000000001" customHeight="1" x14ac:dyDescent="0.25">
      <c r="A47" s="66"/>
      <c r="B47" s="66"/>
      <c r="C47" s="66"/>
      <c r="D47" s="66"/>
      <c r="E47" s="66"/>
      <c r="F47" s="66"/>
      <c r="G47" s="66"/>
      <c r="H47" s="66"/>
      <c r="I47" s="66"/>
      <c r="J47" s="66"/>
      <c r="K47" s="66"/>
      <c r="L47" s="66"/>
      <c r="M47" s="66"/>
      <c r="N47" s="66"/>
      <c r="O47" s="66"/>
      <c r="P47" s="66"/>
      <c r="Q47" s="66"/>
      <c r="R47" s="66"/>
    </row>
    <row r="48" spans="1:18" s="2" customFormat="1" ht="20.100000000000001" customHeight="1" x14ac:dyDescent="0.25">
      <c r="A48" s="9"/>
      <c r="B48" s="9"/>
      <c r="C48" s="9"/>
      <c r="D48" s="9"/>
      <c r="E48" s="9"/>
      <c r="F48" s="9"/>
      <c r="G48" s="9"/>
      <c r="H48" s="9"/>
      <c r="I48" s="19"/>
      <c r="J48" s="9"/>
      <c r="K48" s="9"/>
      <c r="L48" s="9"/>
      <c r="M48" s="9"/>
      <c r="N48" s="9"/>
      <c r="O48" s="9"/>
      <c r="P48" s="9"/>
      <c r="Q48" s="9"/>
      <c r="R48" s="9"/>
    </row>
    <row r="49" spans="1:19" s="2" customFormat="1" ht="20.100000000000001" customHeight="1" x14ac:dyDescent="0.25">
      <c r="A49" s="44" t="s">
        <v>63</v>
      </c>
      <c r="B49" s="44" t="s">
        <v>65</v>
      </c>
      <c r="C49" s="44"/>
      <c r="D49" s="44"/>
      <c r="E49" s="9"/>
      <c r="F49" s="44" t="s">
        <v>7</v>
      </c>
      <c r="G49" s="44"/>
      <c r="H49" s="44"/>
      <c r="I49" s="19"/>
      <c r="J49" s="9"/>
      <c r="K49" s="9"/>
      <c r="L49" s="9"/>
      <c r="M49" s="44" t="s">
        <v>66</v>
      </c>
      <c r="N49" s="44"/>
      <c r="O49" s="44"/>
      <c r="P49" s="9"/>
      <c r="Q49" s="9"/>
      <c r="R49" s="9"/>
      <c r="S49" s="1"/>
    </row>
    <row r="50" spans="1:19" s="2" customFormat="1" ht="20.100000000000001" customHeight="1" x14ac:dyDescent="0.25">
      <c r="A50" s="44"/>
      <c r="B50" s="31" t="s">
        <v>72</v>
      </c>
      <c r="C50" s="31" t="s">
        <v>73</v>
      </c>
      <c r="D50" s="31" t="s">
        <v>74</v>
      </c>
      <c r="E50" s="9"/>
      <c r="F50" s="31" t="s">
        <v>72</v>
      </c>
      <c r="G50" s="31" t="s">
        <v>73</v>
      </c>
      <c r="H50" s="31" t="s">
        <v>74</v>
      </c>
      <c r="I50" s="19"/>
      <c r="J50" s="9"/>
      <c r="K50" s="9"/>
      <c r="L50" s="9"/>
      <c r="M50" s="31" t="s">
        <v>72</v>
      </c>
      <c r="N50" s="31" t="s">
        <v>73</v>
      </c>
      <c r="O50" s="31" t="s">
        <v>74</v>
      </c>
      <c r="P50" s="9"/>
      <c r="Q50" s="9"/>
      <c r="R50" s="9"/>
      <c r="S50" s="1"/>
    </row>
    <row r="51" spans="1:19" ht="20.100000000000001" customHeight="1" x14ac:dyDescent="0.25">
      <c r="A51" s="14">
        <f>A10</f>
        <v>1</v>
      </c>
      <c r="B51" s="15">
        <f t="shared" ref="B51:D55" si="7">F35</f>
        <v>1</v>
      </c>
      <c r="C51" s="15">
        <f t="shared" si="7"/>
        <v>1</v>
      </c>
      <c r="D51" s="15">
        <f t="shared" si="7"/>
        <v>1</v>
      </c>
      <c r="F51" s="15">
        <f>E32</f>
        <v>0.95</v>
      </c>
      <c r="G51" s="15">
        <f>F32</f>
        <v>0.95</v>
      </c>
      <c r="H51" s="15">
        <f>G32</f>
        <v>1</v>
      </c>
      <c r="I51" s="19"/>
      <c r="M51" s="20" t="str">
        <f>IF(AND(($F$51/B51)&gt;=0.5,($F$51/B51)&lt;=2),"Aceito","Rejeitado")</f>
        <v>Aceito</v>
      </c>
      <c r="N51" s="20" t="str">
        <f>IF(AND(($G$51/C51)&gt;=0.5,($G$51/C51)&lt;=2),"Aceito","Rejeitado")</f>
        <v>Aceito</v>
      </c>
      <c r="O51" s="20" t="str">
        <f>IF(AND(($H$51/D51)&gt;=0.5,($H$51/D51)&lt;=2),"Aceito","Rejeitado")</f>
        <v>Aceito</v>
      </c>
      <c r="S51" s="1">
        <v>1</v>
      </c>
    </row>
    <row r="52" spans="1:19" ht="20.100000000000001" customHeight="1" x14ac:dyDescent="0.25">
      <c r="A52" s="21">
        <f>A11</f>
        <v>2</v>
      </c>
      <c r="B52" s="22">
        <f t="shared" si="7"/>
        <v>1</v>
      </c>
      <c r="C52" s="22">
        <f t="shared" si="7"/>
        <v>0.95</v>
      </c>
      <c r="D52" s="22">
        <f t="shared" si="7"/>
        <v>1</v>
      </c>
      <c r="I52" s="19"/>
      <c r="M52" s="23" t="str">
        <f t="shared" ref="M52:N55" si="8">IF(AND((F$51/B52)&gt;=0.5,(F$51/B52)&lt;=2),"Aceito","Rejeitado")</f>
        <v>Aceito</v>
      </c>
      <c r="N52" s="23" t="str">
        <f t="shared" si="8"/>
        <v>Aceito</v>
      </c>
      <c r="O52" s="23" t="str">
        <f t="shared" ref="O52:O55" si="9">IF(AND(($H$51/D52)&gt;=0.5,($H$51/D52)&lt;=2),"Aceito","Rejeitado")</f>
        <v>Aceito</v>
      </c>
      <c r="S52" s="1">
        <v>1</v>
      </c>
    </row>
    <row r="53" spans="1:19" ht="20.100000000000001" customHeight="1" x14ac:dyDescent="0.25">
      <c r="A53" s="21">
        <f>A12</f>
        <v>3</v>
      </c>
      <c r="B53" s="22">
        <f t="shared" si="7"/>
        <v>0.75</v>
      </c>
      <c r="C53" s="22">
        <f t="shared" si="7"/>
        <v>0.9</v>
      </c>
      <c r="D53" s="22">
        <f t="shared" si="7"/>
        <v>1</v>
      </c>
      <c r="I53" s="19"/>
      <c r="M53" s="23" t="str">
        <f t="shared" si="8"/>
        <v>Aceito</v>
      </c>
      <c r="N53" s="23" t="str">
        <f t="shared" si="8"/>
        <v>Aceito</v>
      </c>
      <c r="O53" s="23" t="str">
        <f t="shared" si="9"/>
        <v>Aceito</v>
      </c>
      <c r="S53" s="1">
        <v>1</v>
      </c>
    </row>
    <row r="54" spans="1:19" ht="20.100000000000001" customHeight="1" x14ac:dyDescent="0.25">
      <c r="A54" s="21">
        <f>A13</f>
        <v>4</v>
      </c>
      <c r="B54" s="22">
        <f t="shared" si="7"/>
        <v>1</v>
      </c>
      <c r="C54" s="22">
        <f t="shared" si="7"/>
        <v>0.95</v>
      </c>
      <c r="D54" s="22">
        <f t="shared" si="7"/>
        <v>1</v>
      </c>
      <c r="I54" s="19"/>
      <c r="M54" s="23" t="str">
        <f t="shared" si="8"/>
        <v>Aceito</v>
      </c>
      <c r="N54" s="23" t="str">
        <f t="shared" si="8"/>
        <v>Aceito</v>
      </c>
      <c r="O54" s="23" t="str">
        <f t="shared" si="9"/>
        <v>Aceito</v>
      </c>
      <c r="S54" s="1">
        <v>1</v>
      </c>
    </row>
    <row r="55" spans="1:19" ht="20.100000000000001" customHeight="1" x14ac:dyDescent="0.25">
      <c r="A55" s="21">
        <f>A14</f>
        <v>5</v>
      </c>
      <c r="B55" s="22">
        <f t="shared" si="7"/>
        <v>1</v>
      </c>
      <c r="C55" s="22">
        <f t="shared" si="7"/>
        <v>0.9</v>
      </c>
      <c r="D55" s="22">
        <f t="shared" si="7"/>
        <v>1</v>
      </c>
      <c r="I55" s="19"/>
      <c r="M55" s="23" t="str">
        <f t="shared" si="8"/>
        <v>Aceito</v>
      </c>
      <c r="N55" s="23" t="str">
        <f t="shared" si="8"/>
        <v>Aceito</v>
      </c>
      <c r="O55" s="23" t="str">
        <f t="shared" si="9"/>
        <v>Aceito</v>
      </c>
      <c r="S55" s="1">
        <v>1</v>
      </c>
    </row>
    <row r="56" spans="1:19" ht="20.100000000000001" customHeight="1" x14ac:dyDescent="0.25">
      <c r="I56" s="19"/>
    </row>
    <row r="57" spans="1:19" ht="20.100000000000001" customHeight="1" x14ac:dyDescent="0.25">
      <c r="I57" s="19"/>
    </row>
    <row r="58" spans="1:19" ht="20.100000000000001" customHeight="1" x14ac:dyDescent="0.25">
      <c r="A58" s="53" t="s">
        <v>76</v>
      </c>
      <c r="B58" s="53"/>
      <c r="C58" s="53"/>
      <c r="D58" s="53"/>
      <c r="E58" s="53"/>
      <c r="F58" s="53"/>
      <c r="G58" s="53"/>
      <c r="H58" s="53"/>
      <c r="I58" s="53"/>
      <c r="J58" s="53"/>
      <c r="K58" s="53"/>
      <c r="L58" s="53"/>
      <c r="M58" s="53"/>
      <c r="N58" s="53"/>
      <c r="O58" s="53"/>
      <c r="P58" s="53"/>
      <c r="Q58" s="53"/>
      <c r="R58" s="53"/>
    </row>
    <row r="59" spans="1:19" ht="20.100000000000001" customHeight="1" x14ac:dyDescent="0.25">
      <c r="I59" s="19"/>
    </row>
    <row r="60" spans="1:19" s="29" customFormat="1" ht="20.100000000000001" customHeight="1" x14ac:dyDescent="0.25">
      <c r="A60" s="9"/>
      <c r="B60" s="9"/>
      <c r="C60" s="9"/>
      <c r="D60" s="9"/>
      <c r="E60" s="9"/>
      <c r="F60" s="9"/>
      <c r="G60" s="9"/>
      <c r="H60" s="9"/>
      <c r="I60" s="19"/>
      <c r="J60" s="9"/>
      <c r="K60" s="9"/>
      <c r="L60" s="9"/>
      <c r="M60" s="9"/>
      <c r="N60" s="9"/>
      <c r="O60" s="9"/>
      <c r="P60" s="9"/>
      <c r="Q60" s="9"/>
      <c r="R60" s="9"/>
      <c r="S60" s="1"/>
    </row>
    <row r="61" spans="1:19" s="29" customFormat="1" ht="20.100000000000001" customHeight="1" x14ac:dyDescent="0.25">
      <c r="A61" s="9"/>
      <c r="B61" s="9"/>
      <c r="C61" s="9"/>
      <c r="D61" s="9"/>
      <c r="E61" s="9"/>
      <c r="F61" s="9"/>
      <c r="G61" s="9"/>
      <c r="H61" s="9"/>
      <c r="I61" s="19"/>
      <c r="J61" s="9"/>
      <c r="K61" s="9"/>
      <c r="L61" s="9"/>
      <c r="M61" s="9"/>
      <c r="N61" s="9"/>
      <c r="O61" s="9"/>
      <c r="P61" s="9"/>
      <c r="Q61" s="9"/>
      <c r="R61" s="9"/>
      <c r="S61" s="1"/>
    </row>
    <row r="62" spans="1:19" s="29" customFormat="1" ht="20.100000000000001" customHeight="1" x14ac:dyDescent="0.25">
      <c r="A62" s="9"/>
      <c r="B62" s="9"/>
      <c r="C62" s="9"/>
      <c r="D62" s="9"/>
      <c r="E62" s="9"/>
      <c r="F62" s="9"/>
      <c r="G62" s="9"/>
      <c r="H62" s="9"/>
      <c r="I62" s="19"/>
      <c r="J62" s="9"/>
      <c r="K62" s="9"/>
      <c r="L62" s="9"/>
      <c r="M62" s="9"/>
      <c r="N62" s="9"/>
      <c r="O62" s="9"/>
      <c r="P62" s="9"/>
      <c r="Q62" s="9"/>
      <c r="R62" s="9"/>
      <c r="S62" s="1"/>
    </row>
    <row r="63" spans="1:19" s="29" customFormat="1" ht="20.100000000000001" customHeight="1" x14ac:dyDescent="0.25">
      <c r="A63" s="9"/>
      <c r="B63" s="9"/>
      <c r="C63" s="9"/>
      <c r="D63" s="9"/>
      <c r="E63" s="9"/>
      <c r="F63" s="9"/>
      <c r="G63" s="9"/>
      <c r="H63" s="9"/>
      <c r="I63" s="19"/>
      <c r="J63" s="9"/>
      <c r="K63" s="9"/>
      <c r="L63" s="9"/>
      <c r="M63" s="9"/>
      <c r="N63" s="9"/>
      <c r="O63" s="9"/>
      <c r="P63" s="9"/>
      <c r="Q63" s="9"/>
      <c r="R63" s="9"/>
      <c r="S63" s="1"/>
    </row>
    <row r="64" spans="1:19" s="29" customFormat="1" ht="20.100000000000001" customHeight="1" x14ac:dyDescent="0.25">
      <c r="A64" s="9"/>
      <c r="B64" s="9"/>
      <c r="C64" s="9"/>
      <c r="D64" s="9"/>
      <c r="E64" s="9"/>
      <c r="F64" s="9"/>
      <c r="G64" s="9"/>
      <c r="H64" s="9"/>
      <c r="I64" s="19"/>
      <c r="J64" s="9"/>
      <c r="K64" s="9"/>
      <c r="L64" s="9"/>
      <c r="M64" s="9"/>
      <c r="N64" s="9"/>
      <c r="O64" s="9"/>
      <c r="P64" s="9"/>
      <c r="Q64" s="9"/>
      <c r="R64" s="9"/>
      <c r="S64" s="1"/>
    </row>
    <row r="65" spans="1:18" s="29" customFormat="1" ht="20.100000000000001" customHeight="1" x14ac:dyDescent="0.25">
      <c r="A65" s="9"/>
      <c r="B65" s="9"/>
      <c r="C65" s="9"/>
      <c r="D65" s="9"/>
      <c r="E65" s="9"/>
      <c r="F65" s="9"/>
      <c r="G65" s="9"/>
      <c r="H65" s="9"/>
      <c r="I65" s="19"/>
      <c r="J65" s="9"/>
      <c r="K65" s="9"/>
      <c r="L65" s="9"/>
      <c r="M65" s="9"/>
      <c r="N65" s="9"/>
      <c r="O65" s="9"/>
      <c r="P65" s="9"/>
      <c r="Q65" s="9"/>
      <c r="R65" s="9"/>
    </row>
    <row r="66" spans="1:18" s="29" customFormat="1" ht="20.100000000000001" customHeight="1" x14ac:dyDescent="0.25">
      <c r="A66" s="9"/>
      <c r="B66" s="9"/>
      <c r="C66" s="9"/>
      <c r="D66" s="9"/>
      <c r="E66" s="9"/>
      <c r="F66" s="9"/>
      <c r="G66" s="9"/>
      <c r="H66" s="9"/>
      <c r="I66" s="19"/>
      <c r="J66" s="9"/>
      <c r="K66" s="9"/>
      <c r="L66" s="9"/>
      <c r="M66" s="9"/>
      <c r="N66" s="9"/>
      <c r="O66" s="9"/>
      <c r="P66" s="9"/>
      <c r="Q66" s="9"/>
      <c r="R66" s="9"/>
    </row>
    <row r="67" spans="1:18" s="29" customFormat="1" ht="20.100000000000001" customHeight="1" x14ac:dyDescent="0.25">
      <c r="A67" s="9"/>
      <c r="B67" s="9"/>
      <c r="C67" s="9"/>
      <c r="D67" s="9"/>
      <c r="E67" s="9"/>
      <c r="F67" s="9"/>
      <c r="G67" s="9"/>
      <c r="H67" s="9"/>
      <c r="I67" s="19"/>
      <c r="J67" s="9"/>
      <c r="K67" s="9"/>
      <c r="L67" s="9"/>
      <c r="M67" s="9"/>
      <c r="N67" s="9"/>
      <c r="O67" s="9"/>
      <c r="P67" s="9"/>
      <c r="Q67" s="9"/>
      <c r="R67" s="9"/>
    </row>
    <row r="68" spans="1:18" s="29" customFormat="1" ht="20.100000000000001" customHeight="1" x14ac:dyDescent="0.25">
      <c r="A68" s="9"/>
      <c r="B68" s="9"/>
      <c r="C68" s="9"/>
      <c r="D68" s="9"/>
      <c r="E68" s="9"/>
      <c r="F68" s="9"/>
      <c r="G68" s="9"/>
      <c r="H68" s="9"/>
      <c r="I68" s="19"/>
      <c r="J68" s="9"/>
      <c r="K68" s="9"/>
      <c r="L68" s="9"/>
      <c r="M68" s="9"/>
      <c r="N68" s="9"/>
      <c r="O68" s="9"/>
      <c r="P68" s="9"/>
      <c r="Q68" s="9"/>
      <c r="R68" s="9"/>
    </row>
    <row r="69" spans="1:18" s="29" customFormat="1" ht="20.100000000000001" customHeight="1" x14ac:dyDescent="0.25">
      <c r="A69" s="9"/>
      <c r="B69" s="9"/>
      <c r="C69" s="9"/>
      <c r="D69" s="9"/>
      <c r="E69" s="9"/>
      <c r="F69" s="9"/>
      <c r="G69" s="9"/>
      <c r="H69" s="9"/>
      <c r="I69" s="19"/>
      <c r="J69" s="9"/>
      <c r="K69" s="9"/>
      <c r="L69" s="9"/>
      <c r="M69" s="9"/>
      <c r="N69" s="9"/>
      <c r="O69" s="9"/>
      <c r="P69" s="9"/>
      <c r="Q69" s="9"/>
      <c r="R69" s="9"/>
    </row>
    <row r="70" spans="1:18" s="29" customFormat="1" ht="20.100000000000001" customHeight="1" x14ac:dyDescent="0.25">
      <c r="A70" s="9"/>
      <c r="B70" s="9"/>
      <c r="C70" s="9"/>
      <c r="D70" s="9"/>
      <c r="E70" s="9"/>
      <c r="F70" s="9"/>
      <c r="G70" s="9"/>
      <c r="H70" s="9"/>
      <c r="I70" s="19"/>
      <c r="J70" s="9"/>
      <c r="K70" s="9"/>
      <c r="L70" s="9"/>
      <c r="M70" s="9"/>
      <c r="N70" s="9"/>
      <c r="O70" s="9"/>
      <c r="P70" s="9"/>
      <c r="Q70" s="9"/>
      <c r="R70" s="9"/>
    </row>
    <row r="71" spans="1:18" s="29" customFormat="1" ht="20.100000000000001" customHeight="1" x14ac:dyDescent="0.25">
      <c r="A71" s="9"/>
      <c r="B71" s="9"/>
      <c r="C71" s="9"/>
      <c r="D71" s="9"/>
      <c r="E71" s="9"/>
      <c r="F71" s="9"/>
      <c r="G71" s="9"/>
      <c r="H71" s="9"/>
      <c r="I71" s="19"/>
      <c r="J71" s="9"/>
      <c r="K71" s="9"/>
      <c r="L71" s="9"/>
      <c r="M71" s="9"/>
      <c r="N71" s="9"/>
      <c r="O71" s="9"/>
      <c r="P71" s="9"/>
      <c r="Q71" s="9"/>
      <c r="R71" s="9"/>
    </row>
    <row r="72" spans="1:18" s="29" customFormat="1" ht="20.100000000000001" customHeight="1" x14ac:dyDescent="0.25">
      <c r="A72" s="9"/>
      <c r="B72" s="9"/>
      <c r="C72" s="9"/>
      <c r="D72" s="9"/>
      <c r="E72" s="9"/>
      <c r="F72" s="9"/>
      <c r="G72" s="9"/>
      <c r="H72" s="9"/>
      <c r="I72" s="19"/>
      <c r="J72" s="9"/>
      <c r="K72" s="9"/>
      <c r="L72" s="9"/>
      <c r="M72" s="9"/>
      <c r="N72" s="9"/>
      <c r="O72" s="9"/>
      <c r="P72" s="9"/>
      <c r="Q72" s="9"/>
      <c r="R72" s="9"/>
    </row>
    <row r="73" spans="1:18" s="29" customFormat="1" ht="20.100000000000001" customHeight="1" x14ac:dyDescent="0.25">
      <c r="A73" s="9"/>
      <c r="B73" s="9"/>
      <c r="C73" s="9"/>
      <c r="D73" s="9"/>
      <c r="E73" s="9"/>
      <c r="F73" s="9"/>
      <c r="G73" s="9"/>
      <c r="H73" s="9"/>
      <c r="I73" s="19"/>
      <c r="J73" s="9"/>
      <c r="K73" s="9"/>
      <c r="L73" s="9"/>
      <c r="M73" s="9"/>
      <c r="N73" s="9"/>
      <c r="O73" s="9"/>
      <c r="P73" s="9"/>
      <c r="Q73" s="9"/>
      <c r="R73" s="9"/>
    </row>
    <row r="75" spans="1:18" s="29" customFormat="1" ht="20.100000000000001" customHeight="1" x14ac:dyDescent="0.25">
      <c r="A75" s="9"/>
      <c r="B75" s="9"/>
      <c r="C75" s="9"/>
      <c r="D75" s="9"/>
      <c r="E75" s="9"/>
      <c r="F75" s="9"/>
      <c r="G75" s="9"/>
      <c r="H75" s="9"/>
      <c r="I75" s="19"/>
      <c r="J75" s="9"/>
      <c r="K75" s="9"/>
      <c r="L75" s="9"/>
      <c r="M75" s="9"/>
      <c r="N75" s="9"/>
      <c r="O75" s="9"/>
      <c r="P75" s="9"/>
      <c r="Q75" s="9"/>
      <c r="R75" s="9"/>
    </row>
    <row r="76" spans="1:18" ht="20.100000000000001" customHeight="1" x14ac:dyDescent="0.25">
      <c r="A76" s="53" t="s">
        <v>77</v>
      </c>
      <c r="B76" s="53"/>
      <c r="C76" s="53"/>
      <c r="D76" s="53"/>
      <c r="E76" s="53"/>
      <c r="F76" s="53"/>
      <c r="G76" s="53"/>
      <c r="H76" s="53"/>
      <c r="I76" s="53"/>
      <c r="J76" s="53"/>
      <c r="K76" s="53"/>
      <c r="L76" s="53"/>
      <c r="M76" s="53"/>
      <c r="N76" s="53"/>
      <c r="O76" s="53"/>
      <c r="P76" s="53"/>
      <c r="Q76" s="53"/>
      <c r="R76" s="53"/>
    </row>
    <row r="77" spans="1:18" ht="20.100000000000001" customHeight="1" x14ac:dyDescent="0.25">
      <c r="I77" s="19"/>
    </row>
    <row r="78" spans="1:18" ht="20.100000000000001" customHeight="1" x14ac:dyDescent="0.25">
      <c r="I78" s="19"/>
    </row>
    <row r="79" spans="1:18" ht="20.100000000000001" customHeight="1" x14ac:dyDescent="0.25">
      <c r="I79" s="19"/>
    </row>
    <row r="80" spans="1:18" ht="20.100000000000001" customHeight="1" x14ac:dyDescent="0.25">
      <c r="I80" s="19"/>
    </row>
    <row r="81" spans="1:18" ht="20.100000000000001" customHeight="1" x14ac:dyDescent="0.25">
      <c r="I81" s="19"/>
    </row>
    <row r="82" spans="1:18" ht="20.100000000000001" customHeight="1" x14ac:dyDescent="0.25">
      <c r="I82" s="19"/>
    </row>
    <row r="83" spans="1:18" ht="20.100000000000001" customHeight="1" x14ac:dyDescent="0.25">
      <c r="I83" s="19"/>
    </row>
    <row r="84" spans="1:18" ht="20.100000000000001" customHeight="1" x14ac:dyDescent="0.25">
      <c r="I84" s="19"/>
    </row>
    <row r="85" spans="1:18" ht="20.100000000000001" customHeight="1" x14ac:dyDescent="0.25">
      <c r="I85" s="19"/>
    </row>
    <row r="86" spans="1:18" ht="20.100000000000001" customHeight="1" x14ac:dyDescent="0.25">
      <c r="I86" s="19"/>
    </row>
    <row r="87" spans="1:18" ht="20.100000000000001" customHeight="1" x14ac:dyDescent="0.25">
      <c r="I87" s="19"/>
    </row>
    <row r="88" spans="1:18" ht="20.100000000000001" customHeight="1" x14ac:dyDescent="0.25">
      <c r="I88" s="19"/>
    </row>
    <row r="89" spans="1:18" ht="20.100000000000001" customHeight="1" x14ac:dyDescent="0.25">
      <c r="I89" s="19"/>
    </row>
    <row r="90" spans="1:18" ht="20.100000000000001" customHeight="1" x14ac:dyDescent="0.25">
      <c r="I90" s="19"/>
    </row>
    <row r="91" spans="1:18" ht="20.100000000000001" customHeight="1" x14ac:dyDescent="0.25">
      <c r="I91" s="19"/>
    </row>
    <row r="92" spans="1:18" ht="20.100000000000001" customHeight="1" x14ac:dyDescent="0.25">
      <c r="I92" s="19"/>
    </row>
    <row r="93" spans="1:18" ht="20.100000000000001" customHeight="1" x14ac:dyDescent="0.25">
      <c r="I93" s="19"/>
    </row>
    <row r="94" spans="1:18" ht="20.100000000000001" customHeight="1" x14ac:dyDescent="0.25">
      <c r="A94" s="53" t="s">
        <v>78</v>
      </c>
      <c r="B94" s="53"/>
      <c r="C94" s="53"/>
      <c r="D94" s="53"/>
      <c r="E94" s="53"/>
      <c r="F94" s="53"/>
      <c r="G94" s="53"/>
      <c r="H94" s="53"/>
      <c r="I94" s="53"/>
      <c r="J94" s="53"/>
      <c r="K94" s="53"/>
      <c r="L94" s="53"/>
      <c r="M94" s="53"/>
      <c r="N94" s="53"/>
      <c r="O94" s="53"/>
      <c r="P94" s="53"/>
      <c r="Q94" s="53"/>
      <c r="R94" s="53"/>
    </row>
    <row r="95" spans="1:18" ht="20.100000000000001" customHeight="1" x14ac:dyDescent="0.25">
      <c r="I95" s="19"/>
    </row>
    <row r="96" spans="1:18" ht="20.100000000000001" customHeight="1" x14ac:dyDescent="0.25">
      <c r="I96" s="19"/>
    </row>
    <row r="97" spans="1:18" ht="20.100000000000001" customHeight="1" x14ac:dyDescent="0.25">
      <c r="I97" s="19"/>
    </row>
    <row r="98" spans="1:18" ht="20.100000000000001" customHeight="1" x14ac:dyDescent="0.25">
      <c r="I98" s="19"/>
    </row>
    <row r="99" spans="1:18" ht="20.100000000000001" customHeight="1" x14ac:dyDescent="0.25">
      <c r="I99" s="19"/>
    </row>
    <row r="100" spans="1:18" ht="20.100000000000001" customHeight="1" x14ac:dyDescent="0.25">
      <c r="I100" s="19"/>
    </row>
    <row r="101" spans="1:18" ht="20.100000000000001" customHeight="1" x14ac:dyDescent="0.25">
      <c r="I101" s="19"/>
    </row>
    <row r="102" spans="1:18" ht="20.100000000000001" customHeight="1" x14ac:dyDescent="0.25">
      <c r="I102" s="19"/>
    </row>
    <row r="103" spans="1:18" ht="20.100000000000001" customHeight="1" x14ac:dyDescent="0.25">
      <c r="I103" s="19"/>
    </row>
    <row r="104" spans="1:18" ht="20.100000000000001" customHeight="1" x14ac:dyDescent="0.25">
      <c r="I104" s="19"/>
    </row>
    <row r="105" spans="1:18" ht="20.100000000000001" customHeight="1" x14ac:dyDescent="0.25">
      <c r="I105" s="19"/>
    </row>
    <row r="106" spans="1:18" ht="20.100000000000001" customHeight="1" x14ac:dyDescent="0.25">
      <c r="I106" s="19"/>
    </row>
    <row r="107" spans="1:18" ht="20.100000000000001" customHeight="1" x14ac:dyDescent="0.25">
      <c r="I107" s="19"/>
    </row>
    <row r="108" spans="1:18" s="2" customFormat="1" ht="20.100000000000001" customHeight="1" x14ac:dyDescent="0.25">
      <c r="A108" s="9"/>
      <c r="B108" s="9"/>
      <c r="C108" s="9"/>
      <c r="D108" s="9"/>
      <c r="E108" s="9"/>
      <c r="F108" s="9"/>
      <c r="G108" s="9"/>
      <c r="H108" s="9"/>
      <c r="I108" s="19"/>
      <c r="J108" s="9"/>
      <c r="K108" s="9"/>
      <c r="L108" s="9"/>
      <c r="M108" s="9"/>
      <c r="N108" s="9"/>
      <c r="O108" s="9"/>
      <c r="P108" s="9"/>
      <c r="Q108" s="9"/>
      <c r="R108" s="9"/>
    </row>
    <row r="109" spans="1:18" s="2" customFormat="1" ht="20.100000000000001" customHeight="1" x14ac:dyDescent="0.25">
      <c r="A109" s="9"/>
      <c r="B109" s="9"/>
      <c r="C109" s="9"/>
      <c r="D109" s="9"/>
      <c r="E109" s="9"/>
      <c r="F109" s="9"/>
      <c r="G109" s="9"/>
      <c r="H109" s="9"/>
      <c r="I109" s="19"/>
      <c r="J109" s="9"/>
      <c r="K109" s="9"/>
      <c r="L109" s="9"/>
      <c r="M109" s="9"/>
      <c r="N109" s="9"/>
      <c r="O109" s="9"/>
      <c r="P109" s="9"/>
      <c r="Q109" s="9"/>
      <c r="R109" s="9"/>
    </row>
    <row r="110" spans="1:18" s="2" customFormat="1" ht="20.100000000000001" customHeight="1" x14ac:dyDescent="0.25">
      <c r="A110" s="9"/>
      <c r="B110" s="9"/>
      <c r="C110" s="9"/>
      <c r="D110" s="9"/>
      <c r="E110" s="9"/>
      <c r="F110" s="9"/>
      <c r="G110" s="9"/>
      <c r="H110" s="9"/>
      <c r="I110" s="19"/>
      <c r="J110" s="9"/>
      <c r="K110" s="9"/>
      <c r="L110" s="9"/>
      <c r="M110" s="9"/>
      <c r="N110" s="9"/>
      <c r="O110" s="9"/>
      <c r="P110" s="9"/>
      <c r="Q110" s="9"/>
      <c r="R110" s="9"/>
    </row>
    <row r="112" spans="1:18" s="2" customFormat="1" ht="20.100000000000001" customHeight="1" x14ac:dyDescent="0.25">
      <c r="A112" s="9"/>
      <c r="B112" s="9"/>
      <c r="C112" s="9"/>
      <c r="D112" s="9"/>
      <c r="E112" s="9"/>
      <c r="F112" s="9"/>
      <c r="G112" s="9"/>
      <c r="H112" s="9"/>
      <c r="I112" s="9"/>
      <c r="J112" s="9"/>
      <c r="K112" s="9"/>
      <c r="L112" s="9"/>
      <c r="M112" s="9"/>
      <c r="N112" s="9"/>
      <c r="O112" s="9"/>
      <c r="P112" s="24"/>
      <c r="Q112" s="24"/>
      <c r="R112" s="24"/>
    </row>
    <row r="113" spans="1:25" s="2" customFormat="1" ht="20.100000000000001" customHeight="1" x14ac:dyDescent="0.25">
      <c r="A113" s="56" t="s">
        <v>19</v>
      </c>
      <c r="B113" s="56"/>
      <c r="C113" s="56"/>
      <c r="D113" s="56"/>
      <c r="E113" s="56"/>
      <c r="F113" s="56"/>
      <c r="G113" s="56"/>
      <c r="H113" s="56"/>
      <c r="I113" s="56"/>
      <c r="J113" s="56"/>
      <c r="K113" s="56"/>
      <c r="L113" s="56"/>
      <c r="M113" s="56"/>
      <c r="N113" s="56"/>
      <c r="O113" s="56"/>
      <c r="P113" s="56"/>
      <c r="Q113" s="56"/>
      <c r="R113" s="56"/>
      <c r="S113" s="1"/>
      <c r="T113" s="1"/>
      <c r="U113" s="1"/>
      <c r="V113" s="1"/>
      <c r="W113" s="1"/>
      <c r="X113" s="1"/>
      <c r="Y113" s="1"/>
    </row>
    <row r="115" spans="1:25" s="2" customFormat="1" ht="20.100000000000001" customHeight="1" x14ac:dyDescent="0.25">
      <c r="A115" s="31" t="s">
        <v>3</v>
      </c>
      <c r="B115" s="44" t="str">
        <f t="shared" ref="B115:B120" si="10">O34</f>
        <v>Preço  unitário da terra nua homogeneizado</v>
      </c>
      <c r="C115" s="44"/>
      <c r="D115" s="44"/>
      <c r="E115" s="44"/>
      <c r="F115" s="44"/>
      <c r="G115" s="25"/>
      <c r="H115" s="9"/>
      <c r="I115" s="9"/>
      <c r="J115" s="9"/>
      <c r="K115" s="9"/>
      <c r="L115" s="47" t="s">
        <v>48</v>
      </c>
      <c r="M115" s="47"/>
      <c r="N115" s="47"/>
      <c r="O115" s="47"/>
      <c r="P115" s="47"/>
      <c r="Q115" s="50">
        <f>COUNT(B116:B120)</f>
        <v>5</v>
      </c>
      <c r="R115" s="50"/>
      <c r="S115" s="1"/>
      <c r="T115" s="1"/>
      <c r="U115" s="1"/>
      <c r="V115" s="1" t="s">
        <v>12</v>
      </c>
      <c r="W115" s="1" t="s">
        <v>13</v>
      </c>
      <c r="X115" s="1" t="s">
        <v>10</v>
      </c>
      <c r="Y115" s="1" t="e">
        <f>VLOOKUP(P125,B116:G120,6,0)</f>
        <v>#N/A</v>
      </c>
    </row>
    <row r="116" spans="1:25" s="2" customFormat="1" ht="20.100000000000001" customHeight="1" x14ac:dyDescent="0.25">
      <c r="A116" s="26">
        <f>A10</f>
        <v>1</v>
      </c>
      <c r="B116" s="45">
        <f t="shared" si="10"/>
        <v>257142.85714285713</v>
      </c>
      <c r="C116" s="45"/>
      <c r="D116" s="45"/>
      <c r="E116" s="45"/>
      <c r="F116" s="45"/>
      <c r="G116" s="27">
        <f>A116</f>
        <v>1</v>
      </c>
      <c r="H116" s="9"/>
      <c r="I116" s="9"/>
      <c r="J116" s="9"/>
      <c r="K116" s="9"/>
      <c r="L116" s="47" t="s">
        <v>20</v>
      </c>
      <c r="M116" s="47"/>
      <c r="N116" s="47"/>
      <c r="O116" s="47"/>
      <c r="P116" s="47"/>
      <c r="Q116" s="49">
        <f>_xlfn.NORM.S.INV(1-((1/Q115)/4))</f>
        <v>1.6448536269514715</v>
      </c>
      <c r="R116" s="49"/>
      <c r="S116" s="1"/>
      <c r="T116" s="1"/>
      <c r="U116" s="1"/>
      <c r="V116" s="6">
        <f>$P$121</f>
        <v>39680.096885925042</v>
      </c>
      <c r="W116" s="6">
        <f>$P$120</f>
        <v>273556.87687939918</v>
      </c>
      <c r="X116" s="6">
        <f>$P$118</f>
        <v>156618.48688266211</v>
      </c>
      <c r="Y116" s="6"/>
    </row>
    <row r="117" spans="1:25" s="2" customFormat="1" ht="20.100000000000001" customHeight="1" x14ac:dyDescent="0.25">
      <c r="A117" s="28">
        <f>A11</f>
        <v>2</v>
      </c>
      <c r="B117" s="48">
        <f t="shared" si="10"/>
        <v>170590.58260175577</v>
      </c>
      <c r="C117" s="48"/>
      <c r="D117" s="48"/>
      <c r="E117" s="48"/>
      <c r="F117" s="48"/>
      <c r="G117" s="27">
        <f t="shared" ref="G117:G120" si="11">A117</f>
        <v>2</v>
      </c>
      <c r="H117" s="9"/>
      <c r="I117" s="9"/>
      <c r="J117" s="9"/>
      <c r="K117" s="9"/>
      <c r="L117" s="9"/>
      <c r="M117" s="9"/>
      <c r="N117" s="9"/>
      <c r="O117" s="9"/>
      <c r="P117" s="9"/>
      <c r="Q117" s="9"/>
      <c r="R117" s="9"/>
      <c r="V117" s="6">
        <f t="shared" ref="V117:V120" si="12">$P$121</f>
        <v>39680.096885925042</v>
      </c>
      <c r="W117" s="6">
        <f t="shared" ref="W117:W120" si="13">$P$120</f>
        <v>273556.87687939918</v>
      </c>
      <c r="X117" s="6">
        <f t="shared" ref="X117:X120" si="14">$P$118</f>
        <v>156618.48688266211</v>
      </c>
    </row>
    <row r="118" spans="1:25" s="2" customFormat="1" ht="20.100000000000001" customHeight="1" x14ac:dyDescent="0.25">
      <c r="A118" s="28">
        <f>A12</f>
        <v>3</v>
      </c>
      <c r="B118" s="48">
        <f t="shared" si="10"/>
        <v>57719.999999999985</v>
      </c>
      <c r="C118" s="48"/>
      <c r="D118" s="48"/>
      <c r="E118" s="48"/>
      <c r="F118" s="48"/>
      <c r="G118" s="27">
        <f t="shared" si="11"/>
        <v>3</v>
      </c>
      <c r="H118" s="9"/>
      <c r="I118" s="9"/>
      <c r="J118" s="9"/>
      <c r="K118" s="9"/>
      <c r="L118" s="47" t="s">
        <v>10</v>
      </c>
      <c r="M118" s="47"/>
      <c r="N118" s="47"/>
      <c r="O118" s="47"/>
      <c r="P118" s="45">
        <f>AVERAGE(B116:B120)</f>
        <v>156618.48688266211</v>
      </c>
      <c r="Q118" s="45"/>
      <c r="R118" s="45"/>
      <c r="V118" s="6">
        <f t="shared" si="12"/>
        <v>39680.096885925042</v>
      </c>
      <c r="W118" s="6">
        <f t="shared" si="13"/>
        <v>273556.87687939918</v>
      </c>
      <c r="X118" s="6">
        <f t="shared" si="14"/>
        <v>156618.48688266211</v>
      </c>
    </row>
    <row r="119" spans="1:25" s="2" customFormat="1" ht="20.100000000000001" customHeight="1" x14ac:dyDescent="0.25">
      <c r="A119" s="28">
        <f>A13</f>
        <v>4</v>
      </c>
      <c r="B119" s="48">
        <f t="shared" si="10"/>
        <v>146153.84615384613</v>
      </c>
      <c r="C119" s="48"/>
      <c r="D119" s="48"/>
      <c r="E119" s="48"/>
      <c r="F119" s="48"/>
      <c r="G119" s="27">
        <f t="shared" si="11"/>
        <v>4</v>
      </c>
      <c r="H119" s="9"/>
      <c r="I119" s="9"/>
      <c r="J119" s="9"/>
      <c r="K119" s="9"/>
      <c r="L119" s="47" t="s">
        <v>11</v>
      </c>
      <c r="M119" s="47"/>
      <c r="N119" s="47"/>
      <c r="O119" s="47"/>
      <c r="P119" s="45">
        <f>STDEVA(B116:B120)</f>
        <v>71093.493111279211</v>
      </c>
      <c r="Q119" s="45"/>
      <c r="R119" s="45"/>
      <c r="V119" s="6">
        <f t="shared" si="12"/>
        <v>39680.096885925042</v>
      </c>
      <c r="W119" s="6">
        <f t="shared" si="13"/>
        <v>273556.87687939918</v>
      </c>
      <c r="X119" s="6">
        <f t="shared" si="14"/>
        <v>156618.48688266211</v>
      </c>
    </row>
    <row r="120" spans="1:25" s="2" customFormat="1" ht="20.100000000000001" customHeight="1" x14ac:dyDescent="0.25">
      <c r="A120" s="28">
        <f>A14</f>
        <v>5</v>
      </c>
      <c r="B120" s="48">
        <f t="shared" si="10"/>
        <v>151485.14851485143</v>
      </c>
      <c r="C120" s="48"/>
      <c r="D120" s="48"/>
      <c r="E120" s="48"/>
      <c r="F120" s="48"/>
      <c r="G120" s="27">
        <f t="shared" si="11"/>
        <v>5</v>
      </c>
      <c r="H120" s="9"/>
      <c r="I120" s="9"/>
      <c r="J120" s="9"/>
      <c r="K120" s="9"/>
      <c r="L120" s="47" t="s">
        <v>13</v>
      </c>
      <c r="M120" s="47"/>
      <c r="N120" s="47"/>
      <c r="O120" s="47"/>
      <c r="P120" s="45">
        <f>P118+(Q116*P119)</f>
        <v>273556.87687939918</v>
      </c>
      <c r="Q120" s="45"/>
      <c r="R120" s="45"/>
      <c r="V120" s="6">
        <f t="shared" si="12"/>
        <v>39680.096885925042</v>
      </c>
      <c r="W120" s="6">
        <f t="shared" si="13"/>
        <v>273556.87687939918</v>
      </c>
      <c r="X120" s="6">
        <f t="shared" si="14"/>
        <v>156618.48688266211</v>
      </c>
    </row>
    <row r="121" spans="1:25" ht="20.100000000000001" customHeight="1" x14ac:dyDescent="0.25">
      <c r="L121" s="47" t="s">
        <v>12</v>
      </c>
      <c r="M121" s="47"/>
      <c r="N121" s="47"/>
      <c r="O121" s="47"/>
      <c r="P121" s="45">
        <f>P118-(Q116*P119)</f>
        <v>39680.096885925042</v>
      </c>
      <c r="Q121" s="45"/>
      <c r="R121" s="45"/>
      <c r="V121" s="6"/>
      <c r="W121" s="6"/>
      <c r="X121" s="6"/>
    </row>
    <row r="122" spans="1:25" s="2" customFormat="1" ht="20.100000000000001" customHeight="1" x14ac:dyDescent="0.25">
      <c r="A122" s="9"/>
      <c r="B122" s="9"/>
      <c r="C122" s="9"/>
      <c r="D122" s="9"/>
      <c r="E122" s="9"/>
      <c r="F122" s="9"/>
      <c r="G122" s="9"/>
      <c r="H122" s="9"/>
      <c r="I122" s="9"/>
      <c r="J122" s="9"/>
      <c r="K122" s="9"/>
      <c r="L122" s="47" t="s">
        <v>15</v>
      </c>
      <c r="M122" s="47"/>
      <c r="N122" s="47"/>
      <c r="O122" s="47"/>
      <c r="P122" s="45">
        <f>MAX(B116:B120)</f>
        <v>257142.85714285713</v>
      </c>
      <c r="Q122" s="45"/>
      <c r="R122" s="45"/>
    </row>
    <row r="123" spans="1:25" s="2" customFormat="1" ht="20.100000000000001" customHeight="1" x14ac:dyDescent="0.25">
      <c r="A123" s="9"/>
      <c r="B123" s="9"/>
      <c r="C123" s="9"/>
      <c r="D123" s="9"/>
      <c r="E123" s="9"/>
      <c r="F123" s="9"/>
      <c r="G123" s="9"/>
      <c r="H123" s="9"/>
      <c r="I123" s="9"/>
      <c r="J123" s="9"/>
      <c r="K123" s="9"/>
      <c r="L123" s="47" t="s">
        <v>14</v>
      </c>
      <c r="M123" s="47"/>
      <c r="N123" s="47"/>
      <c r="O123" s="47"/>
      <c r="P123" s="45">
        <f>MIN(B116:B120)</f>
        <v>57719.999999999985</v>
      </c>
      <c r="Q123" s="45"/>
      <c r="R123" s="45"/>
    </row>
    <row r="125" spans="1:25" ht="20.100000000000001" customHeight="1" x14ac:dyDescent="0.25">
      <c r="L125" s="47" t="s">
        <v>18</v>
      </c>
      <c r="M125" s="47"/>
      <c r="N125" s="74" t="str">
        <f>IF(P125="Nada a excluir","",Y115)</f>
        <v/>
      </c>
      <c r="O125" s="74"/>
      <c r="P125" s="45" t="str" cm="1">
        <f t="array" ref="P125">_xlfn.IFS(AND(OR(P122&gt;P120,P123&lt;P121),(P122-P118)&gt;(P118-P123)),P122,AND(OR(P123&lt;P121,P122&gt;P120),(P118-P123)&gt;(P122-P118)),P123,AND(P122&lt;=P120,P123&gt;=P121),"Nada a excluir")</f>
        <v>Nada a excluir</v>
      </c>
      <c r="Q125" s="45"/>
      <c r="R125" s="45"/>
    </row>
    <row r="126" spans="1:25" ht="20.100000000000001" customHeight="1" x14ac:dyDescent="0.25">
      <c r="L126" s="54" t="s">
        <v>17</v>
      </c>
      <c r="M126" s="54"/>
      <c r="N126" s="54"/>
      <c r="O126" s="54"/>
      <c r="P126" s="61" t="str">
        <f>IF(P125="Nada a excluir","Encerrar","Continuar")</f>
        <v>Encerrar</v>
      </c>
      <c r="Q126" s="61"/>
      <c r="R126" s="61"/>
    </row>
    <row r="129" spans="12:18" ht="20.100000000000001" customHeight="1" x14ac:dyDescent="0.25">
      <c r="L129" s="47" t="s">
        <v>16</v>
      </c>
      <c r="M129" s="47"/>
      <c r="N129" s="47"/>
      <c r="O129" s="47"/>
      <c r="P129" s="51">
        <f>P119</f>
        <v>71093.493111279211</v>
      </c>
      <c r="Q129" s="52"/>
      <c r="R129" s="52"/>
    </row>
    <row r="130" spans="12:18" ht="20.100000000000001" customHeight="1" x14ac:dyDescent="0.25">
      <c r="L130" s="54" t="s">
        <v>9</v>
      </c>
      <c r="M130" s="54"/>
      <c r="N130" s="54"/>
      <c r="O130" s="54"/>
      <c r="P130" s="77">
        <f>P119/P118</f>
        <v>0.45392785057706597</v>
      </c>
      <c r="Q130" s="77"/>
      <c r="R130" s="77"/>
    </row>
    <row r="131" spans="12:18" ht="20.100000000000001" customHeight="1" x14ac:dyDescent="0.25">
      <c r="N131" s="1"/>
      <c r="O131" s="1"/>
      <c r="P131" s="1"/>
      <c r="Q131" s="1"/>
      <c r="R131" s="1"/>
    </row>
    <row r="132" spans="12:18" ht="20.100000000000001" customHeight="1" x14ac:dyDescent="0.25">
      <c r="N132" s="1"/>
      <c r="O132" s="1"/>
      <c r="P132" s="1"/>
      <c r="Q132" s="1"/>
      <c r="R132" s="1"/>
    </row>
    <row r="133" spans="12:18" ht="20.100000000000001" customHeight="1" x14ac:dyDescent="0.25">
      <c r="N133" s="1"/>
      <c r="O133" s="1"/>
      <c r="P133" s="1"/>
      <c r="Q133" s="1"/>
      <c r="R133" s="1"/>
    </row>
    <row r="134" spans="12:18" ht="20.100000000000001" customHeight="1" x14ac:dyDescent="0.25">
      <c r="N134" s="1"/>
      <c r="O134" s="1"/>
      <c r="P134" s="1"/>
      <c r="Q134" s="1"/>
      <c r="R134" s="1"/>
    </row>
    <row r="135" spans="12:18" ht="20.100000000000001" customHeight="1" x14ac:dyDescent="0.25">
      <c r="N135" s="1"/>
      <c r="O135" s="1"/>
      <c r="P135" s="1"/>
      <c r="Q135" s="1"/>
      <c r="R135" s="1"/>
    </row>
    <row r="136" spans="12:18" ht="20.100000000000001" customHeight="1" x14ac:dyDescent="0.25">
      <c r="N136" s="1"/>
      <c r="O136" s="1"/>
      <c r="P136" s="1"/>
      <c r="Q136" s="1"/>
      <c r="R136" s="1"/>
    </row>
    <row r="153" spans="1:26" s="2" customFormat="1" ht="20.100000000000001" customHeight="1" x14ac:dyDescent="0.25">
      <c r="A153" s="56" t="s">
        <v>21</v>
      </c>
      <c r="B153" s="56"/>
      <c r="C153" s="56"/>
      <c r="D153" s="56"/>
      <c r="E153" s="56"/>
      <c r="F153" s="56"/>
      <c r="G153" s="56"/>
      <c r="H153" s="56"/>
      <c r="I153" s="56"/>
      <c r="J153" s="56"/>
      <c r="K153" s="56"/>
      <c r="L153" s="56"/>
      <c r="M153" s="56"/>
      <c r="N153" s="56"/>
      <c r="O153" s="56"/>
      <c r="P153" s="56"/>
      <c r="Q153" s="56"/>
      <c r="R153" s="56"/>
      <c r="S153" s="1"/>
      <c r="T153" s="1"/>
      <c r="U153" s="1"/>
      <c r="V153" s="1"/>
      <c r="W153" s="1"/>
      <c r="X153" s="1"/>
      <c r="Y153" s="1"/>
    </row>
    <row r="155" spans="1:26" s="2" customFormat="1" ht="20.100000000000001" customHeight="1" x14ac:dyDescent="0.25">
      <c r="A155" s="31" t="s">
        <v>3</v>
      </c>
      <c r="B155" s="44" t="str">
        <f t="shared" ref="B155:B160" si="15">O34</f>
        <v>Preço  unitário da terra nua homogeneizado</v>
      </c>
      <c r="C155" s="44"/>
      <c r="D155" s="44"/>
      <c r="E155" s="44"/>
      <c r="F155" s="44"/>
      <c r="G155" s="29"/>
      <c r="H155" s="9"/>
      <c r="I155" s="9"/>
      <c r="J155" s="9"/>
      <c r="K155" s="9"/>
      <c r="L155" s="47" t="s">
        <v>48</v>
      </c>
      <c r="M155" s="47"/>
      <c r="N155" s="47"/>
      <c r="O155" s="47"/>
      <c r="P155" s="47"/>
      <c r="Q155" s="71">
        <f>COUNT(B156:B160)</f>
        <v>5</v>
      </c>
      <c r="R155" s="71"/>
      <c r="S155" s="1"/>
      <c r="T155" s="1"/>
      <c r="U155" s="1"/>
      <c r="V155" s="1"/>
      <c r="W155" s="1" t="s">
        <v>12</v>
      </c>
      <c r="X155" s="1" t="s">
        <v>13</v>
      </c>
      <c r="Y155" s="1" t="s">
        <v>10</v>
      </c>
      <c r="Z155" s="2" t="e">
        <f>VLOOKUP(P168,B156:G160,6,0)</f>
        <v>#N/A</v>
      </c>
    </row>
    <row r="156" spans="1:26" s="2" customFormat="1" ht="20.100000000000001" customHeight="1" x14ac:dyDescent="0.25">
      <c r="A156" s="26">
        <f>A10</f>
        <v>1</v>
      </c>
      <c r="B156" s="45">
        <f t="shared" si="15"/>
        <v>257142.85714285713</v>
      </c>
      <c r="C156" s="45"/>
      <c r="D156" s="45"/>
      <c r="E156" s="45"/>
      <c r="F156" s="45"/>
      <c r="G156" s="27">
        <f>A156</f>
        <v>1</v>
      </c>
      <c r="H156" s="9"/>
      <c r="I156" s="9"/>
      <c r="J156" s="9"/>
      <c r="K156" s="9"/>
      <c r="L156" s="47" t="s">
        <v>22</v>
      </c>
      <c r="M156" s="47"/>
      <c r="N156" s="47"/>
      <c r="O156" s="47"/>
      <c r="P156" s="47"/>
      <c r="Q156" s="67" cm="1">
        <f t="array" ref="Q156">_xlfn.IFS(Q155&lt;=5,0.1,AND(Q155&gt;=6,Q155&lt;=10),0.05,AND(Q155&gt;=11,Q155&lt;=50),0.01,Q155&gt;50,0.001)</f>
        <v>0.1</v>
      </c>
      <c r="R156" s="67"/>
      <c r="S156" s="1"/>
      <c r="T156" s="1"/>
      <c r="U156" s="1"/>
      <c r="V156" s="1"/>
      <c r="W156" s="6">
        <f>$P$164</f>
        <v>42103.414852901857</v>
      </c>
      <c r="X156" s="6">
        <f>$P$163</f>
        <v>271133.55891242239</v>
      </c>
      <c r="Y156" s="6">
        <f>$P$160</f>
        <v>156618.48688266211</v>
      </c>
    </row>
    <row r="157" spans="1:26" s="2" customFormat="1" ht="20.100000000000001" customHeight="1" x14ac:dyDescent="0.25">
      <c r="A157" s="28">
        <f>A11</f>
        <v>2</v>
      </c>
      <c r="B157" s="48">
        <f t="shared" si="15"/>
        <v>170590.58260175577</v>
      </c>
      <c r="C157" s="48"/>
      <c r="D157" s="48"/>
      <c r="E157" s="48"/>
      <c r="F157" s="48"/>
      <c r="G157" s="27">
        <f t="shared" ref="G157:G166" si="16">A157</f>
        <v>2</v>
      </c>
      <c r="H157" s="9"/>
      <c r="I157" s="9"/>
      <c r="J157" s="9"/>
      <c r="K157" s="9"/>
      <c r="L157" s="47" t="s">
        <v>23</v>
      </c>
      <c r="M157" s="47"/>
      <c r="N157" s="47"/>
      <c r="O157" s="47"/>
      <c r="P157" s="47"/>
      <c r="Q157" s="88">
        <f>Q155-2</f>
        <v>3</v>
      </c>
      <c r="R157" s="88"/>
      <c r="S157" s="1"/>
      <c r="T157" s="1"/>
      <c r="U157" s="1"/>
      <c r="V157" s="1"/>
      <c r="W157" s="6">
        <f>$P$164</f>
        <v>42103.414852901857</v>
      </c>
      <c r="X157" s="6">
        <f>$P$163</f>
        <v>271133.55891242239</v>
      </c>
      <c r="Y157" s="6">
        <f>$P$160</f>
        <v>156618.48688266211</v>
      </c>
      <c r="Z157" s="2">
        <f>_xlfn.T.INV.2T(Q156,Q157)</f>
        <v>2.3533634348018233</v>
      </c>
    </row>
    <row r="158" spans="1:26" s="2" customFormat="1" ht="20.100000000000001" customHeight="1" x14ac:dyDescent="0.25">
      <c r="A158" s="28">
        <f>A12</f>
        <v>3</v>
      </c>
      <c r="B158" s="48">
        <f t="shared" si="15"/>
        <v>57719.999999999985</v>
      </c>
      <c r="C158" s="48"/>
      <c r="D158" s="48"/>
      <c r="E158" s="48"/>
      <c r="F158" s="48"/>
      <c r="G158" s="27">
        <f t="shared" si="16"/>
        <v>3</v>
      </c>
      <c r="H158" s="9"/>
      <c r="I158" s="9"/>
      <c r="J158" s="9"/>
      <c r="K158" s="9"/>
      <c r="L158" s="47" t="s">
        <v>20</v>
      </c>
      <c r="M158" s="47"/>
      <c r="N158" s="47"/>
      <c r="O158" s="47"/>
      <c r="P158" s="47"/>
      <c r="Q158" s="49">
        <f>Z158</f>
        <v>1.6107672730402394</v>
      </c>
      <c r="R158" s="49"/>
      <c r="S158" s="1"/>
      <c r="T158" s="1"/>
      <c r="U158" s="1"/>
      <c r="V158" s="1"/>
      <c r="W158" s="6">
        <f>$P$164</f>
        <v>42103.414852901857</v>
      </c>
      <c r="X158" s="6">
        <f>$P$163</f>
        <v>271133.55891242239</v>
      </c>
      <c r="Y158" s="6">
        <f>$P$160</f>
        <v>156618.48688266211</v>
      </c>
      <c r="Z158" s="2">
        <f>((((Z157^2)*(Q155))-Z157^2)/(Q155-2+Z157^2))^(1/2)</f>
        <v>1.6107672730402394</v>
      </c>
    </row>
    <row r="159" spans="1:26" s="2" customFormat="1" ht="20.100000000000001" customHeight="1" x14ac:dyDescent="0.25">
      <c r="A159" s="28">
        <f>A13</f>
        <v>4</v>
      </c>
      <c r="B159" s="48">
        <f t="shared" si="15"/>
        <v>146153.84615384613</v>
      </c>
      <c r="C159" s="48"/>
      <c r="D159" s="48"/>
      <c r="E159" s="48"/>
      <c r="F159" s="48"/>
      <c r="G159" s="27">
        <f t="shared" si="16"/>
        <v>4</v>
      </c>
      <c r="H159" s="9"/>
      <c r="I159" s="9"/>
      <c r="J159" s="9"/>
      <c r="K159" s="9"/>
      <c r="L159" s="9"/>
      <c r="M159" s="9"/>
      <c r="N159" s="9"/>
      <c r="O159" s="9"/>
      <c r="P159" s="9"/>
      <c r="Q159" s="9"/>
      <c r="R159" s="9"/>
      <c r="S159" s="1"/>
      <c r="T159" s="1"/>
      <c r="U159" s="1"/>
      <c r="V159" s="1"/>
      <c r="W159" s="6">
        <f>$P$164</f>
        <v>42103.414852901857</v>
      </c>
      <c r="X159" s="6">
        <f>$P$163</f>
        <v>271133.55891242239</v>
      </c>
      <c r="Y159" s="6">
        <f>$P$160</f>
        <v>156618.48688266211</v>
      </c>
    </row>
    <row r="160" spans="1:26" s="2" customFormat="1" ht="20.100000000000001" customHeight="1" x14ac:dyDescent="0.25">
      <c r="A160" s="28">
        <f>A14</f>
        <v>5</v>
      </c>
      <c r="B160" s="48">
        <f t="shared" si="15"/>
        <v>151485.14851485143</v>
      </c>
      <c r="C160" s="48"/>
      <c r="D160" s="48"/>
      <c r="E160" s="48"/>
      <c r="F160" s="48"/>
      <c r="G160" s="27">
        <f t="shared" si="16"/>
        <v>5</v>
      </c>
      <c r="H160" s="9"/>
      <c r="I160" s="9"/>
      <c r="J160" s="9"/>
      <c r="K160" s="9"/>
      <c r="L160" s="47" t="s">
        <v>10</v>
      </c>
      <c r="M160" s="47"/>
      <c r="N160" s="47"/>
      <c r="O160" s="47"/>
      <c r="P160" s="45">
        <f>AVERAGE(B156:B160)</f>
        <v>156618.48688266211</v>
      </c>
      <c r="Q160" s="45"/>
      <c r="R160" s="45"/>
      <c r="S160" s="1"/>
      <c r="T160" s="1"/>
      <c r="U160" s="1"/>
      <c r="V160" s="1"/>
      <c r="W160" s="6">
        <f>$P$164</f>
        <v>42103.414852901857</v>
      </c>
      <c r="X160" s="6">
        <f>$P$163</f>
        <v>271133.55891242239</v>
      </c>
      <c r="Y160" s="6">
        <f>$P$160</f>
        <v>156618.48688266211</v>
      </c>
    </row>
    <row r="161" spans="1:18" s="2" customFormat="1" ht="20.100000000000001" customHeight="1" x14ac:dyDescent="0.25">
      <c r="A161" s="9"/>
      <c r="B161" s="9"/>
      <c r="C161" s="9"/>
      <c r="D161" s="9"/>
      <c r="E161" s="9"/>
      <c r="F161" s="9"/>
      <c r="G161" s="29">
        <f t="shared" si="16"/>
        <v>0</v>
      </c>
      <c r="H161" s="9"/>
      <c r="I161" s="9"/>
      <c r="J161" s="9"/>
      <c r="K161" s="9"/>
      <c r="L161" s="47" t="s">
        <v>11</v>
      </c>
      <c r="M161" s="47"/>
      <c r="N161" s="47"/>
      <c r="O161" s="47"/>
      <c r="P161" s="45">
        <f>STDEVA(B156:B160)</f>
        <v>71093.493111279211</v>
      </c>
      <c r="Q161" s="45"/>
      <c r="R161" s="45"/>
    </row>
    <row r="162" spans="1:18" s="2" customFormat="1" ht="20.100000000000001" customHeight="1" x14ac:dyDescent="0.25">
      <c r="A162" s="9"/>
      <c r="B162" s="9"/>
      <c r="C162" s="9"/>
      <c r="D162" s="9"/>
      <c r="E162" s="9"/>
      <c r="F162" s="9"/>
      <c r="G162" s="29">
        <f t="shared" si="16"/>
        <v>0</v>
      </c>
      <c r="H162" s="9"/>
      <c r="I162" s="9"/>
      <c r="J162" s="9"/>
      <c r="K162" s="9"/>
      <c r="L162" s="9"/>
      <c r="M162" s="9"/>
      <c r="N162" s="9"/>
      <c r="O162" s="9"/>
      <c r="P162" s="17"/>
      <c r="Q162" s="17"/>
      <c r="R162" s="17"/>
    </row>
    <row r="163" spans="1:18" s="2" customFormat="1" ht="20.100000000000001" customHeight="1" x14ac:dyDescent="0.25">
      <c r="A163" s="9"/>
      <c r="B163" s="9"/>
      <c r="C163" s="9"/>
      <c r="D163" s="9"/>
      <c r="E163" s="9"/>
      <c r="F163" s="9"/>
      <c r="G163" s="29">
        <f t="shared" si="16"/>
        <v>0</v>
      </c>
      <c r="H163" s="9"/>
      <c r="I163" s="9"/>
      <c r="J163" s="9"/>
      <c r="K163" s="9"/>
      <c r="L163" s="47" t="s">
        <v>13</v>
      </c>
      <c r="M163" s="47"/>
      <c r="N163" s="47"/>
      <c r="O163" s="47"/>
      <c r="P163" s="45">
        <f>P160+(Q158*P161)</f>
        <v>271133.55891242239</v>
      </c>
      <c r="Q163" s="45"/>
      <c r="R163" s="45"/>
    </row>
    <row r="164" spans="1:18" s="2" customFormat="1" ht="20.100000000000001" customHeight="1" x14ac:dyDescent="0.25">
      <c r="A164" s="9"/>
      <c r="B164" s="9"/>
      <c r="C164" s="9"/>
      <c r="D164" s="9"/>
      <c r="E164" s="9"/>
      <c r="F164" s="9"/>
      <c r="G164" s="29">
        <f t="shared" si="16"/>
        <v>0</v>
      </c>
      <c r="H164" s="9"/>
      <c r="I164" s="9"/>
      <c r="J164" s="9"/>
      <c r="K164" s="9"/>
      <c r="L164" s="47" t="s">
        <v>12</v>
      </c>
      <c r="M164" s="47"/>
      <c r="N164" s="47"/>
      <c r="O164" s="47"/>
      <c r="P164" s="45">
        <f>P160-(Q158*P161)</f>
        <v>42103.414852901857</v>
      </c>
      <c r="Q164" s="45"/>
      <c r="R164" s="45"/>
    </row>
    <row r="165" spans="1:18" s="2" customFormat="1" ht="20.100000000000001" customHeight="1" x14ac:dyDescent="0.25">
      <c r="A165" s="9"/>
      <c r="B165" s="9"/>
      <c r="C165" s="9"/>
      <c r="D165" s="9"/>
      <c r="E165" s="9"/>
      <c r="F165" s="9"/>
      <c r="G165" s="29">
        <f t="shared" si="16"/>
        <v>0</v>
      </c>
      <c r="H165" s="9"/>
      <c r="I165" s="9"/>
      <c r="J165" s="9"/>
      <c r="K165" s="9"/>
      <c r="L165" s="47" t="s">
        <v>15</v>
      </c>
      <c r="M165" s="47"/>
      <c r="N165" s="47"/>
      <c r="O165" s="47"/>
      <c r="P165" s="45">
        <f>MAX(B156:B166)</f>
        <v>257142.85714285713</v>
      </c>
      <c r="Q165" s="45"/>
      <c r="R165" s="45"/>
    </row>
    <row r="166" spans="1:18" ht="20.100000000000001" customHeight="1" x14ac:dyDescent="0.25">
      <c r="G166" s="29">
        <f t="shared" si="16"/>
        <v>0</v>
      </c>
      <c r="L166" s="47" t="s">
        <v>14</v>
      </c>
      <c r="M166" s="47"/>
      <c r="N166" s="47"/>
      <c r="O166" s="47"/>
      <c r="P166" s="45">
        <f>MIN(B156:B166)</f>
        <v>57719.999999999985</v>
      </c>
      <c r="Q166" s="45"/>
      <c r="R166" s="45"/>
    </row>
    <row r="167" spans="1:18" ht="20.100000000000001" customHeight="1" x14ac:dyDescent="0.25">
      <c r="P167" s="17"/>
      <c r="Q167" s="17"/>
      <c r="R167" s="17"/>
    </row>
    <row r="168" spans="1:18" ht="20.100000000000001" customHeight="1" x14ac:dyDescent="0.25">
      <c r="L168" s="47" t="s">
        <v>18</v>
      </c>
      <c r="M168" s="47"/>
      <c r="N168" s="74" t="str">
        <f>IF(P168="Nada a excluir","",Z155)</f>
        <v/>
      </c>
      <c r="O168" s="74"/>
      <c r="P168" s="45" t="str" cm="1">
        <f t="array" ref="P168">_xlfn.IFS(AND(OR(P165&gt;P163,P166&lt;P164),(P165-P160)&gt;(P160-P166)),P165,AND(OR(P166&lt;P164,P165&gt;P163),(P160-P166)&gt;(P165-P160)),P166,AND(P165&lt;=P163,P166&gt;=P164),"Nada a excluir")</f>
        <v>Nada a excluir</v>
      </c>
      <c r="Q168" s="45"/>
      <c r="R168" s="45"/>
    </row>
    <row r="169" spans="1:18" ht="20.100000000000001" customHeight="1" x14ac:dyDescent="0.25">
      <c r="L169" s="54" t="s">
        <v>17</v>
      </c>
      <c r="M169" s="54"/>
      <c r="N169" s="54"/>
      <c r="O169" s="54"/>
      <c r="P169" s="61" t="str">
        <f>IF(P168="Nada a excluir","Encerrar","Continuar")</f>
        <v>Encerrar</v>
      </c>
      <c r="Q169" s="61"/>
      <c r="R169" s="61"/>
    </row>
    <row r="171" spans="1:18" ht="20.100000000000001" customHeight="1" x14ac:dyDescent="0.25">
      <c r="L171" s="47" t="s">
        <v>16</v>
      </c>
      <c r="M171" s="47"/>
      <c r="N171" s="47"/>
      <c r="O171" s="47"/>
      <c r="P171" s="51">
        <f>P161</f>
        <v>71093.493111279211</v>
      </c>
      <c r="Q171" s="52"/>
      <c r="R171" s="52"/>
    </row>
    <row r="172" spans="1:18" ht="20.100000000000001" customHeight="1" x14ac:dyDescent="0.25">
      <c r="L172" s="54" t="s">
        <v>9</v>
      </c>
      <c r="M172" s="54"/>
      <c r="N172" s="54"/>
      <c r="O172" s="54"/>
      <c r="P172" s="77">
        <f>P161/P160</f>
        <v>0.45392785057706597</v>
      </c>
      <c r="Q172" s="77"/>
      <c r="R172" s="77"/>
    </row>
    <row r="173" spans="1:18" ht="20.100000000000001" customHeight="1" x14ac:dyDescent="0.25">
      <c r="P173" s="17"/>
      <c r="Q173" s="17"/>
      <c r="R173" s="17"/>
    </row>
    <row r="186" spans="1:18" s="2" customFormat="1" ht="20.100000000000001" customHeight="1" x14ac:dyDescent="0.25">
      <c r="A186" s="9"/>
      <c r="B186" s="9"/>
      <c r="C186" s="9"/>
      <c r="D186" s="9"/>
      <c r="E186" s="9"/>
      <c r="F186" s="9"/>
      <c r="G186" s="9"/>
      <c r="H186" s="9"/>
      <c r="I186" s="9"/>
      <c r="J186" s="9"/>
      <c r="K186" s="9"/>
      <c r="L186" s="9"/>
      <c r="M186" s="9"/>
      <c r="N186" s="9"/>
      <c r="O186" s="9"/>
      <c r="P186" s="9"/>
      <c r="Q186" s="9"/>
      <c r="R186" s="9"/>
    </row>
    <row r="187" spans="1:18" s="2" customFormat="1" ht="20.100000000000001" customHeight="1" x14ac:dyDescent="0.25">
      <c r="A187" s="9"/>
      <c r="B187" s="9"/>
      <c r="C187" s="9"/>
      <c r="D187" s="9"/>
      <c r="E187" s="9"/>
      <c r="F187" s="9"/>
      <c r="G187" s="9"/>
      <c r="H187" s="9"/>
      <c r="I187" s="9"/>
      <c r="J187" s="9"/>
      <c r="K187" s="9"/>
      <c r="L187" s="9"/>
      <c r="M187" s="9"/>
      <c r="N187" s="9"/>
      <c r="O187" s="9"/>
      <c r="P187" s="9"/>
      <c r="Q187" s="9"/>
      <c r="R187" s="9"/>
    </row>
    <row r="188" spans="1:18" s="2" customFormat="1" ht="20.100000000000001" customHeight="1" x14ac:dyDescent="0.25">
      <c r="A188" s="9"/>
      <c r="B188" s="9"/>
      <c r="C188" s="9"/>
      <c r="D188" s="9"/>
      <c r="E188" s="9"/>
      <c r="F188" s="9"/>
      <c r="G188" s="9"/>
      <c r="H188" s="9"/>
      <c r="I188" s="9"/>
      <c r="J188" s="9"/>
      <c r="K188" s="9"/>
      <c r="L188" s="9"/>
      <c r="M188" s="9"/>
      <c r="N188" s="9"/>
      <c r="O188" s="9"/>
      <c r="P188" s="9"/>
      <c r="Q188" s="9"/>
      <c r="R188" s="9"/>
    </row>
    <row r="189" spans="1:18" s="2" customFormat="1" ht="20.100000000000001" customHeight="1" x14ac:dyDescent="0.25">
      <c r="A189" s="9"/>
      <c r="B189" s="9"/>
      <c r="C189" s="9"/>
      <c r="D189" s="9"/>
      <c r="E189" s="9"/>
      <c r="F189" s="9"/>
      <c r="G189" s="9"/>
      <c r="H189" s="9"/>
      <c r="I189" s="9"/>
      <c r="J189" s="9"/>
      <c r="K189" s="9"/>
      <c r="L189" s="9"/>
      <c r="M189" s="9"/>
      <c r="N189" s="9"/>
      <c r="O189" s="9"/>
      <c r="P189" s="9"/>
      <c r="Q189" s="9"/>
      <c r="R189" s="9"/>
    </row>
    <row r="190" spans="1:18" s="2" customFormat="1" ht="20.100000000000001" customHeight="1" x14ac:dyDescent="0.25">
      <c r="A190" s="9"/>
      <c r="B190" s="9"/>
      <c r="C190" s="9"/>
      <c r="D190" s="9"/>
      <c r="E190" s="9"/>
      <c r="F190" s="9"/>
      <c r="G190" s="9"/>
      <c r="H190" s="9"/>
      <c r="I190" s="9"/>
      <c r="J190" s="9"/>
      <c r="K190" s="9"/>
      <c r="L190" s="9"/>
      <c r="M190" s="9"/>
      <c r="N190" s="9"/>
      <c r="O190" s="9"/>
      <c r="P190" s="9"/>
      <c r="Q190" s="9"/>
      <c r="R190" s="9"/>
    </row>
    <row r="191" spans="1:18" s="2" customFormat="1" ht="20.100000000000001" customHeight="1" x14ac:dyDescent="0.25">
      <c r="A191" s="9"/>
      <c r="B191" s="9"/>
      <c r="C191" s="9"/>
      <c r="D191" s="9"/>
      <c r="E191" s="9"/>
      <c r="F191" s="9"/>
      <c r="G191" s="9"/>
      <c r="H191" s="9"/>
      <c r="I191" s="9"/>
      <c r="J191" s="9"/>
      <c r="K191" s="9"/>
      <c r="L191" s="9"/>
      <c r="M191" s="9"/>
      <c r="N191" s="9"/>
      <c r="O191" s="9"/>
      <c r="P191" s="9"/>
      <c r="Q191" s="9"/>
      <c r="R191" s="9"/>
    </row>
    <row r="192" spans="1:18" s="2" customFormat="1" ht="20.100000000000001" customHeight="1" x14ac:dyDescent="0.25">
      <c r="A192" s="9"/>
      <c r="B192" s="9"/>
      <c r="C192" s="9"/>
      <c r="D192" s="9"/>
      <c r="E192" s="9"/>
      <c r="F192" s="9"/>
      <c r="G192" s="9"/>
      <c r="H192" s="9"/>
      <c r="I192" s="9"/>
      <c r="J192" s="9"/>
      <c r="K192" s="9"/>
      <c r="L192" s="9"/>
      <c r="M192" s="9"/>
      <c r="N192" s="9"/>
      <c r="O192" s="9"/>
      <c r="P192" s="9"/>
      <c r="Q192" s="9"/>
      <c r="R192" s="9"/>
    </row>
    <row r="193" spans="1:28" s="2" customFormat="1" ht="20.100000000000001" customHeight="1" x14ac:dyDescent="0.25">
      <c r="A193" s="9"/>
      <c r="B193" s="9"/>
      <c r="C193" s="9"/>
      <c r="D193" s="9"/>
      <c r="E193" s="9"/>
      <c r="F193" s="9"/>
      <c r="G193" s="9"/>
      <c r="H193" s="9"/>
      <c r="I193" s="9"/>
      <c r="J193" s="9"/>
      <c r="K193" s="9"/>
      <c r="L193" s="9"/>
      <c r="M193" s="9"/>
      <c r="N193" s="9"/>
      <c r="O193" s="9"/>
      <c r="P193" s="9"/>
      <c r="Q193" s="9"/>
      <c r="R193" s="9"/>
      <c r="S193" s="1"/>
      <c r="T193" s="1"/>
      <c r="U193" s="1"/>
      <c r="V193" s="1"/>
      <c r="W193" s="6"/>
      <c r="X193" s="6"/>
      <c r="Y193" s="6"/>
    </row>
    <row r="194" spans="1:28" s="2" customFormat="1" ht="20.100000000000001" customHeight="1" x14ac:dyDescent="0.25">
      <c r="A194" s="9"/>
      <c r="B194" s="9"/>
      <c r="C194" s="9"/>
      <c r="D194" s="9"/>
      <c r="E194" s="9"/>
      <c r="F194" s="9"/>
      <c r="G194" s="9"/>
      <c r="H194" s="9"/>
      <c r="I194" s="9"/>
      <c r="J194" s="9"/>
      <c r="K194" s="9"/>
      <c r="L194" s="9"/>
      <c r="M194" s="9"/>
      <c r="N194" s="9"/>
      <c r="O194" s="9"/>
      <c r="P194" s="9"/>
      <c r="Q194" s="9"/>
      <c r="R194" s="9"/>
      <c r="S194" s="1"/>
      <c r="T194" s="1"/>
      <c r="U194" s="1"/>
      <c r="V194" s="1"/>
      <c r="W194" s="6"/>
      <c r="X194" s="6"/>
      <c r="Y194" s="6"/>
    </row>
    <row r="195" spans="1:28" s="2" customFormat="1" ht="20.100000000000001" customHeight="1" x14ac:dyDescent="0.25">
      <c r="A195" s="9"/>
      <c r="B195" s="9"/>
      <c r="C195" s="9"/>
      <c r="D195" s="9"/>
      <c r="E195" s="9"/>
      <c r="F195" s="9"/>
      <c r="G195" s="9"/>
      <c r="H195" s="9"/>
      <c r="I195" s="9"/>
      <c r="J195" s="9"/>
      <c r="K195" s="9"/>
      <c r="L195" s="9"/>
      <c r="M195" s="9"/>
      <c r="N195" s="9"/>
      <c r="O195" s="9"/>
      <c r="P195" s="9"/>
      <c r="Q195" s="9"/>
      <c r="R195" s="9"/>
      <c r="S195" s="1"/>
      <c r="T195" s="1"/>
      <c r="U195" s="1"/>
      <c r="V195" s="1"/>
      <c r="W195" s="6"/>
      <c r="X195" s="6"/>
      <c r="Y195" s="6"/>
    </row>
    <row r="196" spans="1:28" s="2" customFormat="1" ht="20.100000000000001" customHeight="1" x14ac:dyDescent="0.25">
      <c r="A196" s="9"/>
      <c r="B196" s="9"/>
      <c r="C196" s="9"/>
      <c r="D196" s="9"/>
      <c r="E196" s="9"/>
      <c r="F196" s="9"/>
      <c r="G196" s="9"/>
      <c r="H196" s="9"/>
      <c r="I196" s="9"/>
      <c r="J196" s="9"/>
      <c r="K196" s="9"/>
      <c r="L196" s="9"/>
      <c r="M196" s="9"/>
      <c r="N196" s="9"/>
      <c r="O196" s="9"/>
      <c r="P196" s="9"/>
      <c r="Q196" s="9"/>
      <c r="R196" s="9"/>
      <c r="S196" s="1"/>
      <c r="T196" s="1"/>
      <c r="U196" s="1"/>
      <c r="V196" s="1"/>
      <c r="W196" s="6"/>
      <c r="X196" s="6"/>
      <c r="Y196" s="6"/>
    </row>
    <row r="197" spans="1:28" s="2" customFormat="1" ht="20.100000000000001" customHeight="1" x14ac:dyDescent="0.25">
      <c r="A197" s="9"/>
      <c r="B197" s="9"/>
      <c r="C197" s="9"/>
      <c r="D197" s="9"/>
      <c r="E197" s="9"/>
      <c r="F197" s="9"/>
      <c r="G197" s="9"/>
      <c r="H197" s="9"/>
      <c r="I197" s="9"/>
      <c r="J197" s="9"/>
      <c r="K197" s="9"/>
      <c r="L197" s="9"/>
      <c r="M197" s="9"/>
      <c r="N197" s="9"/>
      <c r="O197" s="9"/>
      <c r="P197" s="9"/>
      <c r="Q197" s="9"/>
      <c r="R197" s="9"/>
      <c r="S197" s="1"/>
      <c r="T197" s="1"/>
      <c r="U197" s="1"/>
      <c r="V197" s="1"/>
      <c r="W197" s="6"/>
      <c r="X197" s="6"/>
      <c r="Y197" s="6"/>
    </row>
    <row r="198" spans="1:28" s="2" customFormat="1" ht="20.100000000000001" customHeight="1" x14ac:dyDescent="0.25">
      <c r="A198" s="9"/>
      <c r="B198" s="9"/>
      <c r="C198" s="9"/>
      <c r="D198" s="9"/>
      <c r="E198" s="9"/>
      <c r="F198" s="9"/>
      <c r="G198" s="9"/>
      <c r="H198" s="9"/>
      <c r="I198" s="9"/>
      <c r="J198" s="9"/>
      <c r="K198" s="9"/>
      <c r="L198" s="9"/>
      <c r="M198" s="9"/>
      <c r="N198" s="9"/>
      <c r="O198" s="9"/>
      <c r="P198" s="9"/>
      <c r="Q198" s="9"/>
      <c r="R198" s="9"/>
      <c r="S198" s="1"/>
      <c r="T198" s="1"/>
      <c r="U198" s="1"/>
      <c r="V198" s="1"/>
      <c r="W198" s="6"/>
      <c r="X198" s="6"/>
      <c r="Y198" s="6"/>
    </row>
    <row r="199" spans="1:28" s="2" customFormat="1" ht="20.100000000000001" customHeight="1" x14ac:dyDescent="0.25">
      <c r="A199" s="9"/>
      <c r="B199" s="9"/>
      <c r="C199" s="9"/>
      <c r="D199" s="9"/>
      <c r="E199" s="9"/>
      <c r="F199" s="9"/>
      <c r="G199" s="9"/>
      <c r="H199" s="9"/>
      <c r="I199" s="9"/>
      <c r="J199" s="9"/>
      <c r="K199" s="9"/>
      <c r="L199" s="9"/>
      <c r="M199" s="9"/>
      <c r="N199" s="9"/>
      <c r="O199" s="9"/>
      <c r="P199" s="9"/>
      <c r="Q199" s="9"/>
      <c r="R199" s="9"/>
      <c r="S199" s="1"/>
      <c r="T199" s="1"/>
      <c r="U199" s="1"/>
      <c r="V199" s="1"/>
      <c r="W199" s="6"/>
      <c r="X199" s="6"/>
      <c r="Y199" s="6"/>
    </row>
    <row r="200" spans="1:28" s="2" customFormat="1" ht="20.100000000000001" customHeight="1" x14ac:dyDescent="0.25">
      <c r="A200" s="9"/>
      <c r="B200" s="9"/>
      <c r="C200" s="9"/>
      <c r="D200" s="9"/>
      <c r="E200" s="9"/>
      <c r="F200" s="9"/>
      <c r="G200" s="9"/>
      <c r="H200" s="9"/>
      <c r="I200" s="9"/>
      <c r="J200" s="9"/>
      <c r="K200" s="9"/>
      <c r="L200" s="9"/>
      <c r="M200" s="9"/>
      <c r="N200" s="9"/>
      <c r="O200" s="9"/>
      <c r="P200" s="9"/>
      <c r="Q200" s="9"/>
      <c r="R200" s="9"/>
      <c r="S200" s="1"/>
      <c r="T200" s="1"/>
      <c r="U200" s="1"/>
      <c r="V200" s="1"/>
      <c r="W200" s="6"/>
      <c r="X200" s="6"/>
      <c r="Y200" s="6"/>
    </row>
    <row r="201" spans="1:28" s="2" customFormat="1" ht="20.100000000000001" customHeight="1" x14ac:dyDescent="0.25">
      <c r="A201" s="59" t="s">
        <v>24</v>
      </c>
      <c r="B201" s="59"/>
      <c r="C201" s="59"/>
      <c r="D201" s="59"/>
      <c r="E201" s="59"/>
      <c r="F201" s="59"/>
      <c r="G201" s="59" t="s">
        <v>10</v>
      </c>
      <c r="H201" s="59"/>
      <c r="I201" s="59"/>
      <c r="J201" s="59"/>
      <c r="K201" s="59" t="s">
        <v>11</v>
      </c>
      <c r="L201" s="59"/>
      <c r="M201" s="59"/>
      <c r="N201" s="59"/>
      <c r="O201" s="59" t="s">
        <v>9</v>
      </c>
      <c r="P201" s="59"/>
      <c r="Q201" s="59"/>
      <c r="R201" s="59"/>
      <c r="S201" s="1"/>
      <c r="T201" s="1"/>
      <c r="U201" s="1"/>
      <c r="V201" s="1"/>
      <c r="W201" s="1"/>
      <c r="X201" s="1"/>
      <c r="Y201" s="1"/>
    </row>
    <row r="202" spans="1:28" s="2" customFormat="1" ht="20.100000000000001" customHeight="1" x14ac:dyDescent="0.25">
      <c r="A202" s="47" t="s">
        <v>25</v>
      </c>
      <c r="B202" s="47"/>
      <c r="C202" s="47"/>
      <c r="D202" s="47"/>
      <c r="E202" s="47"/>
      <c r="F202" s="47"/>
      <c r="G202" s="45">
        <f>P118</f>
        <v>156618.48688266211</v>
      </c>
      <c r="H202" s="45"/>
      <c r="I202" s="45"/>
      <c r="J202" s="45"/>
      <c r="K202" s="45">
        <f>P119</f>
        <v>71093.493111279211</v>
      </c>
      <c r="L202" s="45"/>
      <c r="M202" s="45"/>
      <c r="N202" s="45"/>
      <c r="O202" s="69">
        <f>P130</f>
        <v>0.45392785057706597</v>
      </c>
      <c r="P202" s="69"/>
      <c r="Q202" s="69"/>
      <c r="R202" s="69"/>
      <c r="S202" s="1"/>
      <c r="T202" s="1"/>
      <c r="U202" s="1"/>
      <c r="V202" s="1"/>
      <c r="W202" s="1"/>
      <c r="X202" s="7">
        <f>O202</f>
        <v>0.45392785057706597</v>
      </c>
      <c r="Y202" s="1" t="str">
        <f>A202</f>
        <v>Critério de Chauvenet</v>
      </c>
      <c r="Z202" s="2">
        <f>G202</f>
        <v>156618.48688266211</v>
      </c>
      <c r="AA202" s="2">
        <f>K202</f>
        <v>71093.493111279211</v>
      </c>
      <c r="AB202" s="8">
        <f>Q115</f>
        <v>5</v>
      </c>
    </row>
    <row r="203" spans="1:28" s="2" customFormat="1" ht="20.100000000000001" customHeight="1" x14ac:dyDescent="0.25">
      <c r="A203" s="54" t="s">
        <v>26</v>
      </c>
      <c r="B203" s="54"/>
      <c r="C203" s="54"/>
      <c r="D203" s="54"/>
      <c r="E203" s="54"/>
      <c r="F203" s="54"/>
      <c r="G203" s="48">
        <f>P160</f>
        <v>156618.48688266211</v>
      </c>
      <c r="H203" s="48"/>
      <c r="I203" s="48"/>
      <c r="J203" s="48"/>
      <c r="K203" s="48">
        <f>P171</f>
        <v>71093.493111279211</v>
      </c>
      <c r="L203" s="48"/>
      <c r="M203" s="48"/>
      <c r="N203" s="48"/>
      <c r="O203" s="70">
        <f>P172</f>
        <v>0.45392785057706597</v>
      </c>
      <c r="P203" s="70"/>
      <c r="Q203" s="70"/>
      <c r="R203" s="70"/>
      <c r="S203" s="1"/>
      <c r="T203" s="1"/>
      <c r="U203" s="1"/>
      <c r="V203" s="1"/>
      <c r="W203" s="1"/>
      <c r="X203" s="7">
        <f>O203</f>
        <v>0.45392785057706597</v>
      </c>
      <c r="Y203" s="1" t="str">
        <f>A203</f>
        <v>Critério de Arley</v>
      </c>
      <c r="Z203" s="2">
        <f>G203</f>
        <v>156618.48688266211</v>
      </c>
      <c r="AA203" s="2">
        <f>K203</f>
        <v>71093.493111279211</v>
      </c>
      <c r="AB203" s="8">
        <f>Q155</f>
        <v>5</v>
      </c>
    </row>
    <row r="205" spans="1:28" s="2" customFormat="1" ht="20.100000000000001" customHeight="1" x14ac:dyDescent="0.25">
      <c r="A205" s="47" t="s">
        <v>27</v>
      </c>
      <c r="B205" s="47"/>
      <c r="C205" s="47"/>
      <c r="D205" s="47"/>
      <c r="E205" s="47"/>
      <c r="F205" s="47"/>
      <c r="G205" s="69">
        <f>MIN(O202:O203)</f>
        <v>0.45392785057706597</v>
      </c>
      <c r="H205" s="69"/>
      <c r="I205" s="69"/>
      <c r="J205" s="69"/>
      <c r="K205" s="69"/>
      <c r="L205" s="69"/>
      <c r="M205" s="9"/>
      <c r="N205" s="9"/>
      <c r="O205" s="9"/>
      <c r="P205" s="9"/>
      <c r="Q205" s="9"/>
      <c r="R205" s="9"/>
      <c r="S205" s="1"/>
      <c r="T205" s="1"/>
      <c r="U205" s="1"/>
      <c r="V205" s="1"/>
      <c r="W205" s="1"/>
      <c r="X205" s="1"/>
      <c r="Y205" s="1"/>
    </row>
    <row r="206" spans="1:28" ht="20.100000000000001" customHeight="1" x14ac:dyDescent="0.25">
      <c r="A206" s="54" t="s">
        <v>28</v>
      </c>
      <c r="B206" s="54"/>
      <c r="C206" s="54"/>
      <c r="D206" s="54"/>
      <c r="E206" s="54"/>
      <c r="F206" s="54"/>
      <c r="G206" s="61" t="str">
        <f>VLOOKUP(G205,X202:Z203,2,0)</f>
        <v>Critério de Chauvenet</v>
      </c>
      <c r="H206" s="61"/>
      <c r="I206" s="61"/>
      <c r="J206" s="61"/>
      <c r="K206" s="61"/>
      <c r="L206" s="61"/>
    </row>
    <row r="207" spans="1:28" ht="20.100000000000001" customHeight="1" x14ac:dyDescent="0.25">
      <c r="A207" s="54" t="s">
        <v>29</v>
      </c>
      <c r="B207" s="54"/>
      <c r="C207" s="54"/>
      <c r="D207" s="54"/>
      <c r="E207" s="54"/>
      <c r="F207" s="54"/>
      <c r="G207" s="48">
        <f>VLOOKUP(G205,X202:Z203,3,0)</f>
        <v>156618.48688266211</v>
      </c>
      <c r="H207" s="48"/>
      <c r="I207" s="48"/>
      <c r="J207" s="48"/>
      <c r="K207" s="48"/>
      <c r="L207" s="48"/>
    </row>
    <row r="208" spans="1:28" ht="20.100000000000001" customHeight="1" x14ac:dyDescent="0.25">
      <c r="A208" s="54" t="s">
        <v>31</v>
      </c>
      <c r="B208" s="54"/>
      <c r="C208" s="54"/>
      <c r="D208" s="54"/>
      <c r="E208" s="54"/>
      <c r="F208" s="54"/>
      <c r="G208" s="48">
        <f>VLOOKUP(G205,X202:AA203,4,0)</f>
        <v>71093.493111279211</v>
      </c>
      <c r="H208" s="48"/>
      <c r="I208" s="48"/>
      <c r="J208" s="48"/>
      <c r="K208" s="48"/>
      <c r="L208" s="48"/>
    </row>
    <row r="211" spans="1:18" ht="20.100000000000001" customHeight="1" x14ac:dyDescent="0.25">
      <c r="A211" s="56" t="s">
        <v>61</v>
      </c>
      <c r="B211" s="56"/>
      <c r="C211" s="56"/>
      <c r="D211" s="56"/>
      <c r="E211" s="56"/>
      <c r="F211" s="56"/>
      <c r="G211" s="56"/>
      <c r="H211" s="56"/>
      <c r="I211" s="56"/>
      <c r="J211" s="56"/>
      <c r="K211" s="56"/>
      <c r="L211" s="56"/>
      <c r="M211" s="56"/>
      <c r="N211" s="56"/>
      <c r="O211" s="56"/>
      <c r="P211" s="56"/>
      <c r="Q211" s="56"/>
      <c r="R211" s="56"/>
    </row>
    <row r="213" spans="1:18" ht="39.950000000000003" customHeight="1" x14ac:dyDescent="0.25">
      <c r="A213" s="57" t="s">
        <v>60</v>
      </c>
      <c r="B213" s="57"/>
      <c r="C213" s="57"/>
      <c r="D213" s="57"/>
      <c r="E213" s="57"/>
      <c r="F213" s="57"/>
      <c r="G213" s="57"/>
      <c r="H213" s="57"/>
      <c r="I213" s="57"/>
      <c r="J213" s="57"/>
      <c r="K213" s="57"/>
      <c r="L213" s="57"/>
      <c r="M213" s="57"/>
      <c r="N213" s="57"/>
      <c r="O213" s="57"/>
      <c r="P213" s="57"/>
      <c r="Q213" s="57"/>
      <c r="R213" s="57"/>
    </row>
    <row r="215" spans="1:18" ht="20.100000000000001" customHeight="1" x14ac:dyDescent="0.25">
      <c r="A215" s="47" t="s">
        <v>10</v>
      </c>
      <c r="B215" s="47"/>
      <c r="C215" s="47"/>
      <c r="D215" s="47"/>
      <c r="E215" s="51">
        <f>G207</f>
        <v>156618.48688266211</v>
      </c>
      <c r="F215" s="52"/>
      <c r="G215" s="52"/>
      <c r="H215" s="52"/>
    </row>
    <row r="216" spans="1:18" ht="20.100000000000001" customHeight="1" x14ac:dyDescent="0.25">
      <c r="A216" s="54" t="s">
        <v>11</v>
      </c>
      <c r="B216" s="54"/>
      <c r="C216" s="54"/>
      <c r="D216" s="54"/>
      <c r="E216" s="60">
        <f>G208</f>
        <v>71093.493111279211</v>
      </c>
      <c r="F216" s="61"/>
      <c r="G216" s="61"/>
      <c r="H216" s="61"/>
    </row>
    <row r="217" spans="1:18" ht="20.100000000000001" customHeight="1" x14ac:dyDescent="0.25">
      <c r="A217" s="54" t="s">
        <v>48</v>
      </c>
      <c r="B217" s="54"/>
      <c r="C217" s="54"/>
      <c r="D217" s="54"/>
      <c r="E217" s="62">
        <f>VLOOKUP(G205,X202:AB203,5,0)</f>
        <v>5</v>
      </c>
      <c r="F217" s="62"/>
      <c r="G217" s="62"/>
      <c r="H217" s="62"/>
    </row>
    <row r="218" spans="1:18" ht="20.100000000000001" customHeight="1" x14ac:dyDescent="0.25">
      <c r="A218" s="54" t="s">
        <v>30</v>
      </c>
      <c r="B218" s="54"/>
      <c r="C218" s="54"/>
      <c r="D218" s="54"/>
      <c r="E218" s="63">
        <v>0.8</v>
      </c>
      <c r="F218" s="63"/>
      <c r="G218" s="63"/>
      <c r="H218" s="63"/>
    </row>
    <row r="219" spans="1:18" ht="20.100000000000001" customHeight="1" x14ac:dyDescent="0.25">
      <c r="A219" s="54" t="s">
        <v>75</v>
      </c>
      <c r="B219" s="54"/>
      <c r="C219" s="54"/>
      <c r="D219" s="54"/>
      <c r="E219" s="72">
        <f>_xlfn.T.INV.2T(1-E218,E217-1)</f>
        <v>1.5332062740589445</v>
      </c>
      <c r="F219" s="72"/>
      <c r="G219" s="72"/>
      <c r="H219" s="72"/>
    </row>
    <row r="220" spans="1:18" ht="20.100000000000001" customHeight="1" x14ac:dyDescent="0.25">
      <c r="A220" s="53"/>
      <c r="B220" s="53"/>
      <c r="C220" s="53"/>
      <c r="D220" s="53"/>
      <c r="E220" s="73"/>
      <c r="F220" s="73"/>
      <c r="G220" s="73"/>
      <c r="H220" s="73"/>
    </row>
    <row r="222" spans="1:18" ht="20.100000000000001" customHeight="1" x14ac:dyDescent="0.25">
      <c r="A222" s="47" t="s">
        <v>12</v>
      </c>
      <c r="B222" s="47"/>
      <c r="C222" s="47"/>
      <c r="D222" s="47"/>
      <c r="E222" s="51">
        <f>E215-(_xlfn.CONFIDENCE.T(1-E218,E216,E217))</f>
        <v>107871.76237348297</v>
      </c>
      <c r="F222" s="52"/>
      <c r="G222" s="52"/>
      <c r="H222" s="52"/>
      <c r="K222" s="47" t="s">
        <v>32</v>
      </c>
      <c r="L222" s="47"/>
      <c r="M222" s="47"/>
      <c r="N222" s="47"/>
      <c r="O222" s="51">
        <f>E223-E222</f>
        <v>97493.449018358267</v>
      </c>
      <c r="P222" s="52"/>
      <c r="Q222" s="52"/>
      <c r="R222" s="52"/>
    </row>
    <row r="223" spans="1:18" ht="20.100000000000001" customHeight="1" x14ac:dyDescent="0.25">
      <c r="A223" s="47" t="s">
        <v>13</v>
      </c>
      <c r="B223" s="47"/>
      <c r="C223" s="47"/>
      <c r="D223" s="47"/>
      <c r="E223" s="51">
        <f>E215+(_xlfn.CONFIDENCE.T(1-E218,E216,E217))</f>
        <v>205365.21139184124</v>
      </c>
      <c r="F223" s="52"/>
      <c r="G223" s="52"/>
      <c r="H223" s="52"/>
      <c r="K223" s="47" t="s">
        <v>10</v>
      </c>
      <c r="L223" s="47"/>
      <c r="M223" s="47"/>
      <c r="N223" s="47"/>
      <c r="O223" s="51">
        <f>E215</f>
        <v>156618.48688266211</v>
      </c>
      <c r="P223" s="52"/>
      <c r="Q223" s="52"/>
      <c r="R223" s="52"/>
    </row>
    <row r="224" spans="1:18" ht="20.100000000000001" customHeight="1" x14ac:dyDescent="0.25">
      <c r="K224" s="47" t="s">
        <v>33</v>
      </c>
      <c r="L224" s="47"/>
      <c r="M224" s="47"/>
      <c r="N224" s="47"/>
      <c r="O224" s="68">
        <f>O222/O223</f>
        <v>0.62249004545293518</v>
      </c>
      <c r="P224" s="68"/>
      <c r="Q224" s="68"/>
      <c r="R224" s="68"/>
    </row>
    <row r="227" spans="1:18" ht="20.100000000000001" customHeight="1" x14ac:dyDescent="0.25">
      <c r="A227" s="56" t="s">
        <v>69</v>
      </c>
      <c r="B227" s="56"/>
      <c r="C227" s="56"/>
      <c r="D227" s="56"/>
      <c r="E227" s="56"/>
      <c r="F227" s="56"/>
      <c r="G227" s="56"/>
      <c r="H227" s="56"/>
      <c r="I227" s="56"/>
      <c r="J227" s="56"/>
      <c r="K227" s="56"/>
      <c r="L227" s="56"/>
      <c r="M227" s="56"/>
      <c r="N227" s="56"/>
      <c r="O227" s="56"/>
      <c r="P227" s="56"/>
      <c r="Q227" s="56"/>
      <c r="R227" s="56"/>
    </row>
    <row r="229" spans="1:18" ht="20.100000000000001" customHeight="1" x14ac:dyDescent="0.25">
      <c r="A229" s="64" t="s">
        <v>34</v>
      </c>
      <c r="B229" s="64"/>
      <c r="C229" s="64"/>
      <c r="D229" s="64"/>
      <c r="E229" s="65" t="s">
        <v>30</v>
      </c>
      <c r="F229" s="64"/>
      <c r="G229" s="64"/>
      <c r="H229" s="64"/>
      <c r="I229" s="65" t="s">
        <v>71</v>
      </c>
      <c r="J229" s="64"/>
      <c r="K229" s="64"/>
      <c r="L229" s="64"/>
      <c r="M229" s="65" t="s">
        <v>46</v>
      </c>
      <c r="N229" s="64"/>
      <c r="O229" s="64"/>
      <c r="P229" s="64"/>
    </row>
    <row r="230" spans="1:18" ht="20.100000000000001" customHeight="1" x14ac:dyDescent="0.25">
      <c r="A230" s="47" t="s">
        <v>35</v>
      </c>
      <c r="B230" s="47"/>
      <c r="C230" s="47"/>
      <c r="D230" s="47"/>
      <c r="E230" s="51">
        <f>E222</f>
        <v>107871.76237348297</v>
      </c>
      <c r="F230" s="52"/>
      <c r="G230" s="52"/>
      <c r="H230" s="52"/>
      <c r="I230" s="51">
        <f>E215*(1-0.15)</f>
        <v>133125.71385026278</v>
      </c>
      <c r="J230" s="52"/>
      <c r="K230" s="52"/>
      <c r="L230" s="52"/>
      <c r="M230" s="51">
        <f>MAX(E230:L230)</f>
        <v>133125.71385026278</v>
      </c>
      <c r="N230" s="52"/>
      <c r="O230" s="52"/>
      <c r="P230" s="52"/>
    </row>
    <row r="231" spans="1:18" ht="20.100000000000001" customHeight="1" x14ac:dyDescent="0.25">
      <c r="A231" s="47" t="s">
        <v>36</v>
      </c>
      <c r="B231" s="47"/>
      <c r="C231" s="47"/>
      <c r="D231" s="47"/>
      <c r="E231" s="51">
        <f>E223</f>
        <v>205365.21139184124</v>
      </c>
      <c r="F231" s="52"/>
      <c r="G231" s="52"/>
      <c r="H231" s="52"/>
      <c r="I231" s="51">
        <f>E215*(1+0.15)</f>
        <v>180111.25991506141</v>
      </c>
      <c r="J231" s="52"/>
      <c r="K231" s="52"/>
      <c r="L231" s="52"/>
      <c r="M231" s="51">
        <f>MIN(E231:L231)</f>
        <v>180111.25991506141</v>
      </c>
      <c r="N231" s="52"/>
      <c r="O231" s="52"/>
      <c r="P231" s="52"/>
    </row>
    <row r="234" spans="1:18" ht="20.100000000000001" customHeight="1" x14ac:dyDescent="0.25">
      <c r="A234" s="66" t="s">
        <v>67</v>
      </c>
      <c r="B234" s="66"/>
      <c r="C234" s="66"/>
      <c r="D234" s="66"/>
      <c r="E234" s="66"/>
      <c r="F234" s="66"/>
      <c r="G234" s="66"/>
      <c r="H234" s="66"/>
      <c r="I234" s="66"/>
      <c r="J234" s="66"/>
      <c r="K234" s="66"/>
      <c r="L234" s="66"/>
      <c r="M234" s="66"/>
      <c r="N234" s="66"/>
      <c r="O234" s="66"/>
      <c r="P234" s="66"/>
      <c r="Q234" s="66"/>
      <c r="R234" s="66"/>
    </row>
    <row r="235" spans="1:18" ht="20.100000000000001" customHeight="1" x14ac:dyDescent="0.25">
      <c r="A235" s="66"/>
      <c r="B235" s="66"/>
      <c r="C235" s="66"/>
      <c r="D235" s="66"/>
      <c r="E235" s="66"/>
      <c r="F235" s="66"/>
      <c r="G235" s="66"/>
      <c r="H235" s="66"/>
      <c r="I235" s="66"/>
      <c r="J235" s="66"/>
      <c r="K235" s="66"/>
      <c r="L235" s="66"/>
      <c r="M235" s="66"/>
      <c r="N235" s="66"/>
      <c r="O235" s="66"/>
      <c r="P235" s="66"/>
      <c r="Q235" s="66"/>
      <c r="R235" s="66"/>
    </row>
    <row r="237" spans="1:18" ht="20.100000000000001" customHeight="1" x14ac:dyDescent="0.25">
      <c r="D237" s="44" t="s">
        <v>63</v>
      </c>
      <c r="E237" s="44" t="s">
        <v>88</v>
      </c>
      <c r="F237" s="44"/>
      <c r="G237" s="44"/>
      <c r="I237" s="44" t="s">
        <v>79</v>
      </c>
      <c r="J237" s="44"/>
      <c r="K237" s="44"/>
      <c r="M237" s="44" t="s">
        <v>66</v>
      </c>
      <c r="N237" s="44"/>
      <c r="O237" s="44"/>
    </row>
    <row r="238" spans="1:18" s="2" customFormat="1" ht="20.100000000000001" customHeight="1" x14ac:dyDescent="0.25">
      <c r="A238" s="9"/>
      <c r="B238" s="9"/>
      <c r="C238" s="9"/>
      <c r="D238" s="44"/>
      <c r="E238" s="44"/>
      <c r="F238" s="44"/>
      <c r="G238" s="44"/>
      <c r="H238" s="9"/>
      <c r="I238" s="44"/>
      <c r="J238" s="44"/>
      <c r="K238" s="44"/>
      <c r="L238" s="9"/>
      <c r="M238" s="44" t="s">
        <v>68</v>
      </c>
      <c r="N238" s="44"/>
      <c r="O238" s="44"/>
      <c r="P238" s="9"/>
      <c r="Q238" s="9"/>
      <c r="R238" s="9"/>
    </row>
    <row r="239" spans="1:18" s="2" customFormat="1" ht="20.100000000000001" customHeight="1" x14ac:dyDescent="0.25">
      <c r="A239" s="9"/>
      <c r="B239" s="9"/>
      <c r="C239" s="9"/>
      <c r="D239" s="14">
        <f>A10</f>
        <v>1</v>
      </c>
      <c r="E239" s="45">
        <f>H10</f>
        <v>285714.28571428574</v>
      </c>
      <c r="F239" s="45"/>
      <c r="G239" s="45"/>
      <c r="H239" s="9"/>
      <c r="I239" s="45">
        <f>O35</f>
        <v>257142.85714285713</v>
      </c>
      <c r="J239" s="45"/>
      <c r="K239" s="45"/>
      <c r="L239" s="9"/>
      <c r="M239" s="43" t="str">
        <f>IF(AND(($I239/E239)&gt;=0.5,($I239/E239)&lt;=2),"Aceito","Rejeitado")</f>
        <v>Aceito</v>
      </c>
      <c r="N239" s="43"/>
      <c r="O239" s="43"/>
      <c r="P239" s="9"/>
      <c r="Q239" s="9"/>
      <c r="R239" s="9"/>
    </row>
    <row r="240" spans="1:18" s="2" customFormat="1" ht="20.100000000000001" customHeight="1" x14ac:dyDescent="0.25">
      <c r="A240" s="9"/>
      <c r="B240" s="9"/>
      <c r="C240" s="9"/>
      <c r="D240" s="21">
        <f>A11</f>
        <v>2</v>
      </c>
      <c r="E240" s="45">
        <f>H11</f>
        <v>199521.14924181963</v>
      </c>
      <c r="F240" s="45"/>
      <c r="G240" s="45"/>
      <c r="H240" s="9"/>
      <c r="I240" s="45">
        <f>O36</f>
        <v>170590.58260175577</v>
      </c>
      <c r="J240" s="45"/>
      <c r="K240" s="45"/>
      <c r="L240" s="9"/>
      <c r="M240" s="43" t="str">
        <f t="shared" ref="M240:M243" si="17">IF(AND(($I240/E240)&gt;=0.5,($I240/E240)&lt;=2),"Aceito","Rejeitado")</f>
        <v>Aceito</v>
      </c>
      <c r="N240" s="43"/>
      <c r="O240" s="43"/>
      <c r="P240" s="9"/>
      <c r="Q240" s="9"/>
      <c r="R240" s="9"/>
    </row>
    <row r="241" spans="1:21" s="2" customFormat="1" ht="20.100000000000001" customHeight="1" x14ac:dyDescent="0.25">
      <c r="A241" s="9"/>
      <c r="B241" s="9"/>
      <c r="C241" s="9"/>
      <c r="D241" s="21">
        <f>A12</f>
        <v>3</v>
      </c>
      <c r="E241" s="45">
        <f>H12</f>
        <v>98666.666666666672</v>
      </c>
      <c r="F241" s="45"/>
      <c r="G241" s="45"/>
      <c r="H241" s="9"/>
      <c r="I241" s="45">
        <f>O37</f>
        <v>57719.999999999985</v>
      </c>
      <c r="J241" s="45"/>
      <c r="K241" s="45"/>
      <c r="L241" s="9"/>
      <c r="M241" s="43" t="str">
        <f t="shared" si="17"/>
        <v>Aceito</v>
      </c>
      <c r="N241" s="43"/>
      <c r="O241" s="43"/>
      <c r="P241" s="9"/>
      <c r="Q241" s="9"/>
      <c r="R241" s="9"/>
      <c r="S241" s="1"/>
      <c r="T241" s="1"/>
      <c r="U241" s="1"/>
    </row>
    <row r="242" spans="1:21" s="2" customFormat="1" ht="20.100000000000001" customHeight="1" x14ac:dyDescent="0.25">
      <c r="A242" s="9"/>
      <c r="B242" s="9"/>
      <c r="C242" s="9"/>
      <c r="D242" s="21">
        <f>A13</f>
        <v>4</v>
      </c>
      <c r="E242" s="45">
        <f>H13</f>
        <v>170940.17094017094</v>
      </c>
      <c r="F242" s="45"/>
      <c r="G242" s="45"/>
      <c r="H242" s="9"/>
      <c r="I242" s="45">
        <f>O38</f>
        <v>146153.84615384613</v>
      </c>
      <c r="J242" s="45"/>
      <c r="K242" s="45"/>
      <c r="L242" s="9"/>
      <c r="M242" s="43" t="str">
        <f t="shared" si="17"/>
        <v>Aceito</v>
      </c>
      <c r="N242" s="43"/>
      <c r="O242" s="43"/>
      <c r="P242" s="9"/>
      <c r="Q242" s="9"/>
      <c r="R242" s="9"/>
      <c r="S242" s="1"/>
      <c r="T242" s="1"/>
      <c r="U242" s="1"/>
    </row>
    <row r="243" spans="1:21" s="2" customFormat="1" ht="20.100000000000001" customHeight="1" x14ac:dyDescent="0.25">
      <c r="A243" s="9"/>
      <c r="B243" s="9"/>
      <c r="C243" s="9"/>
      <c r="D243" s="21">
        <f>A14</f>
        <v>5</v>
      </c>
      <c r="E243" s="45">
        <f>H14</f>
        <v>187018.70187018701</v>
      </c>
      <c r="F243" s="45"/>
      <c r="G243" s="45"/>
      <c r="H243" s="9"/>
      <c r="I243" s="45">
        <f>O39</f>
        <v>151485.14851485143</v>
      </c>
      <c r="J243" s="45"/>
      <c r="K243" s="45"/>
      <c r="L243" s="9"/>
      <c r="M243" s="43" t="str">
        <f t="shared" si="17"/>
        <v>Aceito</v>
      </c>
      <c r="N243" s="43"/>
      <c r="O243" s="43"/>
      <c r="P243" s="9"/>
      <c r="Q243" s="9"/>
      <c r="R243" s="9"/>
      <c r="S243" s="1"/>
      <c r="T243" s="1"/>
      <c r="U243" s="1"/>
    </row>
    <row r="246" spans="1:21" s="2" customFormat="1" ht="20.100000000000001" customHeight="1" x14ac:dyDescent="0.25">
      <c r="A246" s="90" t="s">
        <v>37</v>
      </c>
      <c r="B246" s="90"/>
      <c r="C246" s="90"/>
      <c r="D246" s="90"/>
      <c r="E246" s="90"/>
      <c r="F246" s="90"/>
      <c r="G246" s="90"/>
      <c r="H246" s="90"/>
      <c r="I246" s="90"/>
      <c r="J246" s="90"/>
      <c r="K246" s="90"/>
      <c r="L246" s="90"/>
      <c r="M246" s="90"/>
      <c r="N246" s="90"/>
      <c r="O246" s="90"/>
      <c r="P246" s="90"/>
      <c r="Q246" s="90"/>
      <c r="R246" s="90"/>
      <c r="S246" s="1"/>
      <c r="T246" s="1"/>
      <c r="U246" s="1"/>
    </row>
    <row r="248" spans="1:21" ht="20.100000000000001" customHeight="1" x14ac:dyDescent="0.25">
      <c r="A248" s="47" t="s">
        <v>70</v>
      </c>
      <c r="B248" s="47"/>
      <c r="C248" s="47"/>
      <c r="D248" s="47"/>
      <c r="E248" s="47"/>
      <c r="F248" s="47"/>
      <c r="G248" s="47"/>
      <c r="H248" s="47"/>
      <c r="I248" s="47"/>
      <c r="J248" s="47"/>
      <c r="K248" s="47"/>
      <c r="L248" s="47"/>
      <c r="M248" s="51">
        <v>7.5</v>
      </c>
      <c r="N248" s="51"/>
      <c r="O248" s="51"/>
      <c r="P248" s="51"/>
      <c r="Q248" s="51"/>
      <c r="R248" s="51"/>
    </row>
    <row r="249" spans="1:21" ht="20.100000000000001" customHeight="1" x14ac:dyDescent="0.25">
      <c r="A249" s="47" t="s">
        <v>80</v>
      </c>
      <c r="B249" s="47"/>
      <c r="C249" s="47"/>
      <c r="D249" s="47"/>
      <c r="E249" s="47"/>
      <c r="F249" s="47"/>
      <c r="G249" s="47"/>
      <c r="H249" s="47"/>
      <c r="I249" s="47"/>
      <c r="J249" s="47"/>
      <c r="K249" s="47"/>
      <c r="L249" s="47"/>
      <c r="M249" s="51">
        <f>E215</f>
        <v>156618.48688266211</v>
      </c>
      <c r="N249" s="51"/>
      <c r="O249" s="51"/>
      <c r="P249" s="51"/>
      <c r="Q249" s="51"/>
      <c r="R249" s="51"/>
    </row>
    <row r="250" spans="1:21" ht="20.100000000000001" customHeight="1" x14ac:dyDescent="0.25">
      <c r="A250" s="47" t="s">
        <v>62</v>
      </c>
      <c r="B250" s="47"/>
      <c r="C250" s="47"/>
      <c r="D250" s="47"/>
      <c r="E250" s="47"/>
      <c r="F250" s="47"/>
      <c r="G250" s="47"/>
      <c r="H250" s="47"/>
      <c r="I250" s="47"/>
      <c r="J250" s="47"/>
      <c r="K250" s="47"/>
      <c r="L250" s="47"/>
      <c r="M250" s="51">
        <f>M248*M249</f>
        <v>1174638.6516199659</v>
      </c>
      <c r="N250" s="51"/>
      <c r="O250" s="51"/>
      <c r="P250" s="51"/>
      <c r="Q250" s="51"/>
      <c r="R250" s="51"/>
    </row>
    <row r="252" spans="1:21" ht="20.100000000000001" customHeight="1" x14ac:dyDescent="0.25">
      <c r="A252" s="84" t="s">
        <v>38</v>
      </c>
      <c r="B252" s="84"/>
      <c r="C252" s="84"/>
      <c r="D252" s="84"/>
      <c r="E252" s="84"/>
      <c r="F252" s="84"/>
      <c r="G252" s="84"/>
      <c r="H252" s="84"/>
      <c r="I252" s="84"/>
      <c r="J252" s="84"/>
      <c r="K252" s="84"/>
      <c r="L252" s="84"/>
      <c r="M252" s="53"/>
      <c r="N252" s="53"/>
      <c r="O252" s="53"/>
      <c r="P252" s="53"/>
      <c r="Q252" s="53"/>
      <c r="R252" s="53"/>
    </row>
    <row r="253" spans="1:21" ht="20.100000000000001" customHeight="1" x14ac:dyDescent="0.25">
      <c r="A253" s="47" t="s">
        <v>39</v>
      </c>
      <c r="B253" s="47"/>
      <c r="C253" s="47"/>
      <c r="D253" s="47"/>
      <c r="E253" s="47"/>
      <c r="F253" s="47"/>
      <c r="G253" s="47"/>
      <c r="H253" s="47"/>
      <c r="I253" s="47"/>
      <c r="J253" s="47"/>
      <c r="K253" s="47"/>
      <c r="L253" s="47"/>
      <c r="M253" s="74">
        <v>3</v>
      </c>
      <c r="N253" s="74"/>
      <c r="O253" s="74"/>
      <c r="P253" s="74"/>
      <c r="Q253" s="74"/>
      <c r="R253" s="74"/>
      <c r="S253" s="89" t="str">
        <f>IF(M255&gt;0.01,"Reduzir o número de casas decimais","")</f>
        <v/>
      </c>
      <c r="T253" s="89"/>
      <c r="U253" s="89"/>
    </row>
    <row r="254" spans="1:21" ht="20.100000000000001" customHeight="1" x14ac:dyDescent="0.25">
      <c r="A254" s="54" t="s">
        <v>40</v>
      </c>
      <c r="B254" s="54"/>
      <c r="C254" s="54"/>
      <c r="D254" s="54"/>
      <c r="E254" s="54"/>
      <c r="F254" s="54"/>
      <c r="G254" s="54"/>
      <c r="H254" s="54"/>
      <c r="I254" s="54"/>
      <c r="J254" s="54"/>
      <c r="K254" s="54"/>
      <c r="L254" s="54"/>
      <c r="M254" s="48">
        <f>M257-M250</f>
        <v>361.34838003409095</v>
      </c>
      <c r="N254" s="54"/>
      <c r="O254" s="54"/>
      <c r="P254" s="54"/>
      <c r="Q254" s="54"/>
      <c r="R254" s="54"/>
    </row>
    <row r="255" spans="1:21" ht="20.100000000000001" customHeight="1" x14ac:dyDescent="0.25">
      <c r="A255" s="54" t="s">
        <v>41</v>
      </c>
      <c r="B255" s="54"/>
      <c r="C255" s="54"/>
      <c r="D255" s="54"/>
      <c r="E255" s="54"/>
      <c r="F255" s="54"/>
      <c r="G255" s="54"/>
      <c r="H255" s="54"/>
      <c r="I255" s="54"/>
      <c r="J255" s="54"/>
      <c r="K255" s="54"/>
      <c r="L255" s="54"/>
      <c r="M255" s="85">
        <f>M254/M250</f>
        <v>3.076251403235784E-4</v>
      </c>
      <c r="N255" s="85"/>
      <c r="O255" s="85"/>
      <c r="P255" s="85"/>
      <c r="Q255" s="85"/>
      <c r="R255" s="85"/>
    </row>
    <row r="257" spans="1:18" ht="20.100000000000001" customHeight="1" x14ac:dyDescent="0.25">
      <c r="A257" s="86" t="s">
        <v>37</v>
      </c>
      <c r="B257" s="86"/>
      <c r="C257" s="86"/>
      <c r="D257" s="86"/>
      <c r="E257" s="86"/>
      <c r="F257" s="86"/>
      <c r="G257" s="86"/>
      <c r="H257" s="86"/>
      <c r="I257" s="86"/>
      <c r="J257" s="86"/>
      <c r="K257" s="86"/>
      <c r="L257" s="86"/>
      <c r="M257" s="87">
        <f>ROUNDUP(M250,-M253)</f>
        <v>1175000</v>
      </c>
      <c r="N257" s="87"/>
      <c r="O257" s="87"/>
      <c r="P257" s="87"/>
      <c r="Q257" s="87"/>
      <c r="R257" s="87"/>
    </row>
    <row r="260" spans="1:18" ht="20.100000000000001" customHeight="1" x14ac:dyDescent="0.25">
      <c r="A260" s="83"/>
      <c r="B260" s="83"/>
      <c r="C260" s="83"/>
      <c r="D260" s="83"/>
      <c r="E260" s="83"/>
      <c r="F260" s="83"/>
      <c r="G260" s="83"/>
      <c r="H260" s="83"/>
      <c r="I260" s="83"/>
      <c r="J260" s="83"/>
      <c r="K260" s="83"/>
      <c r="L260" s="83"/>
      <c r="M260" s="83"/>
      <c r="N260" s="83"/>
      <c r="O260" s="83"/>
      <c r="P260" s="83"/>
      <c r="Q260" s="83"/>
      <c r="R260" s="83"/>
    </row>
    <row r="261" spans="1:18" ht="20.100000000000001" customHeight="1" x14ac:dyDescent="0.25">
      <c r="A261" s="83" t="s">
        <v>43</v>
      </c>
      <c r="B261" s="83"/>
      <c r="C261" s="83"/>
      <c r="D261" s="83"/>
      <c r="E261" s="83"/>
      <c r="F261" s="83"/>
      <c r="G261" s="83"/>
      <c r="H261" s="83"/>
      <c r="I261" s="83"/>
      <c r="J261" s="83"/>
      <c r="K261" s="83"/>
      <c r="L261" s="83"/>
      <c r="M261" s="83"/>
      <c r="N261" s="83"/>
      <c r="O261" s="83"/>
      <c r="P261" s="83"/>
      <c r="Q261" s="83"/>
      <c r="R261" s="83"/>
    </row>
    <row r="262" spans="1:18" ht="20.100000000000001" customHeight="1" x14ac:dyDescent="0.25">
      <c r="A262" s="83" t="s">
        <v>42</v>
      </c>
      <c r="B262" s="83"/>
      <c r="C262" s="83"/>
      <c r="D262" s="83"/>
      <c r="E262" s="83"/>
      <c r="F262" s="83"/>
      <c r="G262" s="83"/>
      <c r="H262" s="83"/>
      <c r="I262" s="83"/>
      <c r="J262" s="83"/>
      <c r="K262" s="83"/>
      <c r="L262" s="83"/>
      <c r="M262" s="83"/>
      <c r="N262" s="83"/>
      <c r="O262" s="83"/>
      <c r="P262" s="83"/>
      <c r="Q262" s="83"/>
      <c r="R262" s="83"/>
    </row>
  </sheetData>
  <sheetProtection formatCells="0"/>
  <mergeCells count="275">
    <mergeCell ref="A5:R5"/>
    <mergeCell ref="A6:R6"/>
    <mergeCell ref="A7:R7"/>
    <mergeCell ref="B9:D9"/>
    <mergeCell ref="E9:G9"/>
    <mergeCell ref="H9:J9"/>
    <mergeCell ref="K9:M9"/>
    <mergeCell ref="N9:O9"/>
    <mergeCell ref="P9:R9"/>
    <mergeCell ref="B11:D11"/>
    <mergeCell ref="E11:G11"/>
    <mergeCell ref="H11:J11"/>
    <mergeCell ref="K11:M11"/>
    <mergeCell ref="N11:O11"/>
    <mergeCell ref="P11:R11"/>
    <mergeCell ref="T9:U9"/>
    <mergeCell ref="B10:D10"/>
    <mergeCell ref="E10:G10"/>
    <mergeCell ref="H10:J10"/>
    <mergeCell ref="K10:M10"/>
    <mergeCell ref="N10:O10"/>
    <mergeCell ref="P10:R10"/>
    <mergeCell ref="B13:D13"/>
    <mergeCell ref="E13:G13"/>
    <mergeCell ref="H13:J13"/>
    <mergeCell ref="K13:M13"/>
    <mergeCell ref="N13:O13"/>
    <mergeCell ref="P13:R13"/>
    <mergeCell ref="B12:D12"/>
    <mergeCell ref="E12:G12"/>
    <mergeCell ref="H12:J12"/>
    <mergeCell ref="K12:M12"/>
    <mergeCell ref="N12:O12"/>
    <mergeCell ref="P12:R12"/>
    <mergeCell ref="L16:O16"/>
    <mergeCell ref="P16:R16"/>
    <mergeCell ref="L17:O17"/>
    <mergeCell ref="P17:R17"/>
    <mergeCell ref="L18:O18"/>
    <mergeCell ref="P18:R18"/>
    <mergeCell ref="B14:D14"/>
    <mergeCell ref="E14:G14"/>
    <mergeCell ref="H14:J14"/>
    <mergeCell ref="K14:M14"/>
    <mergeCell ref="N14:O14"/>
    <mergeCell ref="P14:R14"/>
    <mergeCell ref="A26:G26"/>
    <mergeCell ref="H26:I26"/>
    <mergeCell ref="J26:N26"/>
    <mergeCell ref="O26:R26"/>
    <mergeCell ref="A27:G27"/>
    <mergeCell ref="H27:I27"/>
    <mergeCell ref="J27:N27"/>
    <mergeCell ref="O27:R27"/>
    <mergeCell ref="A21:R21"/>
    <mergeCell ref="A23:R23"/>
    <mergeCell ref="A25:G25"/>
    <mergeCell ref="H25:I25"/>
    <mergeCell ref="J25:N25"/>
    <mergeCell ref="O25:R25"/>
    <mergeCell ref="K34:L34"/>
    <mergeCell ref="M34:N34"/>
    <mergeCell ref="O34:R34"/>
    <mergeCell ref="B35:E35"/>
    <mergeCell ref="I35:J35"/>
    <mergeCell ref="K35:L35"/>
    <mergeCell ref="M35:N35"/>
    <mergeCell ref="O35:R35"/>
    <mergeCell ref="A30:D31"/>
    <mergeCell ref="E30:G30"/>
    <mergeCell ref="H30:I31"/>
    <mergeCell ref="H32:I32"/>
    <mergeCell ref="B34:E34"/>
    <mergeCell ref="I34:J34"/>
    <mergeCell ref="B36:E36"/>
    <mergeCell ref="I36:J36"/>
    <mergeCell ref="K36:L36"/>
    <mergeCell ref="M36:N36"/>
    <mergeCell ref="O36:R36"/>
    <mergeCell ref="B37:E37"/>
    <mergeCell ref="I37:J37"/>
    <mergeCell ref="K37:L37"/>
    <mergeCell ref="M37:N37"/>
    <mergeCell ref="O37:R37"/>
    <mergeCell ref="B39:E39"/>
    <mergeCell ref="I39:J39"/>
    <mergeCell ref="K39:L39"/>
    <mergeCell ref="M39:N39"/>
    <mergeCell ref="O39:R39"/>
    <mergeCell ref="L41:O41"/>
    <mergeCell ref="P41:R41"/>
    <mergeCell ref="B38:E38"/>
    <mergeCell ref="I38:J38"/>
    <mergeCell ref="K38:L38"/>
    <mergeCell ref="M38:N38"/>
    <mergeCell ref="O38:R38"/>
    <mergeCell ref="A58:R58"/>
    <mergeCell ref="A76:R76"/>
    <mergeCell ref="A94:R94"/>
    <mergeCell ref="A113:R113"/>
    <mergeCell ref="B115:F115"/>
    <mergeCell ref="L115:P115"/>
    <mergeCell ref="Q115:R115"/>
    <mergeCell ref="L42:O42"/>
    <mergeCell ref="P42:R42"/>
    <mergeCell ref="L43:O43"/>
    <mergeCell ref="P43:R43"/>
    <mergeCell ref="A46:R47"/>
    <mergeCell ref="A49:A50"/>
    <mergeCell ref="B49:D49"/>
    <mergeCell ref="F49:H49"/>
    <mergeCell ref="M49:O49"/>
    <mergeCell ref="B119:F119"/>
    <mergeCell ref="L119:O119"/>
    <mergeCell ref="L120:O120"/>
    <mergeCell ref="B116:F116"/>
    <mergeCell ref="L116:P116"/>
    <mergeCell ref="Q116:R116"/>
    <mergeCell ref="B117:F117"/>
    <mergeCell ref="B118:F118"/>
    <mergeCell ref="L118:O118"/>
    <mergeCell ref="L126:O126"/>
    <mergeCell ref="P126:R126"/>
    <mergeCell ref="B120:F120"/>
    <mergeCell ref="L129:O129"/>
    <mergeCell ref="P129:R129"/>
    <mergeCell ref="L123:O123"/>
    <mergeCell ref="L125:M125"/>
    <mergeCell ref="N125:O125"/>
    <mergeCell ref="P125:R125"/>
    <mergeCell ref="L121:O121"/>
    <mergeCell ref="L122:O122"/>
    <mergeCell ref="B156:F156"/>
    <mergeCell ref="L156:P156"/>
    <mergeCell ref="Q156:R156"/>
    <mergeCell ref="B157:F157"/>
    <mergeCell ref="L157:P157"/>
    <mergeCell ref="Q157:R157"/>
    <mergeCell ref="L130:O130"/>
    <mergeCell ref="P130:R130"/>
    <mergeCell ref="A153:R153"/>
    <mergeCell ref="B155:F155"/>
    <mergeCell ref="L155:P155"/>
    <mergeCell ref="Q155:R155"/>
    <mergeCell ref="B160:F160"/>
    <mergeCell ref="L163:O163"/>
    <mergeCell ref="P163:R163"/>
    <mergeCell ref="L164:O164"/>
    <mergeCell ref="P164:R164"/>
    <mergeCell ref="L161:O161"/>
    <mergeCell ref="P161:R161"/>
    <mergeCell ref="B158:F158"/>
    <mergeCell ref="L158:P158"/>
    <mergeCell ref="Q158:R158"/>
    <mergeCell ref="B159:F159"/>
    <mergeCell ref="L160:O160"/>
    <mergeCell ref="P160:R160"/>
    <mergeCell ref="L169:O169"/>
    <mergeCell ref="P169:R169"/>
    <mergeCell ref="L171:O171"/>
    <mergeCell ref="P171:R171"/>
    <mergeCell ref="L172:O172"/>
    <mergeCell ref="P172:R172"/>
    <mergeCell ref="L165:O165"/>
    <mergeCell ref="P165:R165"/>
    <mergeCell ref="L166:O166"/>
    <mergeCell ref="P166:R166"/>
    <mergeCell ref="L168:M168"/>
    <mergeCell ref="N168:O168"/>
    <mergeCell ref="P168:R168"/>
    <mergeCell ref="O203:R203"/>
    <mergeCell ref="A205:F205"/>
    <mergeCell ref="G205:L205"/>
    <mergeCell ref="A201:F201"/>
    <mergeCell ref="G201:J201"/>
    <mergeCell ref="K201:N201"/>
    <mergeCell ref="O201:R201"/>
    <mergeCell ref="A202:F202"/>
    <mergeCell ref="G202:J202"/>
    <mergeCell ref="K202:N202"/>
    <mergeCell ref="O202:R202"/>
    <mergeCell ref="A206:F206"/>
    <mergeCell ref="G206:L206"/>
    <mergeCell ref="A207:F207"/>
    <mergeCell ref="G207:L207"/>
    <mergeCell ref="A208:F208"/>
    <mergeCell ref="G208:L208"/>
    <mergeCell ref="A203:F203"/>
    <mergeCell ref="G203:J203"/>
    <mergeCell ref="K203:N203"/>
    <mergeCell ref="A217:D217"/>
    <mergeCell ref="E217:H217"/>
    <mergeCell ref="A218:D218"/>
    <mergeCell ref="E218:H218"/>
    <mergeCell ref="A219:D219"/>
    <mergeCell ref="E219:H219"/>
    <mergeCell ref="A211:R211"/>
    <mergeCell ref="A213:R213"/>
    <mergeCell ref="A215:D215"/>
    <mergeCell ref="E215:H215"/>
    <mergeCell ref="A216:D216"/>
    <mergeCell ref="E216:H216"/>
    <mergeCell ref="A223:D223"/>
    <mergeCell ref="E223:H223"/>
    <mergeCell ref="K223:N223"/>
    <mergeCell ref="O223:R223"/>
    <mergeCell ref="K224:N224"/>
    <mergeCell ref="O224:R224"/>
    <mergeCell ref="A220:D220"/>
    <mergeCell ref="E220:H220"/>
    <mergeCell ref="A222:D222"/>
    <mergeCell ref="E222:H222"/>
    <mergeCell ref="K222:N222"/>
    <mergeCell ref="O222:R222"/>
    <mergeCell ref="A227:R227"/>
    <mergeCell ref="A229:D229"/>
    <mergeCell ref="E229:H229"/>
    <mergeCell ref="I229:L229"/>
    <mergeCell ref="M229:P229"/>
    <mergeCell ref="A230:D230"/>
    <mergeCell ref="E230:H230"/>
    <mergeCell ref="I230:L230"/>
    <mergeCell ref="M230:P230"/>
    <mergeCell ref="I242:K242"/>
    <mergeCell ref="M242:O242"/>
    <mergeCell ref="E239:G239"/>
    <mergeCell ref="I239:K239"/>
    <mergeCell ref="M239:O239"/>
    <mergeCell ref="E240:G240"/>
    <mergeCell ref="I240:K240"/>
    <mergeCell ref="M240:O240"/>
    <mergeCell ref="A231:D231"/>
    <mergeCell ref="E231:H231"/>
    <mergeCell ref="I231:L231"/>
    <mergeCell ref="M231:P231"/>
    <mergeCell ref="A234:R235"/>
    <mergeCell ref="D237:D238"/>
    <mergeCell ref="E237:G238"/>
    <mergeCell ref="I237:K238"/>
    <mergeCell ref="M237:O237"/>
    <mergeCell ref="M238:O238"/>
    <mergeCell ref="S253:U253"/>
    <mergeCell ref="A254:L254"/>
    <mergeCell ref="M254:R254"/>
    <mergeCell ref="A246:R246"/>
    <mergeCell ref="A248:L248"/>
    <mergeCell ref="M248:R248"/>
    <mergeCell ref="A249:L249"/>
    <mergeCell ref="M249:R249"/>
    <mergeCell ref="A250:L250"/>
    <mergeCell ref="M250:R250"/>
    <mergeCell ref="A262:R262"/>
    <mergeCell ref="P118:R118"/>
    <mergeCell ref="P119:R119"/>
    <mergeCell ref="P120:R120"/>
    <mergeCell ref="P121:R121"/>
    <mergeCell ref="P122:R122"/>
    <mergeCell ref="P123:R123"/>
    <mergeCell ref="A255:L255"/>
    <mergeCell ref="M255:R255"/>
    <mergeCell ref="A257:L257"/>
    <mergeCell ref="M257:R257"/>
    <mergeCell ref="A260:R260"/>
    <mergeCell ref="A261:R261"/>
    <mergeCell ref="A252:L252"/>
    <mergeCell ref="M252:R252"/>
    <mergeCell ref="A253:L253"/>
    <mergeCell ref="M253:R253"/>
    <mergeCell ref="E243:G243"/>
    <mergeCell ref="I243:K243"/>
    <mergeCell ref="M243:O243"/>
    <mergeCell ref="E241:G241"/>
    <mergeCell ref="I241:K241"/>
    <mergeCell ref="M241:O241"/>
    <mergeCell ref="E242:G242"/>
  </mergeCells>
  <conditionalFormatting sqref="M51:O55 M239:O243">
    <cfRule type="containsText" dxfId="9" priority="1" operator="containsText" text="Rejeitado">
      <formula>NOT(ISERROR(SEARCH("Rejeitado",M51)))</formula>
    </cfRule>
  </conditionalFormatting>
  <conditionalFormatting sqref="M255:R255">
    <cfRule type="cellIs" dxfId="8" priority="5" operator="greaterThan">
      <formula>0.01</formula>
    </cfRule>
  </conditionalFormatting>
  <conditionalFormatting sqref="P126 P169">
    <cfRule type="containsText" dxfId="7" priority="3" operator="containsText" text="Encerrar">
      <formula>NOT(ISERROR(SEARCH("Encerrar",P126)))</formula>
    </cfRule>
    <cfRule type="containsText" dxfId="6" priority="4" operator="containsText" text="Continuar">
      <formula>NOT(ISERROR(SEARCH("Continuar",P126)))</formula>
    </cfRule>
  </conditionalFormatting>
  <conditionalFormatting sqref="S253:U253">
    <cfRule type="containsText" dxfId="5" priority="2" operator="containsText" text="Reduzir o número de casas decimais">
      <formula>NOT(ISERROR(SEARCH("Reduzir o número de casas decimais",S253)))</formula>
    </cfRule>
  </conditionalFormatting>
  <dataValidations count="1">
    <dataValidation type="list" allowBlank="1" showInputMessage="1" showErrorMessage="1" sqref="K10:K14" xr:uid="{AC9406D4-D339-4F91-9F83-81CFAC96ED8B}">
      <formula1>$T$11:$T$12</formula1>
    </dataValidation>
  </dataValidations>
  <printOptions horizontalCentered="1"/>
  <pageMargins left="0.25" right="0.25" top="0.75" bottom="0.75" header="0.3" footer="0.3"/>
  <pageSetup paperSize="9" scale="6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3E-625F-42CC-B5A6-5E79444EC09F}">
  <sheetPr>
    <pageSetUpPr fitToPage="1"/>
  </sheetPr>
  <dimension ref="A1:BF248"/>
  <sheetViews>
    <sheetView showGridLines="0" zoomScaleNormal="100" workbookViewId="0"/>
  </sheetViews>
  <sheetFormatPr defaultColWidth="4.75" defaultRowHeight="20.100000000000001" customHeight="1" x14ac:dyDescent="0.25"/>
  <cols>
    <col min="1" max="18" width="8.625" style="9" customWidth="1"/>
    <col min="19" max="21" width="25.625" style="38" customWidth="1"/>
    <col min="22" max="25" width="20.625" style="38" customWidth="1"/>
    <col min="26" max="42" width="20.625" style="39" customWidth="1"/>
    <col min="43" max="58" width="20.625" style="2" customWidth="1"/>
    <col min="59" max="128" width="4.75" style="1" customWidth="1"/>
    <col min="129" max="16384" width="4.75" style="1"/>
  </cols>
  <sheetData>
    <row r="1" spans="1:42" ht="140.1" customHeight="1" x14ac:dyDescent="0.25">
      <c r="A1" s="30"/>
      <c r="B1" s="30"/>
      <c r="C1" s="30"/>
      <c r="D1" s="30"/>
      <c r="E1" s="30"/>
      <c r="F1" s="30"/>
      <c r="G1" s="30"/>
      <c r="H1" s="30"/>
      <c r="I1" s="30"/>
      <c r="J1" s="30"/>
      <c r="K1" s="30"/>
      <c r="L1" s="30"/>
      <c r="M1" s="30"/>
      <c r="N1" s="30"/>
      <c r="O1" s="30"/>
      <c r="P1" s="30"/>
      <c r="Q1" s="30"/>
      <c r="R1" s="30"/>
    </row>
    <row r="2" spans="1:42" ht="5.0999999999999996" customHeight="1" x14ac:dyDescent="0.25"/>
    <row r="3" spans="1:42" ht="5.0999999999999996" customHeight="1" x14ac:dyDescent="0.25">
      <c r="A3" s="30"/>
      <c r="B3" s="30"/>
      <c r="C3" s="30"/>
      <c r="D3" s="30"/>
      <c r="E3" s="30"/>
      <c r="F3" s="30"/>
      <c r="G3" s="30"/>
      <c r="H3" s="30"/>
      <c r="I3" s="30"/>
      <c r="J3" s="30"/>
      <c r="K3" s="30"/>
      <c r="L3" s="30"/>
      <c r="M3" s="30"/>
      <c r="N3" s="30"/>
      <c r="O3" s="30"/>
      <c r="P3" s="30"/>
      <c r="Q3" s="30"/>
      <c r="R3" s="30"/>
    </row>
    <row r="5" spans="1:42" ht="20.100000000000001" customHeight="1" x14ac:dyDescent="0.25">
      <c r="A5" s="80" t="s">
        <v>89</v>
      </c>
      <c r="B5" s="80"/>
      <c r="C5" s="80"/>
      <c r="D5" s="80"/>
      <c r="E5" s="80"/>
      <c r="F5" s="80"/>
      <c r="G5" s="80"/>
      <c r="H5" s="80"/>
      <c r="I5" s="80"/>
      <c r="J5" s="80"/>
      <c r="K5" s="80"/>
      <c r="L5" s="80"/>
      <c r="M5" s="80"/>
      <c r="N5" s="80"/>
      <c r="O5" s="80"/>
      <c r="P5" s="80"/>
      <c r="Q5" s="80"/>
      <c r="R5" s="80"/>
    </row>
    <row r="6" spans="1:42" ht="20.100000000000001" customHeight="1" x14ac:dyDescent="0.25">
      <c r="A6" s="56" t="s">
        <v>49</v>
      </c>
      <c r="B6" s="56"/>
      <c r="C6" s="56"/>
      <c r="D6" s="56"/>
      <c r="E6" s="56"/>
      <c r="F6" s="56"/>
      <c r="G6" s="56"/>
      <c r="H6" s="56"/>
      <c r="I6" s="56"/>
      <c r="J6" s="56"/>
      <c r="K6" s="56"/>
      <c r="L6" s="56"/>
      <c r="M6" s="56"/>
      <c r="N6" s="56"/>
      <c r="O6" s="56"/>
      <c r="P6" s="56"/>
      <c r="Q6" s="56"/>
      <c r="R6" s="56"/>
    </row>
    <row r="7" spans="1:42" ht="20.100000000000001" customHeight="1" x14ac:dyDescent="0.25">
      <c r="A7" s="79" t="s">
        <v>90</v>
      </c>
      <c r="B7" s="79"/>
      <c r="C7" s="79"/>
      <c r="D7" s="79"/>
      <c r="E7" s="79"/>
      <c r="F7" s="79"/>
      <c r="G7" s="79"/>
      <c r="H7" s="79"/>
      <c r="I7" s="79"/>
      <c r="J7" s="79"/>
      <c r="K7" s="79"/>
      <c r="L7" s="79"/>
      <c r="M7" s="79"/>
      <c r="N7" s="79"/>
      <c r="O7" s="79"/>
      <c r="P7" s="79"/>
      <c r="Q7" s="79"/>
      <c r="R7" s="79"/>
    </row>
    <row r="9" spans="1:42" ht="39.950000000000003" customHeight="1" thickBot="1" x14ac:dyDescent="0.3">
      <c r="A9" s="31" t="s">
        <v>3</v>
      </c>
      <c r="B9" s="44" t="s">
        <v>84</v>
      </c>
      <c r="C9" s="44"/>
      <c r="D9" s="44"/>
      <c r="E9" s="44" t="s">
        <v>4</v>
      </c>
      <c r="F9" s="44"/>
      <c r="G9" s="44"/>
      <c r="H9" s="44" t="s">
        <v>85</v>
      </c>
      <c r="I9" s="44"/>
      <c r="J9" s="44"/>
      <c r="K9" s="44" t="s">
        <v>47</v>
      </c>
      <c r="L9" s="44"/>
      <c r="M9" s="44"/>
      <c r="N9" s="44" t="s">
        <v>0</v>
      </c>
      <c r="O9" s="44"/>
      <c r="P9" s="44" t="s">
        <v>86</v>
      </c>
      <c r="Q9" s="44"/>
      <c r="R9" s="44"/>
      <c r="T9" s="93" t="s">
        <v>0</v>
      </c>
      <c r="U9" s="93"/>
    </row>
    <row r="10" spans="1:42" ht="20.100000000000001" customHeight="1" x14ac:dyDescent="0.25">
      <c r="A10" s="10">
        <v>1</v>
      </c>
      <c r="B10" s="45">
        <v>1000000</v>
      </c>
      <c r="C10" s="45"/>
      <c r="D10" s="45"/>
      <c r="E10" s="45">
        <v>3.5</v>
      </c>
      <c r="F10" s="45"/>
      <c r="G10" s="45"/>
      <c r="H10" s="45">
        <f t="shared" ref="H10:H12" si="0">B10/E10</f>
        <v>285714.28571428574</v>
      </c>
      <c r="I10" s="45"/>
      <c r="J10" s="45"/>
      <c r="K10" s="47" t="s">
        <v>2</v>
      </c>
      <c r="L10" s="47"/>
      <c r="M10" s="47"/>
      <c r="N10" s="75">
        <f>VLOOKUP(K10,$T$11:$U$12,2,0)</f>
        <v>1</v>
      </c>
      <c r="O10" s="75"/>
      <c r="P10" s="45">
        <f>H10*N10</f>
        <v>285714.28571428574</v>
      </c>
      <c r="Q10" s="45"/>
      <c r="R10" s="45"/>
      <c r="T10" s="35" t="s">
        <v>50</v>
      </c>
      <c r="U10" s="35" t="s">
        <v>1</v>
      </c>
    </row>
    <row r="11" spans="1:42" ht="20.100000000000001" customHeight="1" x14ac:dyDescent="0.25">
      <c r="A11" s="10">
        <v>2</v>
      </c>
      <c r="B11" s="48">
        <v>2500000</v>
      </c>
      <c r="C11" s="48"/>
      <c r="D11" s="48"/>
      <c r="E11" s="48">
        <v>12.53</v>
      </c>
      <c r="F11" s="48"/>
      <c r="G11" s="48"/>
      <c r="H11" s="48">
        <f t="shared" si="0"/>
        <v>199521.14924181963</v>
      </c>
      <c r="I11" s="48"/>
      <c r="J11" s="48"/>
      <c r="K11" s="54" t="s">
        <v>2</v>
      </c>
      <c r="L11" s="54"/>
      <c r="M11" s="54"/>
      <c r="N11" s="58">
        <f>VLOOKUP(K11,$T$11:$U$12,2,0)</f>
        <v>1</v>
      </c>
      <c r="O11" s="58"/>
      <c r="P11" s="48">
        <f>H11*N11</f>
        <v>199521.14924181963</v>
      </c>
      <c r="Q11" s="48"/>
      <c r="R11" s="48"/>
      <c r="T11" s="36" t="s">
        <v>51</v>
      </c>
      <c r="U11" s="37">
        <v>0.9</v>
      </c>
    </row>
    <row r="12" spans="1:42" ht="20.100000000000001" customHeight="1" x14ac:dyDescent="0.25">
      <c r="A12" s="10">
        <v>3</v>
      </c>
      <c r="B12" s="48">
        <v>1700000</v>
      </c>
      <c r="C12" s="48"/>
      <c r="D12" s="48"/>
      <c r="E12" s="48">
        <v>9.09</v>
      </c>
      <c r="F12" s="48"/>
      <c r="G12" s="48"/>
      <c r="H12" s="48">
        <f t="shared" si="0"/>
        <v>187018.70187018701</v>
      </c>
      <c r="I12" s="48"/>
      <c r="J12" s="48"/>
      <c r="K12" s="54" t="s">
        <v>2</v>
      </c>
      <c r="L12" s="54"/>
      <c r="M12" s="54"/>
      <c r="N12" s="58">
        <f>VLOOKUP(K12,$T$11:$U$12,2,0)</f>
        <v>1</v>
      </c>
      <c r="O12" s="58"/>
      <c r="P12" s="48">
        <f t="shared" ref="P12" si="1">H12*N12</f>
        <v>187018.70187018701</v>
      </c>
      <c r="Q12" s="48"/>
      <c r="R12" s="48"/>
      <c r="T12" s="36" t="s">
        <v>2</v>
      </c>
      <c r="U12" s="37">
        <v>1</v>
      </c>
    </row>
    <row r="14" spans="1:42" ht="20.100000000000001" customHeight="1" x14ac:dyDescent="0.25">
      <c r="L14" s="47" t="s">
        <v>10</v>
      </c>
      <c r="M14" s="47"/>
      <c r="N14" s="47"/>
      <c r="O14" s="47"/>
      <c r="P14" s="45">
        <f>AVERAGE(P10:R12)</f>
        <v>224084.71227543079</v>
      </c>
      <c r="Q14" s="45"/>
      <c r="R14" s="45"/>
    </row>
    <row r="15" spans="1:42" s="2" customFormat="1" ht="20.100000000000001" customHeight="1" x14ac:dyDescent="0.25">
      <c r="A15" s="9"/>
      <c r="B15" s="9"/>
      <c r="C15" s="9"/>
      <c r="D15" s="9"/>
      <c r="E15" s="9"/>
      <c r="F15" s="9"/>
      <c r="G15" s="9"/>
      <c r="H15" s="9"/>
      <c r="I15" s="9"/>
      <c r="J15" s="9"/>
      <c r="K15" s="9"/>
      <c r="L15" s="53" t="s">
        <v>11</v>
      </c>
      <c r="M15" s="53"/>
      <c r="N15" s="53"/>
      <c r="O15" s="53"/>
      <c r="P15" s="45">
        <f>STDEVA(P10:R12)</f>
        <v>53737.612891358694</v>
      </c>
      <c r="Q15" s="45"/>
      <c r="R15" s="45"/>
      <c r="S15" s="38"/>
      <c r="T15" s="39"/>
      <c r="U15" s="39"/>
      <c r="V15" s="39"/>
      <c r="W15" s="39"/>
      <c r="X15" s="39"/>
      <c r="Y15" s="39"/>
      <c r="Z15" s="39"/>
      <c r="AA15" s="39"/>
      <c r="AB15" s="39"/>
      <c r="AC15" s="39"/>
      <c r="AD15" s="39"/>
      <c r="AE15" s="39"/>
      <c r="AF15" s="39"/>
      <c r="AG15" s="39"/>
      <c r="AH15" s="39"/>
      <c r="AI15" s="39"/>
      <c r="AJ15" s="39"/>
      <c r="AK15" s="39"/>
      <c r="AL15" s="39"/>
      <c r="AM15" s="39"/>
      <c r="AN15" s="39"/>
      <c r="AO15" s="39"/>
      <c r="AP15" s="39"/>
    </row>
    <row r="16" spans="1:42" s="2" customFormat="1" ht="20.100000000000001" customHeight="1" x14ac:dyDescent="0.25">
      <c r="A16" s="9"/>
      <c r="B16" s="9"/>
      <c r="C16" s="9"/>
      <c r="D16" s="9"/>
      <c r="E16" s="9"/>
      <c r="F16" s="9"/>
      <c r="G16" s="9"/>
      <c r="H16" s="9"/>
      <c r="I16" s="9"/>
      <c r="J16" s="9"/>
      <c r="K16" s="9"/>
      <c r="L16" s="54" t="s">
        <v>9</v>
      </c>
      <c r="M16" s="54"/>
      <c r="N16" s="54"/>
      <c r="O16" s="54"/>
      <c r="P16" s="55">
        <f>P15/P14</f>
        <v>0.23980936649220322</v>
      </c>
      <c r="Q16" s="55"/>
      <c r="R16" s="55"/>
      <c r="S16" s="38"/>
      <c r="T16" s="39"/>
      <c r="U16" s="39"/>
      <c r="V16" s="39"/>
      <c r="W16" s="39"/>
      <c r="X16" s="39"/>
      <c r="Y16" s="39"/>
      <c r="Z16" s="39"/>
      <c r="AA16" s="39"/>
      <c r="AB16" s="39"/>
      <c r="AC16" s="39"/>
      <c r="AD16" s="39"/>
      <c r="AE16" s="39"/>
      <c r="AF16" s="39"/>
      <c r="AG16" s="39"/>
      <c r="AH16" s="39"/>
      <c r="AI16" s="39"/>
      <c r="AJ16" s="39"/>
      <c r="AK16" s="39"/>
      <c r="AL16" s="39"/>
      <c r="AM16" s="39"/>
      <c r="AN16" s="39"/>
      <c r="AO16" s="39"/>
      <c r="AP16" s="39"/>
    </row>
    <row r="19" spans="1:42" s="2" customFormat="1" ht="20.100000000000001" customHeight="1" x14ac:dyDescent="0.25">
      <c r="A19" s="56" t="s">
        <v>6</v>
      </c>
      <c r="B19" s="56"/>
      <c r="C19" s="56"/>
      <c r="D19" s="56"/>
      <c r="E19" s="56"/>
      <c r="F19" s="56"/>
      <c r="G19" s="56"/>
      <c r="H19" s="56"/>
      <c r="I19" s="56"/>
      <c r="J19" s="56"/>
      <c r="K19" s="56"/>
      <c r="L19" s="56"/>
      <c r="M19" s="56"/>
      <c r="N19" s="56"/>
      <c r="O19" s="56"/>
      <c r="P19" s="56"/>
      <c r="Q19" s="56"/>
      <c r="R19" s="56"/>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row>
    <row r="21" spans="1:42" s="2" customFormat="1" ht="80.099999999999994" customHeight="1" x14ac:dyDescent="0.25">
      <c r="A21" s="57" t="s">
        <v>44</v>
      </c>
      <c r="B21" s="57"/>
      <c r="C21" s="57"/>
      <c r="D21" s="57"/>
      <c r="E21" s="57"/>
      <c r="F21" s="57"/>
      <c r="G21" s="57"/>
      <c r="H21" s="57"/>
      <c r="I21" s="57"/>
      <c r="J21" s="57"/>
      <c r="K21" s="57"/>
      <c r="L21" s="57"/>
      <c r="M21" s="57"/>
      <c r="N21" s="57"/>
      <c r="O21" s="57"/>
      <c r="P21" s="57"/>
      <c r="Q21" s="57"/>
      <c r="R21" s="57"/>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row>
    <row r="23" spans="1:42" s="2" customFormat="1" ht="20.100000000000001" customHeight="1" x14ac:dyDescent="0.25">
      <c r="A23" s="44" t="s">
        <v>5</v>
      </c>
      <c r="B23" s="44"/>
      <c r="C23" s="44"/>
      <c r="D23" s="44"/>
      <c r="E23" s="44"/>
      <c r="F23" s="44"/>
      <c r="G23" s="44"/>
      <c r="H23" s="44" t="s">
        <v>45</v>
      </c>
      <c r="I23" s="44"/>
      <c r="J23" s="44" t="s">
        <v>57</v>
      </c>
      <c r="K23" s="44"/>
      <c r="L23" s="44"/>
      <c r="M23" s="44"/>
      <c r="N23" s="44"/>
      <c r="O23" s="44" t="s">
        <v>56</v>
      </c>
      <c r="P23" s="44"/>
      <c r="Q23" s="44"/>
      <c r="R23" s="44"/>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row>
    <row r="24" spans="1:42" s="2" customFormat="1" ht="20.100000000000001" customHeight="1" x14ac:dyDescent="0.25">
      <c r="A24" s="54" t="s">
        <v>52</v>
      </c>
      <c r="B24" s="54"/>
      <c r="C24" s="54"/>
      <c r="D24" s="54"/>
      <c r="E24" s="54"/>
      <c r="F24" s="54"/>
      <c r="G24" s="54"/>
      <c r="H24" s="81" t="s">
        <v>72</v>
      </c>
      <c r="I24" s="81"/>
      <c r="J24" s="54" t="s">
        <v>53</v>
      </c>
      <c r="K24" s="54"/>
      <c r="L24" s="54"/>
      <c r="M24" s="54"/>
      <c r="N24" s="54"/>
      <c r="O24" s="48">
        <v>1</v>
      </c>
      <c r="P24" s="48"/>
      <c r="Q24" s="48"/>
      <c r="R24" s="48"/>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row>
    <row r="25" spans="1:42" s="2" customFormat="1" ht="20.100000000000001" customHeight="1" x14ac:dyDescent="0.25">
      <c r="A25" s="54" t="s">
        <v>54</v>
      </c>
      <c r="B25" s="54"/>
      <c r="C25" s="54"/>
      <c r="D25" s="54"/>
      <c r="E25" s="54"/>
      <c r="F25" s="54"/>
      <c r="G25" s="54"/>
      <c r="H25" s="82" t="s">
        <v>73</v>
      </c>
      <c r="I25" s="82"/>
      <c r="J25" s="54" t="s">
        <v>55</v>
      </c>
      <c r="K25" s="54"/>
      <c r="L25" s="54"/>
      <c r="M25" s="54"/>
      <c r="N25" s="54"/>
      <c r="O25" s="48">
        <v>1</v>
      </c>
      <c r="P25" s="48"/>
      <c r="Q25" s="48"/>
      <c r="R25" s="48"/>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row>
    <row r="28" spans="1:42" s="2" customFormat="1" ht="20.100000000000001" customHeight="1" x14ac:dyDescent="0.25">
      <c r="A28" s="46" t="s">
        <v>7</v>
      </c>
      <c r="B28" s="46"/>
      <c r="C28" s="46"/>
      <c r="D28" s="46"/>
      <c r="E28" s="46" t="s">
        <v>8</v>
      </c>
      <c r="F28" s="46"/>
      <c r="G28" s="46"/>
      <c r="H28" s="46" t="s">
        <v>59</v>
      </c>
      <c r="I28" s="46"/>
      <c r="J28" s="9"/>
      <c r="K28" s="9"/>
      <c r="L28" s="9"/>
      <c r="M28" s="9"/>
      <c r="N28" s="9"/>
      <c r="O28" s="9"/>
      <c r="P28" s="9"/>
      <c r="Q28" s="9"/>
      <c r="R28" s="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2" s="2" customFormat="1" ht="20.100000000000001" customHeight="1" x14ac:dyDescent="0.25">
      <c r="A29" s="46"/>
      <c r="B29" s="46"/>
      <c r="C29" s="46"/>
      <c r="D29" s="46"/>
      <c r="E29" s="11" t="s">
        <v>81</v>
      </c>
      <c r="F29" s="11" t="s">
        <v>82</v>
      </c>
      <c r="G29" s="11" t="s">
        <v>83</v>
      </c>
      <c r="H29" s="46"/>
      <c r="I29" s="46"/>
      <c r="J29" s="9"/>
      <c r="K29" s="9"/>
      <c r="L29" s="9"/>
      <c r="M29" s="9"/>
      <c r="N29" s="9"/>
      <c r="O29" s="9"/>
      <c r="P29" s="9"/>
      <c r="Q29" s="9"/>
      <c r="R29" s="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row>
    <row r="30" spans="1:42" s="2" customFormat="1" ht="20.100000000000001" customHeight="1" thickBot="1" x14ac:dyDescent="0.3">
      <c r="A30" s="12"/>
      <c r="B30" s="12"/>
      <c r="C30" s="12"/>
      <c r="D30" s="12"/>
      <c r="E30" s="13">
        <v>0.95</v>
      </c>
      <c r="F30" s="13">
        <v>0.95</v>
      </c>
      <c r="G30" s="13">
        <v>1</v>
      </c>
      <c r="H30" s="78">
        <f>SUM(E30:G30)-COUNT(E30:G30)+1</f>
        <v>0.89999999999999991</v>
      </c>
      <c r="I30" s="78"/>
      <c r="J30" s="9"/>
      <c r="K30" s="9"/>
      <c r="L30" s="9"/>
      <c r="M30" s="9"/>
      <c r="N30" s="9"/>
      <c r="O30" s="9"/>
      <c r="P30" s="9"/>
      <c r="Q30" s="9"/>
      <c r="R30" s="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row>
    <row r="31" spans="1:42" s="2" customFormat="1" ht="20.100000000000001" customHeight="1" x14ac:dyDescent="0.25">
      <c r="A31" s="9"/>
      <c r="B31" s="9"/>
      <c r="C31" s="9"/>
      <c r="D31" s="9"/>
      <c r="E31" s="9"/>
      <c r="F31" s="9"/>
      <c r="G31" s="9"/>
      <c r="H31" s="9"/>
      <c r="I31" s="9"/>
      <c r="J31" s="9"/>
      <c r="K31" s="9"/>
      <c r="L31" s="9"/>
      <c r="M31" s="9"/>
      <c r="N31" s="9"/>
      <c r="O31" s="9"/>
      <c r="P31" s="9"/>
      <c r="Q31" s="9"/>
      <c r="R31" s="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row>
    <row r="32" spans="1:42" s="2" customFormat="1" ht="39.950000000000003" customHeight="1" x14ac:dyDescent="0.25">
      <c r="A32" s="11" t="s">
        <v>3</v>
      </c>
      <c r="B32" s="46" t="str">
        <f>P9</f>
        <v>Preço unitário da terra nua ajustado ao fator de oferta</v>
      </c>
      <c r="C32" s="46"/>
      <c r="D32" s="46"/>
      <c r="E32" s="46"/>
      <c r="F32" s="11" t="s">
        <v>81</v>
      </c>
      <c r="G32" s="11" t="s">
        <v>82</v>
      </c>
      <c r="H32" s="11" t="s">
        <v>83</v>
      </c>
      <c r="I32" s="46" t="s">
        <v>58</v>
      </c>
      <c r="J32" s="46"/>
      <c r="K32" s="46" t="s">
        <v>59</v>
      </c>
      <c r="L32" s="46"/>
      <c r="M32" s="46" t="s">
        <v>5</v>
      </c>
      <c r="N32" s="46"/>
      <c r="O32" s="46" t="s">
        <v>87</v>
      </c>
      <c r="P32" s="46"/>
      <c r="Q32" s="46"/>
      <c r="R32" s="46"/>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row>
    <row r="33" spans="1:42" s="2" customFormat="1" ht="20.100000000000001" customHeight="1" x14ac:dyDescent="0.25">
      <c r="A33" s="14">
        <f>A10</f>
        <v>1</v>
      </c>
      <c r="B33" s="45">
        <f>P10</f>
        <v>285714.28571428574</v>
      </c>
      <c r="C33" s="45"/>
      <c r="D33" s="45"/>
      <c r="E33" s="45"/>
      <c r="F33" s="15">
        <v>1</v>
      </c>
      <c r="G33" s="15">
        <v>1</v>
      </c>
      <c r="H33" s="15">
        <v>1</v>
      </c>
      <c r="I33" s="45">
        <f>SUM(F33:G33)-COUNT(F33:G33)+1</f>
        <v>1</v>
      </c>
      <c r="J33" s="47"/>
      <c r="K33" s="45">
        <f>$H$30</f>
        <v>0.89999999999999991</v>
      </c>
      <c r="L33" s="47"/>
      <c r="M33" s="45">
        <f>K33*I33</f>
        <v>0.89999999999999991</v>
      </c>
      <c r="N33" s="47"/>
      <c r="O33" s="45">
        <f>B33*M33</f>
        <v>257142.85714285713</v>
      </c>
      <c r="P33" s="45"/>
      <c r="Q33" s="45"/>
      <c r="R33" s="45"/>
      <c r="S33" s="38"/>
      <c r="T33" s="39"/>
      <c r="U33" s="39"/>
      <c r="V33" s="39"/>
      <c r="W33" s="39"/>
      <c r="X33" s="39"/>
      <c r="Y33" s="39"/>
      <c r="Z33" s="39"/>
      <c r="AA33" s="39"/>
      <c r="AB33" s="39"/>
      <c r="AC33" s="39"/>
      <c r="AD33" s="39"/>
      <c r="AE33" s="39"/>
      <c r="AF33" s="39"/>
      <c r="AG33" s="39"/>
      <c r="AH33" s="39"/>
      <c r="AI33" s="39"/>
      <c r="AJ33" s="39"/>
      <c r="AK33" s="39"/>
      <c r="AL33" s="39"/>
      <c r="AM33" s="39"/>
      <c r="AN33" s="39"/>
      <c r="AO33" s="39"/>
      <c r="AP33" s="39"/>
    </row>
    <row r="34" spans="1:42" s="2" customFormat="1" ht="20.100000000000001" customHeight="1" x14ac:dyDescent="0.25">
      <c r="A34" s="14">
        <f>A11</f>
        <v>2</v>
      </c>
      <c r="B34" s="45">
        <f>P11</f>
        <v>199521.14924181963</v>
      </c>
      <c r="C34" s="45"/>
      <c r="D34" s="45"/>
      <c r="E34" s="45"/>
      <c r="F34" s="15">
        <v>1</v>
      </c>
      <c r="G34" s="15">
        <v>0.95</v>
      </c>
      <c r="H34" s="15">
        <v>1</v>
      </c>
      <c r="I34" s="45">
        <f t="shared" ref="I34:I35" si="2">SUM(F34:G34)-COUNT(F34:G34)+1</f>
        <v>0.95</v>
      </c>
      <c r="J34" s="47"/>
      <c r="K34" s="45">
        <f t="shared" ref="K34:K35" si="3">$H$30</f>
        <v>0.89999999999999991</v>
      </c>
      <c r="L34" s="47"/>
      <c r="M34" s="45">
        <f>K34*I34</f>
        <v>0.85499999999999987</v>
      </c>
      <c r="N34" s="47"/>
      <c r="O34" s="45">
        <f t="shared" ref="O34:O35" si="4">B34*M34</f>
        <v>170590.58260175577</v>
      </c>
      <c r="P34" s="45"/>
      <c r="Q34" s="45"/>
      <c r="R34" s="45"/>
      <c r="S34" s="38"/>
      <c r="T34" s="39"/>
      <c r="U34" s="39"/>
      <c r="V34" s="39"/>
      <c r="W34" s="39"/>
      <c r="X34" s="39"/>
      <c r="Y34" s="39"/>
      <c r="Z34" s="39"/>
      <c r="AA34" s="39"/>
      <c r="AB34" s="39"/>
      <c r="AC34" s="39"/>
      <c r="AD34" s="39"/>
      <c r="AE34" s="39"/>
      <c r="AF34" s="39"/>
      <c r="AG34" s="39"/>
      <c r="AH34" s="39"/>
      <c r="AI34" s="39"/>
      <c r="AJ34" s="39"/>
      <c r="AK34" s="39"/>
      <c r="AL34" s="39"/>
      <c r="AM34" s="39"/>
      <c r="AN34" s="39"/>
      <c r="AO34" s="39"/>
      <c r="AP34" s="39"/>
    </row>
    <row r="35" spans="1:42" s="2" customFormat="1" ht="20.100000000000001" customHeight="1" x14ac:dyDescent="0.25">
      <c r="A35" s="14">
        <f>A12</f>
        <v>3</v>
      </c>
      <c r="B35" s="45">
        <f>P12</f>
        <v>187018.70187018701</v>
      </c>
      <c r="C35" s="45"/>
      <c r="D35" s="45"/>
      <c r="E35" s="45"/>
      <c r="F35" s="15">
        <v>1</v>
      </c>
      <c r="G35" s="15">
        <v>0.9</v>
      </c>
      <c r="H35" s="15">
        <v>1</v>
      </c>
      <c r="I35" s="45">
        <f t="shared" si="2"/>
        <v>0.89999999999999991</v>
      </c>
      <c r="J35" s="47"/>
      <c r="K35" s="45">
        <f t="shared" si="3"/>
        <v>0.89999999999999991</v>
      </c>
      <c r="L35" s="47"/>
      <c r="M35" s="45">
        <f>K35*I35</f>
        <v>0.80999999999999983</v>
      </c>
      <c r="N35" s="47"/>
      <c r="O35" s="45">
        <f t="shared" si="4"/>
        <v>151485.14851485143</v>
      </c>
      <c r="P35" s="45"/>
      <c r="Q35" s="45"/>
      <c r="R35" s="45"/>
      <c r="S35" s="38"/>
      <c r="T35" s="39"/>
      <c r="U35" s="39"/>
      <c r="V35" s="39"/>
      <c r="W35" s="39"/>
      <c r="X35" s="39"/>
      <c r="Y35" s="39"/>
      <c r="Z35" s="39"/>
      <c r="AA35" s="39"/>
      <c r="AB35" s="39"/>
      <c r="AC35" s="39"/>
      <c r="AD35" s="39"/>
      <c r="AE35" s="39"/>
      <c r="AF35" s="39"/>
      <c r="AG35" s="39"/>
      <c r="AH35" s="39"/>
      <c r="AI35" s="39"/>
      <c r="AJ35" s="39"/>
      <c r="AK35" s="39"/>
      <c r="AL35" s="39"/>
      <c r="AM35" s="39"/>
      <c r="AN35" s="39"/>
      <c r="AO35" s="39"/>
      <c r="AP35" s="39"/>
    </row>
    <row r="36" spans="1:42" s="2" customFormat="1" ht="20.100000000000001" customHeight="1" x14ac:dyDescent="0.25">
      <c r="A36" s="9"/>
      <c r="B36" s="9"/>
      <c r="C36" s="9"/>
      <c r="D36" s="9"/>
      <c r="E36" s="9"/>
      <c r="F36" s="9"/>
      <c r="G36" s="9"/>
      <c r="H36" s="9"/>
      <c r="I36" s="9"/>
      <c r="J36" s="9"/>
      <c r="K36" s="9"/>
      <c r="L36" s="9"/>
      <c r="M36" s="9"/>
      <c r="N36" s="9"/>
      <c r="O36" s="9"/>
      <c r="P36" s="9"/>
      <c r="Q36" s="9"/>
      <c r="R36" s="9"/>
      <c r="S36" s="38"/>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1:42" s="2" customFormat="1" ht="20.100000000000001" customHeight="1" x14ac:dyDescent="0.25">
      <c r="A37" s="9"/>
      <c r="B37" s="9"/>
      <c r="C37" s="9"/>
      <c r="D37" s="9"/>
      <c r="E37" s="16"/>
      <c r="F37" s="16"/>
      <c r="G37" s="16"/>
      <c r="H37" s="16"/>
      <c r="I37" s="16"/>
      <c r="J37" s="9"/>
      <c r="K37" s="9"/>
      <c r="L37" s="47" t="s">
        <v>10</v>
      </c>
      <c r="M37" s="47"/>
      <c r="N37" s="47"/>
      <c r="O37" s="47"/>
      <c r="P37" s="51">
        <f>AVERAGE(O33:O35)</f>
        <v>193072.8627531548</v>
      </c>
      <c r="Q37" s="51"/>
      <c r="R37" s="51"/>
      <c r="S37" s="38"/>
      <c r="T37" s="39"/>
      <c r="U37" s="39"/>
      <c r="V37" s="39"/>
      <c r="W37" s="39"/>
      <c r="X37" s="39"/>
      <c r="Y37" s="39"/>
      <c r="Z37" s="39"/>
      <c r="AA37" s="39"/>
      <c r="AB37" s="39"/>
      <c r="AC37" s="39"/>
      <c r="AD37" s="39"/>
      <c r="AE37" s="39"/>
      <c r="AF37" s="39"/>
      <c r="AG37" s="39"/>
      <c r="AH37" s="39"/>
      <c r="AI37" s="39"/>
      <c r="AJ37" s="39"/>
      <c r="AK37" s="39"/>
      <c r="AL37" s="39"/>
      <c r="AM37" s="39"/>
      <c r="AN37" s="39"/>
      <c r="AO37" s="39"/>
      <c r="AP37" s="39"/>
    </row>
    <row r="38" spans="1:42" s="2" customFormat="1" ht="20.100000000000001" customHeight="1" x14ac:dyDescent="0.25">
      <c r="A38" s="9"/>
      <c r="B38" s="9"/>
      <c r="C38" s="9"/>
      <c r="D38" s="9"/>
      <c r="E38" s="17"/>
      <c r="F38" s="9"/>
      <c r="G38" s="9"/>
      <c r="H38" s="9"/>
      <c r="I38" s="9"/>
      <c r="J38" s="9"/>
      <c r="K38" s="9"/>
      <c r="L38" s="53" t="s">
        <v>11</v>
      </c>
      <c r="M38" s="53"/>
      <c r="N38" s="53"/>
      <c r="O38" s="53"/>
      <c r="P38" s="51">
        <f>STDEVA(O33:O34)</f>
        <v>61201.700255132579</v>
      </c>
      <c r="Q38" s="51"/>
      <c r="R38" s="51"/>
      <c r="S38" s="38"/>
      <c r="T38" s="39"/>
      <c r="U38" s="39"/>
      <c r="V38" s="39"/>
      <c r="W38" s="39"/>
      <c r="X38" s="39"/>
      <c r="Y38" s="39"/>
      <c r="Z38" s="39"/>
      <c r="AA38" s="39"/>
      <c r="AB38" s="39"/>
      <c r="AC38" s="39"/>
      <c r="AD38" s="39"/>
      <c r="AE38" s="39"/>
      <c r="AF38" s="39"/>
      <c r="AG38" s="39"/>
      <c r="AH38" s="39"/>
      <c r="AI38" s="39"/>
      <c r="AJ38" s="39"/>
      <c r="AK38" s="39"/>
      <c r="AL38" s="39"/>
      <c r="AM38" s="39"/>
      <c r="AN38" s="39"/>
      <c r="AO38" s="39"/>
      <c r="AP38" s="39"/>
    </row>
    <row r="39" spans="1:42" s="2" customFormat="1" ht="20.100000000000001" customHeight="1" x14ac:dyDescent="0.25">
      <c r="A39" s="9"/>
      <c r="B39" s="9"/>
      <c r="C39" s="9"/>
      <c r="D39" s="9"/>
      <c r="E39" s="9"/>
      <c r="F39" s="9"/>
      <c r="G39" s="9"/>
      <c r="H39" s="18"/>
      <c r="I39" s="9"/>
      <c r="J39" s="9"/>
      <c r="K39" s="9"/>
      <c r="L39" s="54" t="s">
        <v>9</v>
      </c>
      <c r="M39" s="54"/>
      <c r="N39" s="54"/>
      <c r="O39" s="54"/>
      <c r="P39" s="77">
        <f>P38/P37</f>
        <v>0.31698758376716796</v>
      </c>
      <c r="Q39" s="77"/>
      <c r="R39" s="77"/>
      <c r="S39" s="38"/>
      <c r="T39" s="39"/>
      <c r="U39" s="39"/>
      <c r="V39" s="39"/>
      <c r="W39" s="39"/>
      <c r="X39" s="39"/>
      <c r="Y39" s="39"/>
      <c r="Z39" s="39"/>
      <c r="AA39" s="39"/>
      <c r="AB39" s="39"/>
      <c r="AC39" s="39"/>
      <c r="AD39" s="39"/>
      <c r="AE39" s="39"/>
      <c r="AF39" s="39"/>
      <c r="AG39" s="39"/>
      <c r="AH39" s="39"/>
      <c r="AI39" s="39"/>
      <c r="AJ39" s="39"/>
      <c r="AK39" s="39"/>
      <c r="AL39" s="39"/>
      <c r="AM39" s="39"/>
      <c r="AN39" s="39"/>
      <c r="AO39" s="39"/>
      <c r="AP39" s="39"/>
    </row>
    <row r="40" spans="1:42" s="2" customFormat="1" ht="20.100000000000001" customHeight="1" x14ac:dyDescent="0.25">
      <c r="A40" s="9"/>
      <c r="B40" s="9"/>
      <c r="C40" s="9"/>
      <c r="D40" s="9"/>
      <c r="E40" s="9"/>
      <c r="F40" s="9"/>
      <c r="G40" s="9"/>
      <c r="H40" s="9"/>
      <c r="I40" s="19"/>
      <c r="J40" s="9"/>
      <c r="K40" s="9"/>
      <c r="L40" s="9"/>
      <c r="M40" s="9"/>
      <c r="N40" s="9"/>
      <c r="O40" s="9"/>
      <c r="P40" s="9"/>
      <c r="Q40" s="9"/>
      <c r="R40" s="9"/>
      <c r="S40" s="38"/>
      <c r="T40" s="39"/>
      <c r="U40" s="39"/>
      <c r="V40" s="39"/>
      <c r="W40" s="39"/>
      <c r="X40" s="39"/>
      <c r="Y40" s="39"/>
      <c r="Z40" s="39"/>
      <c r="AA40" s="39"/>
      <c r="AB40" s="39"/>
      <c r="AC40" s="39"/>
      <c r="AD40" s="39"/>
      <c r="AE40" s="39"/>
      <c r="AF40" s="39"/>
      <c r="AG40" s="39"/>
      <c r="AH40" s="39"/>
      <c r="AI40" s="39"/>
      <c r="AJ40" s="39"/>
      <c r="AK40" s="39"/>
      <c r="AL40" s="39"/>
      <c r="AM40" s="39"/>
      <c r="AN40" s="39"/>
      <c r="AO40" s="39"/>
      <c r="AP40" s="39"/>
    </row>
    <row r="41" spans="1:42" s="2" customFormat="1" ht="20.100000000000001" customHeight="1" x14ac:dyDescent="0.25">
      <c r="A41" s="9"/>
      <c r="B41" s="9"/>
      <c r="C41" s="9"/>
      <c r="D41" s="9"/>
      <c r="E41" s="9"/>
      <c r="F41" s="9"/>
      <c r="G41" s="9"/>
      <c r="H41" s="9"/>
      <c r="I41" s="19"/>
      <c r="J41" s="9"/>
      <c r="K41" s="9"/>
      <c r="L41" s="9"/>
      <c r="M41" s="9"/>
      <c r="N41" s="9"/>
      <c r="O41" s="9"/>
      <c r="P41" s="9"/>
      <c r="Q41" s="9"/>
      <c r="R41" s="9"/>
      <c r="S41" s="38"/>
      <c r="T41" s="39"/>
      <c r="U41" s="39"/>
      <c r="V41" s="39"/>
      <c r="W41" s="39"/>
      <c r="X41" s="39"/>
      <c r="Y41" s="39"/>
      <c r="Z41" s="39"/>
      <c r="AA41" s="39"/>
      <c r="AB41" s="39"/>
      <c r="AC41" s="39"/>
      <c r="AD41" s="39"/>
      <c r="AE41" s="39"/>
      <c r="AF41" s="39"/>
      <c r="AG41" s="39"/>
      <c r="AH41" s="39"/>
      <c r="AI41" s="39"/>
      <c r="AJ41" s="39"/>
      <c r="AK41" s="39"/>
      <c r="AL41" s="39"/>
      <c r="AM41" s="39"/>
      <c r="AN41" s="39"/>
      <c r="AO41" s="39"/>
      <c r="AP41" s="39"/>
    </row>
    <row r="42" spans="1:42" s="2" customFormat="1" ht="20.100000000000001" customHeight="1" x14ac:dyDescent="0.25">
      <c r="A42" s="66" t="s">
        <v>64</v>
      </c>
      <c r="B42" s="66"/>
      <c r="C42" s="66"/>
      <c r="D42" s="66"/>
      <c r="E42" s="66"/>
      <c r="F42" s="66"/>
      <c r="G42" s="66"/>
      <c r="H42" s="66"/>
      <c r="I42" s="66"/>
      <c r="J42" s="66"/>
      <c r="K42" s="66"/>
      <c r="L42" s="66"/>
      <c r="M42" s="66"/>
      <c r="N42" s="66"/>
      <c r="O42" s="66"/>
      <c r="P42" s="66"/>
      <c r="Q42" s="66"/>
      <c r="R42" s="66"/>
      <c r="S42" s="38"/>
      <c r="T42" s="39"/>
      <c r="U42" s="39"/>
      <c r="V42" s="39"/>
      <c r="W42" s="39"/>
      <c r="X42" s="39"/>
      <c r="Y42" s="39"/>
      <c r="Z42" s="39"/>
      <c r="AA42" s="39"/>
      <c r="AB42" s="39"/>
      <c r="AC42" s="39"/>
      <c r="AD42" s="39"/>
      <c r="AE42" s="39"/>
      <c r="AF42" s="39"/>
      <c r="AG42" s="39"/>
      <c r="AH42" s="39"/>
      <c r="AI42" s="39"/>
      <c r="AJ42" s="39"/>
      <c r="AK42" s="39"/>
      <c r="AL42" s="39"/>
      <c r="AM42" s="39"/>
      <c r="AN42" s="39"/>
      <c r="AO42" s="39"/>
      <c r="AP42" s="39"/>
    </row>
    <row r="43" spans="1:42" s="2" customFormat="1" ht="20.100000000000001" customHeight="1" x14ac:dyDescent="0.25">
      <c r="A43" s="66"/>
      <c r="B43" s="66"/>
      <c r="C43" s="66"/>
      <c r="D43" s="66"/>
      <c r="E43" s="66"/>
      <c r="F43" s="66"/>
      <c r="G43" s="66"/>
      <c r="H43" s="66"/>
      <c r="I43" s="66"/>
      <c r="J43" s="66"/>
      <c r="K43" s="66"/>
      <c r="L43" s="66"/>
      <c r="M43" s="66"/>
      <c r="N43" s="66"/>
      <c r="O43" s="66"/>
      <c r="P43" s="66"/>
      <c r="Q43" s="66"/>
      <c r="R43" s="66"/>
      <c r="S43" s="38"/>
      <c r="T43" s="39"/>
      <c r="U43" s="39"/>
      <c r="V43" s="39"/>
      <c r="W43" s="39"/>
      <c r="X43" s="39"/>
      <c r="Y43" s="39"/>
      <c r="Z43" s="39"/>
      <c r="AA43" s="39"/>
      <c r="AB43" s="39"/>
      <c r="AC43" s="39"/>
      <c r="AD43" s="39"/>
      <c r="AE43" s="39"/>
      <c r="AF43" s="39"/>
      <c r="AG43" s="39"/>
      <c r="AH43" s="39"/>
      <c r="AI43" s="39"/>
      <c r="AJ43" s="39"/>
      <c r="AK43" s="39"/>
      <c r="AL43" s="39"/>
      <c r="AM43" s="39"/>
      <c r="AN43" s="39"/>
      <c r="AO43" s="39"/>
      <c r="AP43" s="39"/>
    </row>
    <row r="44" spans="1:42" s="2" customFormat="1" ht="20.100000000000001" customHeight="1" x14ac:dyDescent="0.25">
      <c r="A44" s="9"/>
      <c r="B44" s="9"/>
      <c r="C44" s="9"/>
      <c r="D44" s="9"/>
      <c r="E44" s="9"/>
      <c r="F44" s="9"/>
      <c r="G44" s="9"/>
      <c r="H44" s="9"/>
      <c r="I44" s="19"/>
      <c r="J44" s="9"/>
      <c r="K44" s="9"/>
      <c r="L44" s="9"/>
      <c r="M44" s="9"/>
      <c r="N44" s="9"/>
      <c r="O44" s="9"/>
      <c r="P44" s="9"/>
      <c r="Q44" s="9"/>
      <c r="R44" s="9"/>
      <c r="S44" s="38"/>
      <c r="T44" s="39"/>
      <c r="U44" s="39"/>
      <c r="V44" s="39"/>
      <c r="W44" s="39"/>
      <c r="X44" s="39"/>
      <c r="Y44" s="39"/>
      <c r="Z44" s="39"/>
      <c r="AA44" s="39"/>
      <c r="AB44" s="39"/>
      <c r="AC44" s="39"/>
      <c r="AD44" s="39"/>
      <c r="AE44" s="39"/>
      <c r="AF44" s="39"/>
      <c r="AG44" s="39"/>
      <c r="AH44" s="39"/>
      <c r="AI44" s="39"/>
      <c r="AJ44" s="39"/>
      <c r="AK44" s="39"/>
      <c r="AL44" s="39"/>
      <c r="AM44" s="39"/>
      <c r="AN44" s="39"/>
      <c r="AO44" s="39"/>
      <c r="AP44" s="39"/>
    </row>
    <row r="45" spans="1:42" s="2" customFormat="1" ht="20.100000000000001" customHeight="1" x14ac:dyDescent="0.25">
      <c r="A45" s="44" t="s">
        <v>63</v>
      </c>
      <c r="B45" s="44" t="s">
        <v>65</v>
      </c>
      <c r="C45" s="44"/>
      <c r="D45" s="44"/>
      <c r="E45" s="9"/>
      <c r="F45" s="44" t="s">
        <v>7</v>
      </c>
      <c r="G45" s="44"/>
      <c r="H45" s="44"/>
      <c r="I45" s="19"/>
      <c r="J45" s="9"/>
      <c r="K45" s="9"/>
      <c r="L45" s="9"/>
      <c r="M45" s="44" t="s">
        <v>66</v>
      </c>
      <c r="N45" s="44"/>
      <c r="O45" s="44"/>
      <c r="P45" s="9"/>
      <c r="Q45" s="9"/>
      <c r="R45" s="9"/>
      <c r="S45" s="38"/>
      <c r="T45" s="39"/>
      <c r="U45" s="39"/>
      <c r="V45" s="39"/>
      <c r="W45" s="39"/>
      <c r="X45" s="39"/>
      <c r="Y45" s="39"/>
      <c r="Z45" s="39"/>
      <c r="AA45" s="39"/>
      <c r="AB45" s="39"/>
      <c r="AC45" s="39"/>
      <c r="AD45" s="39"/>
      <c r="AE45" s="39"/>
      <c r="AF45" s="39"/>
      <c r="AG45" s="39"/>
      <c r="AH45" s="39"/>
      <c r="AI45" s="39"/>
      <c r="AJ45" s="39"/>
      <c r="AK45" s="39"/>
      <c r="AL45" s="39"/>
      <c r="AM45" s="39"/>
      <c r="AN45" s="39"/>
      <c r="AO45" s="39"/>
      <c r="AP45" s="39"/>
    </row>
    <row r="46" spans="1:42" s="2" customFormat="1" ht="20.100000000000001" customHeight="1" x14ac:dyDescent="0.25">
      <c r="A46" s="44"/>
      <c r="B46" s="31" t="s">
        <v>72</v>
      </c>
      <c r="C46" s="31" t="s">
        <v>73</v>
      </c>
      <c r="D46" s="31" t="s">
        <v>74</v>
      </c>
      <c r="E46" s="9"/>
      <c r="F46" s="31" t="s">
        <v>72</v>
      </c>
      <c r="G46" s="31" t="s">
        <v>73</v>
      </c>
      <c r="H46" s="31" t="s">
        <v>74</v>
      </c>
      <c r="I46" s="19"/>
      <c r="J46" s="9"/>
      <c r="K46" s="9"/>
      <c r="L46" s="9"/>
      <c r="M46" s="31" t="s">
        <v>72</v>
      </c>
      <c r="N46" s="31" t="s">
        <v>73</v>
      </c>
      <c r="O46" s="31" t="s">
        <v>74</v>
      </c>
      <c r="P46" s="9"/>
      <c r="Q46" s="9"/>
      <c r="R46" s="9"/>
      <c r="S46" s="38"/>
      <c r="T46" s="39"/>
      <c r="U46" s="39"/>
      <c r="V46" s="39"/>
      <c r="W46" s="39"/>
      <c r="X46" s="39"/>
      <c r="Y46" s="39"/>
      <c r="Z46" s="39"/>
      <c r="AA46" s="39"/>
      <c r="AB46" s="39"/>
      <c r="AC46" s="39"/>
      <c r="AD46" s="39"/>
      <c r="AE46" s="39"/>
      <c r="AF46" s="39"/>
      <c r="AG46" s="39"/>
      <c r="AH46" s="39"/>
      <c r="AI46" s="39"/>
      <c r="AJ46" s="39"/>
      <c r="AK46" s="39"/>
      <c r="AL46" s="39"/>
      <c r="AM46" s="39"/>
      <c r="AN46" s="39"/>
      <c r="AO46" s="39"/>
      <c r="AP46" s="39"/>
    </row>
    <row r="47" spans="1:42" ht="20.100000000000001" customHeight="1" x14ac:dyDescent="0.25">
      <c r="A47" s="14">
        <f>A10</f>
        <v>1</v>
      </c>
      <c r="B47" s="15">
        <f t="shared" ref="B47:D49" si="5">F33</f>
        <v>1</v>
      </c>
      <c r="C47" s="15">
        <f t="shared" si="5"/>
        <v>1</v>
      </c>
      <c r="D47" s="15">
        <f t="shared" si="5"/>
        <v>1</v>
      </c>
      <c r="F47" s="15">
        <f>E30</f>
        <v>0.95</v>
      </c>
      <c r="G47" s="15">
        <f>F30</f>
        <v>0.95</v>
      </c>
      <c r="H47" s="15">
        <f>G30</f>
        <v>1</v>
      </c>
      <c r="I47" s="19"/>
      <c r="M47" s="20" t="str">
        <f>IF(AND(($F$47/B47)&gt;=0.5,($F$47/B47)&lt;=2),"Aceito","Rejeitado")</f>
        <v>Aceito</v>
      </c>
      <c r="N47" s="20" t="str">
        <f>IF(AND(($G$47/C47)&gt;=0.5,($G$47/C47)&lt;=2),"Aceito","Rejeitado")</f>
        <v>Aceito</v>
      </c>
      <c r="O47" s="20" t="str">
        <f>IF(AND(($H$47/D47)&gt;=0.5,($H$47/D47)&lt;=2),"Aceito","Rejeitado")</f>
        <v>Aceito</v>
      </c>
      <c r="S47" s="38">
        <v>1</v>
      </c>
    </row>
    <row r="48" spans="1:42" ht="20.100000000000001" customHeight="1" x14ac:dyDescent="0.25">
      <c r="A48" s="21">
        <f>A11</f>
        <v>2</v>
      </c>
      <c r="B48" s="22">
        <f t="shared" si="5"/>
        <v>1</v>
      </c>
      <c r="C48" s="22">
        <f t="shared" si="5"/>
        <v>0.95</v>
      </c>
      <c r="D48" s="22">
        <f t="shared" si="5"/>
        <v>1</v>
      </c>
      <c r="I48" s="19"/>
      <c r="M48" s="23" t="str">
        <f>IF(AND((F$47/B48)&gt;=0.5,(F$47/B48)&lt;=2),"Aceito","Rejeitado")</f>
        <v>Aceito</v>
      </c>
      <c r="N48" s="23" t="str">
        <f>IF(AND((G$47/C48)&gt;=0.5,(G$47/C48)&lt;=2),"Aceito","Rejeitado")</f>
        <v>Aceito</v>
      </c>
      <c r="O48" s="23" t="str">
        <f t="shared" ref="O48:O49" si="6">IF(AND(($H$47/D48)&gt;=0.5,($H$47/D48)&lt;=2),"Aceito","Rejeitado")</f>
        <v>Aceito</v>
      </c>
      <c r="S48" s="38">
        <v>1</v>
      </c>
    </row>
    <row r="49" spans="1:42" ht="20.100000000000001" customHeight="1" x14ac:dyDescent="0.25">
      <c r="A49" s="21">
        <f>A12</f>
        <v>3</v>
      </c>
      <c r="B49" s="22">
        <f t="shared" si="5"/>
        <v>1</v>
      </c>
      <c r="C49" s="22">
        <f t="shared" si="5"/>
        <v>0.9</v>
      </c>
      <c r="D49" s="22">
        <f t="shared" si="5"/>
        <v>1</v>
      </c>
      <c r="I49" s="19"/>
      <c r="M49" s="23" t="str">
        <f>IF(AND((F$47/B49)&gt;=0.5,(F$47/B49)&lt;=2),"Aceito","Rejeitado")</f>
        <v>Aceito</v>
      </c>
      <c r="N49" s="23" t="str">
        <f>IF(AND((G$47/C49)&gt;=0.5,(G$47/C49)&lt;=2),"Aceito","Rejeitado")</f>
        <v>Aceito</v>
      </c>
      <c r="O49" s="23" t="str">
        <f t="shared" si="6"/>
        <v>Aceito</v>
      </c>
      <c r="S49" s="38">
        <v>1</v>
      </c>
    </row>
    <row r="50" spans="1:42" ht="20.100000000000001" customHeight="1" x14ac:dyDescent="0.25">
      <c r="I50" s="19"/>
    </row>
    <row r="51" spans="1:42" ht="20.100000000000001" customHeight="1" x14ac:dyDescent="0.25">
      <c r="I51" s="19"/>
    </row>
    <row r="52" spans="1:42" ht="20.100000000000001" customHeight="1" x14ac:dyDescent="0.25">
      <c r="A52" s="53" t="s">
        <v>76</v>
      </c>
      <c r="B52" s="53"/>
      <c r="C52" s="53"/>
      <c r="D52" s="53"/>
      <c r="E52" s="53"/>
      <c r="F52" s="53"/>
      <c r="G52" s="53"/>
      <c r="H52" s="53"/>
      <c r="I52" s="53"/>
      <c r="J52" s="53"/>
      <c r="K52" s="53"/>
      <c r="L52" s="53"/>
      <c r="M52" s="53"/>
      <c r="N52" s="53"/>
      <c r="O52" s="53"/>
      <c r="P52" s="53"/>
      <c r="Q52" s="53"/>
      <c r="R52" s="53"/>
    </row>
    <row r="53" spans="1:42" ht="20.100000000000001" customHeight="1" x14ac:dyDescent="0.25">
      <c r="I53" s="19"/>
    </row>
    <row r="54" spans="1:42" s="29" customFormat="1" ht="20.100000000000001" customHeight="1" x14ac:dyDescent="0.25">
      <c r="A54" s="9"/>
      <c r="B54" s="9"/>
      <c r="C54" s="9"/>
      <c r="D54" s="9"/>
      <c r="E54" s="9"/>
      <c r="F54" s="9"/>
      <c r="G54" s="9"/>
      <c r="H54" s="9"/>
      <c r="I54" s="19"/>
      <c r="J54" s="9"/>
      <c r="K54" s="9"/>
      <c r="L54" s="9"/>
      <c r="M54" s="9"/>
      <c r="N54" s="9"/>
      <c r="O54" s="9"/>
      <c r="P54" s="9"/>
      <c r="Q54" s="9"/>
      <c r="R54" s="9"/>
      <c r="S54" s="38"/>
      <c r="T54" s="9"/>
      <c r="U54" s="9"/>
      <c r="V54" s="9"/>
      <c r="W54" s="9"/>
      <c r="X54" s="9"/>
      <c r="Y54" s="9"/>
      <c r="Z54" s="9"/>
      <c r="AA54" s="9"/>
      <c r="AB54" s="9"/>
      <c r="AC54" s="9"/>
      <c r="AD54" s="9"/>
      <c r="AE54" s="9"/>
      <c r="AF54" s="9"/>
      <c r="AG54" s="9"/>
      <c r="AH54" s="9"/>
      <c r="AI54" s="9"/>
      <c r="AJ54" s="9"/>
      <c r="AK54" s="9"/>
      <c r="AL54" s="9"/>
      <c r="AM54" s="9"/>
      <c r="AN54" s="9"/>
      <c r="AO54" s="9"/>
      <c r="AP54" s="9"/>
    </row>
    <row r="55" spans="1:42" s="29" customFormat="1" ht="20.100000000000001" customHeight="1" x14ac:dyDescent="0.25">
      <c r="A55" s="9"/>
      <c r="B55" s="9"/>
      <c r="C55" s="9"/>
      <c r="D55" s="9"/>
      <c r="E55" s="9"/>
      <c r="F55" s="9"/>
      <c r="G55" s="9"/>
      <c r="H55" s="9"/>
      <c r="I55" s="19"/>
      <c r="J55" s="9"/>
      <c r="K55" s="9"/>
      <c r="L55" s="9"/>
      <c r="M55" s="9"/>
      <c r="N55" s="9"/>
      <c r="O55" s="9"/>
      <c r="P55" s="9"/>
      <c r="Q55" s="9"/>
      <c r="R55" s="9"/>
      <c r="S55" s="38"/>
      <c r="T55" s="9"/>
      <c r="U55" s="9"/>
      <c r="V55" s="9"/>
      <c r="W55" s="9"/>
      <c r="X55" s="9"/>
      <c r="Y55" s="9"/>
      <c r="Z55" s="9"/>
      <c r="AA55" s="9"/>
      <c r="AB55" s="9"/>
      <c r="AC55" s="9"/>
      <c r="AD55" s="9"/>
      <c r="AE55" s="9"/>
      <c r="AF55" s="9"/>
      <c r="AG55" s="9"/>
      <c r="AH55" s="9"/>
      <c r="AI55" s="9"/>
      <c r="AJ55" s="9"/>
      <c r="AK55" s="9"/>
      <c r="AL55" s="9"/>
      <c r="AM55" s="9"/>
      <c r="AN55" s="9"/>
      <c r="AO55" s="9"/>
      <c r="AP55" s="9"/>
    </row>
    <row r="56" spans="1:42" s="29" customFormat="1" ht="20.100000000000001" customHeight="1" x14ac:dyDescent="0.25">
      <c r="A56" s="9"/>
      <c r="B56" s="9"/>
      <c r="C56" s="9"/>
      <c r="D56" s="9"/>
      <c r="E56" s="9"/>
      <c r="F56" s="9"/>
      <c r="G56" s="9"/>
      <c r="H56" s="9"/>
      <c r="I56" s="19"/>
      <c r="J56" s="9"/>
      <c r="K56" s="9"/>
      <c r="L56" s="9"/>
      <c r="M56" s="9"/>
      <c r="N56" s="9"/>
      <c r="O56" s="9"/>
      <c r="P56" s="9"/>
      <c r="Q56" s="9"/>
      <c r="R56" s="9"/>
      <c r="S56" s="38"/>
      <c r="T56" s="9"/>
      <c r="U56" s="9"/>
      <c r="V56" s="9"/>
      <c r="W56" s="9"/>
      <c r="X56" s="9"/>
      <c r="Y56" s="9"/>
      <c r="Z56" s="9"/>
      <c r="AA56" s="9"/>
      <c r="AB56" s="9"/>
      <c r="AC56" s="9"/>
      <c r="AD56" s="9"/>
      <c r="AE56" s="9"/>
      <c r="AF56" s="9"/>
      <c r="AG56" s="9"/>
      <c r="AH56" s="9"/>
      <c r="AI56" s="9"/>
      <c r="AJ56" s="9"/>
      <c r="AK56" s="9"/>
      <c r="AL56" s="9"/>
      <c r="AM56" s="9"/>
      <c r="AN56" s="9"/>
      <c r="AO56" s="9"/>
      <c r="AP56" s="9"/>
    </row>
    <row r="57" spans="1:42" s="29" customFormat="1" ht="20.100000000000001" customHeight="1" x14ac:dyDescent="0.25">
      <c r="A57" s="9"/>
      <c r="B57" s="9"/>
      <c r="C57" s="9"/>
      <c r="D57" s="9"/>
      <c r="E57" s="9"/>
      <c r="F57" s="9"/>
      <c r="G57" s="9"/>
      <c r="H57" s="9"/>
      <c r="I57" s="19"/>
      <c r="J57" s="9"/>
      <c r="K57" s="9"/>
      <c r="L57" s="9"/>
      <c r="M57" s="9"/>
      <c r="N57" s="9"/>
      <c r="O57" s="9"/>
      <c r="P57" s="9"/>
      <c r="Q57" s="9"/>
      <c r="R57" s="9"/>
      <c r="S57" s="38"/>
      <c r="T57" s="9"/>
      <c r="U57" s="9"/>
      <c r="V57" s="9"/>
      <c r="W57" s="9"/>
      <c r="X57" s="9"/>
      <c r="Y57" s="9"/>
      <c r="Z57" s="9"/>
      <c r="AA57" s="9"/>
      <c r="AB57" s="9"/>
      <c r="AC57" s="9"/>
      <c r="AD57" s="9"/>
      <c r="AE57" s="9"/>
      <c r="AF57" s="9"/>
      <c r="AG57" s="9"/>
      <c r="AH57" s="9"/>
      <c r="AI57" s="9"/>
      <c r="AJ57" s="9"/>
      <c r="AK57" s="9"/>
      <c r="AL57" s="9"/>
      <c r="AM57" s="9"/>
      <c r="AN57" s="9"/>
      <c r="AO57" s="9"/>
      <c r="AP57" s="9"/>
    </row>
    <row r="58" spans="1:42" s="29" customFormat="1" ht="20.100000000000001" customHeight="1" x14ac:dyDescent="0.25">
      <c r="A58" s="9"/>
      <c r="B58" s="9"/>
      <c r="C58" s="9"/>
      <c r="D58" s="9"/>
      <c r="E58" s="9"/>
      <c r="F58" s="9"/>
      <c r="G58" s="9"/>
      <c r="H58" s="9"/>
      <c r="I58" s="19"/>
      <c r="J58" s="9"/>
      <c r="K58" s="9"/>
      <c r="L58" s="9"/>
      <c r="M58" s="9"/>
      <c r="N58" s="9"/>
      <c r="O58" s="9"/>
      <c r="P58" s="9"/>
      <c r="Q58" s="9"/>
      <c r="R58" s="9"/>
      <c r="S58" s="38"/>
      <c r="T58" s="9"/>
      <c r="U58" s="9"/>
      <c r="V58" s="9"/>
      <c r="W58" s="9"/>
      <c r="X58" s="9"/>
      <c r="Y58" s="9"/>
      <c r="Z58" s="9"/>
      <c r="AA58" s="9"/>
      <c r="AB58" s="9"/>
      <c r="AC58" s="9"/>
      <c r="AD58" s="9"/>
      <c r="AE58" s="9"/>
      <c r="AF58" s="9"/>
      <c r="AG58" s="9"/>
      <c r="AH58" s="9"/>
      <c r="AI58" s="9"/>
      <c r="AJ58" s="9"/>
      <c r="AK58" s="9"/>
      <c r="AL58" s="9"/>
      <c r="AM58" s="9"/>
      <c r="AN58" s="9"/>
      <c r="AO58" s="9"/>
      <c r="AP58" s="9"/>
    </row>
    <row r="59" spans="1:42" s="29" customFormat="1" ht="20.100000000000001" customHeight="1" x14ac:dyDescent="0.25">
      <c r="A59" s="9"/>
      <c r="B59" s="9"/>
      <c r="C59" s="9"/>
      <c r="D59" s="9"/>
      <c r="E59" s="9"/>
      <c r="F59" s="9"/>
      <c r="G59" s="9"/>
      <c r="H59" s="9"/>
      <c r="I59" s="19"/>
      <c r="J59" s="9"/>
      <c r="K59" s="9"/>
      <c r="L59" s="9"/>
      <c r="M59" s="9"/>
      <c r="N59" s="9"/>
      <c r="O59" s="9"/>
      <c r="P59" s="9"/>
      <c r="Q59" s="9"/>
      <c r="R59" s="9"/>
      <c r="S59" s="38"/>
      <c r="T59" s="9"/>
      <c r="U59" s="9"/>
      <c r="V59" s="9"/>
      <c r="W59" s="9"/>
      <c r="X59" s="9"/>
      <c r="Y59" s="9"/>
      <c r="Z59" s="9"/>
      <c r="AA59" s="9"/>
      <c r="AB59" s="9"/>
      <c r="AC59" s="9"/>
      <c r="AD59" s="9"/>
      <c r="AE59" s="9"/>
      <c r="AF59" s="9"/>
      <c r="AG59" s="9"/>
      <c r="AH59" s="9"/>
      <c r="AI59" s="9"/>
      <c r="AJ59" s="9"/>
      <c r="AK59" s="9"/>
      <c r="AL59" s="9"/>
      <c r="AM59" s="9"/>
      <c r="AN59" s="9"/>
      <c r="AO59" s="9"/>
      <c r="AP59" s="9"/>
    </row>
    <row r="60" spans="1:42" s="29" customFormat="1" ht="20.100000000000001" customHeight="1" x14ac:dyDescent="0.25">
      <c r="A60" s="9"/>
      <c r="B60" s="9"/>
      <c r="C60" s="9"/>
      <c r="D60" s="9"/>
      <c r="E60" s="9"/>
      <c r="F60" s="9"/>
      <c r="G60" s="9"/>
      <c r="H60" s="9"/>
      <c r="I60" s="19"/>
      <c r="J60" s="9"/>
      <c r="K60" s="9"/>
      <c r="L60" s="9"/>
      <c r="M60" s="9"/>
      <c r="N60" s="9"/>
      <c r="O60" s="9"/>
      <c r="P60" s="9"/>
      <c r="Q60" s="9"/>
      <c r="R60" s="9"/>
      <c r="S60" s="38"/>
      <c r="T60" s="9"/>
      <c r="U60" s="9"/>
      <c r="V60" s="9"/>
      <c r="W60" s="9"/>
      <c r="X60" s="9"/>
      <c r="Y60" s="9"/>
      <c r="Z60" s="9"/>
      <c r="AA60" s="9"/>
      <c r="AB60" s="9"/>
      <c r="AC60" s="9"/>
      <c r="AD60" s="9"/>
      <c r="AE60" s="9"/>
      <c r="AF60" s="9"/>
      <c r="AG60" s="9"/>
      <c r="AH60" s="9"/>
      <c r="AI60" s="9"/>
      <c r="AJ60" s="9"/>
      <c r="AK60" s="9"/>
      <c r="AL60" s="9"/>
      <c r="AM60" s="9"/>
      <c r="AN60" s="9"/>
      <c r="AO60" s="9"/>
      <c r="AP60" s="9"/>
    </row>
    <row r="61" spans="1:42" s="29" customFormat="1" ht="20.100000000000001" customHeight="1" x14ac:dyDescent="0.25">
      <c r="A61" s="9"/>
      <c r="B61" s="9"/>
      <c r="C61" s="9"/>
      <c r="D61" s="9"/>
      <c r="E61" s="9"/>
      <c r="F61" s="9"/>
      <c r="G61" s="9"/>
      <c r="H61" s="9"/>
      <c r="I61" s="19"/>
      <c r="J61" s="9"/>
      <c r="K61" s="9"/>
      <c r="L61" s="9"/>
      <c r="M61" s="9"/>
      <c r="N61" s="9"/>
      <c r="O61" s="9"/>
      <c r="P61" s="9"/>
      <c r="Q61" s="9"/>
      <c r="R61" s="9"/>
      <c r="S61" s="38"/>
      <c r="T61" s="9"/>
      <c r="U61" s="9"/>
      <c r="V61" s="9"/>
      <c r="W61" s="9"/>
      <c r="X61" s="9"/>
      <c r="Y61" s="9"/>
      <c r="Z61" s="9"/>
      <c r="AA61" s="9"/>
      <c r="AB61" s="9"/>
      <c r="AC61" s="9"/>
      <c r="AD61" s="9"/>
      <c r="AE61" s="9"/>
      <c r="AF61" s="9"/>
      <c r="AG61" s="9"/>
      <c r="AH61" s="9"/>
      <c r="AI61" s="9"/>
      <c r="AJ61" s="9"/>
      <c r="AK61" s="9"/>
      <c r="AL61" s="9"/>
      <c r="AM61" s="9"/>
      <c r="AN61" s="9"/>
      <c r="AO61" s="9"/>
      <c r="AP61" s="9"/>
    </row>
    <row r="62" spans="1:42" s="29" customFormat="1" ht="20.100000000000001" customHeight="1" x14ac:dyDescent="0.25">
      <c r="A62" s="9"/>
      <c r="B62" s="9"/>
      <c r="C62" s="9"/>
      <c r="D62" s="9"/>
      <c r="E62" s="9"/>
      <c r="F62" s="9"/>
      <c r="G62" s="9"/>
      <c r="H62" s="9"/>
      <c r="I62" s="19"/>
      <c r="J62" s="9"/>
      <c r="K62" s="9"/>
      <c r="L62" s="9"/>
      <c r="M62" s="9"/>
      <c r="N62" s="9"/>
      <c r="O62" s="9"/>
      <c r="P62" s="9"/>
      <c r="Q62" s="9"/>
      <c r="R62" s="9"/>
      <c r="S62" s="38"/>
      <c r="T62" s="9"/>
      <c r="U62" s="9"/>
      <c r="V62" s="9"/>
      <c r="W62" s="9"/>
      <c r="X62" s="9"/>
      <c r="Y62" s="9"/>
      <c r="Z62" s="9"/>
      <c r="AA62" s="9"/>
      <c r="AB62" s="9"/>
      <c r="AC62" s="9"/>
      <c r="AD62" s="9"/>
      <c r="AE62" s="9"/>
      <c r="AF62" s="9"/>
      <c r="AG62" s="9"/>
      <c r="AH62" s="9"/>
      <c r="AI62" s="9"/>
      <c r="AJ62" s="9"/>
      <c r="AK62" s="9"/>
      <c r="AL62" s="9"/>
      <c r="AM62" s="9"/>
      <c r="AN62" s="9"/>
      <c r="AO62" s="9"/>
      <c r="AP62" s="9"/>
    </row>
    <row r="63" spans="1:42" s="29" customFormat="1" ht="20.100000000000001" customHeight="1" x14ac:dyDescent="0.25">
      <c r="A63" s="9"/>
      <c r="B63" s="9"/>
      <c r="C63" s="9"/>
      <c r="D63" s="9"/>
      <c r="E63" s="9"/>
      <c r="F63" s="9"/>
      <c r="G63" s="9"/>
      <c r="H63" s="9"/>
      <c r="I63" s="19"/>
      <c r="J63" s="9"/>
      <c r="K63" s="9"/>
      <c r="L63" s="9"/>
      <c r="M63" s="9"/>
      <c r="N63" s="9"/>
      <c r="O63" s="9"/>
      <c r="P63" s="9"/>
      <c r="Q63" s="9"/>
      <c r="R63" s="9"/>
      <c r="S63" s="38"/>
      <c r="T63" s="9"/>
      <c r="U63" s="9"/>
      <c r="V63" s="9"/>
      <c r="W63" s="9"/>
      <c r="X63" s="9"/>
      <c r="Y63" s="9"/>
      <c r="Z63" s="9"/>
      <c r="AA63" s="9"/>
      <c r="AB63" s="9"/>
      <c r="AC63" s="9"/>
      <c r="AD63" s="9"/>
      <c r="AE63" s="9"/>
      <c r="AF63" s="9"/>
      <c r="AG63" s="9"/>
      <c r="AH63" s="9"/>
      <c r="AI63" s="9"/>
      <c r="AJ63" s="9"/>
      <c r="AK63" s="9"/>
      <c r="AL63" s="9"/>
      <c r="AM63" s="9"/>
      <c r="AN63" s="9"/>
      <c r="AO63" s="9"/>
      <c r="AP63" s="9"/>
    </row>
    <row r="64" spans="1:42" s="29" customFormat="1" ht="20.100000000000001" customHeight="1" x14ac:dyDescent="0.25">
      <c r="A64" s="9"/>
      <c r="B64" s="9"/>
      <c r="C64" s="9"/>
      <c r="D64" s="9"/>
      <c r="E64" s="9"/>
      <c r="F64" s="9"/>
      <c r="G64" s="9"/>
      <c r="H64" s="9"/>
      <c r="I64" s="19"/>
      <c r="J64" s="9"/>
      <c r="K64" s="9"/>
      <c r="L64" s="9"/>
      <c r="M64" s="9"/>
      <c r="N64" s="9"/>
      <c r="O64" s="9"/>
      <c r="P64" s="9"/>
      <c r="Q64" s="9"/>
      <c r="R64" s="9"/>
      <c r="S64" s="38"/>
      <c r="T64" s="9"/>
      <c r="U64" s="9"/>
      <c r="V64" s="9"/>
      <c r="W64" s="9"/>
      <c r="X64" s="9"/>
      <c r="Y64" s="9"/>
      <c r="Z64" s="9"/>
      <c r="AA64" s="9"/>
      <c r="AB64" s="9"/>
      <c r="AC64" s="9"/>
      <c r="AD64" s="9"/>
      <c r="AE64" s="9"/>
      <c r="AF64" s="9"/>
      <c r="AG64" s="9"/>
      <c r="AH64" s="9"/>
      <c r="AI64" s="9"/>
      <c r="AJ64" s="9"/>
      <c r="AK64" s="9"/>
      <c r="AL64" s="9"/>
      <c r="AM64" s="9"/>
      <c r="AN64" s="9"/>
      <c r="AO64" s="9"/>
      <c r="AP64" s="9"/>
    </row>
    <row r="65" spans="1:42" s="29" customFormat="1" ht="20.100000000000001" customHeight="1" x14ac:dyDescent="0.25">
      <c r="A65" s="9"/>
      <c r="B65" s="9"/>
      <c r="C65" s="9"/>
      <c r="D65" s="9"/>
      <c r="E65" s="9"/>
      <c r="F65" s="9"/>
      <c r="G65" s="9"/>
      <c r="H65" s="9"/>
      <c r="I65" s="1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row>
    <row r="66" spans="1:42" s="29" customFormat="1" ht="20.100000000000001" customHeight="1" x14ac:dyDescent="0.25">
      <c r="A66" s="9"/>
      <c r="B66" s="9"/>
      <c r="C66" s="9"/>
      <c r="D66" s="9"/>
      <c r="E66" s="9"/>
      <c r="F66" s="9"/>
      <c r="G66" s="9"/>
      <c r="H66" s="9"/>
      <c r="I66" s="1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row>
    <row r="67" spans="1:42" s="29" customFormat="1" ht="20.100000000000001" customHeight="1" x14ac:dyDescent="0.25">
      <c r="A67" s="9"/>
      <c r="B67" s="9"/>
      <c r="C67" s="9"/>
      <c r="D67" s="9"/>
      <c r="E67" s="9"/>
      <c r="F67" s="9"/>
      <c r="G67" s="9"/>
      <c r="H67" s="9"/>
      <c r="I67" s="1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row>
    <row r="69" spans="1:42" s="29" customFormat="1" ht="20.100000000000001" customHeight="1" x14ac:dyDescent="0.25">
      <c r="A69" s="9"/>
      <c r="B69" s="9"/>
      <c r="C69" s="9"/>
      <c r="D69" s="9"/>
      <c r="E69" s="9"/>
      <c r="F69" s="9"/>
      <c r="G69" s="9"/>
      <c r="H69" s="9"/>
      <c r="I69" s="1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row>
    <row r="70" spans="1:42" ht="20.100000000000001" customHeight="1" x14ac:dyDescent="0.25">
      <c r="A70" s="53" t="s">
        <v>77</v>
      </c>
      <c r="B70" s="53"/>
      <c r="C70" s="53"/>
      <c r="D70" s="53"/>
      <c r="E70" s="53"/>
      <c r="F70" s="53"/>
      <c r="G70" s="53"/>
      <c r="H70" s="53"/>
      <c r="I70" s="53"/>
      <c r="J70" s="53"/>
      <c r="K70" s="53"/>
      <c r="L70" s="53"/>
      <c r="M70" s="53"/>
      <c r="N70" s="53"/>
      <c r="O70" s="53"/>
      <c r="P70" s="53"/>
      <c r="Q70" s="53"/>
      <c r="R70" s="53"/>
    </row>
    <row r="71" spans="1:42" ht="20.100000000000001" customHeight="1" x14ac:dyDescent="0.25">
      <c r="I71" s="19"/>
    </row>
    <row r="72" spans="1:42" ht="20.100000000000001" customHeight="1" x14ac:dyDescent="0.25">
      <c r="I72" s="19"/>
    </row>
    <row r="73" spans="1:42" ht="20.100000000000001" customHeight="1" x14ac:dyDescent="0.25">
      <c r="I73" s="19"/>
    </row>
    <row r="74" spans="1:42" ht="20.100000000000001" customHeight="1" x14ac:dyDescent="0.25">
      <c r="I74" s="19"/>
    </row>
    <row r="75" spans="1:42" ht="20.100000000000001" customHeight="1" x14ac:dyDescent="0.25">
      <c r="I75" s="19"/>
    </row>
    <row r="76" spans="1:42" ht="20.100000000000001" customHeight="1" x14ac:dyDescent="0.25">
      <c r="I76" s="19"/>
    </row>
    <row r="77" spans="1:42" ht="20.100000000000001" customHeight="1" x14ac:dyDescent="0.25">
      <c r="I77" s="19"/>
    </row>
    <row r="78" spans="1:42" ht="20.100000000000001" customHeight="1" x14ac:dyDescent="0.25">
      <c r="I78" s="19"/>
    </row>
    <row r="79" spans="1:42" ht="20.100000000000001" customHeight="1" x14ac:dyDescent="0.25">
      <c r="I79" s="19"/>
    </row>
    <row r="80" spans="1:42" ht="20.100000000000001" customHeight="1" x14ac:dyDescent="0.25">
      <c r="I80" s="19"/>
    </row>
    <row r="81" spans="1:42" ht="20.100000000000001" customHeight="1" x14ac:dyDescent="0.25">
      <c r="I81" s="19"/>
    </row>
    <row r="82" spans="1:42" ht="20.100000000000001" customHeight="1" x14ac:dyDescent="0.25">
      <c r="I82" s="19"/>
    </row>
    <row r="83" spans="1:42" ht="20.100000000000001" customHeight="1" x14ac:dyDescent="0.25">
      <c r="I83" s="19"/>
    </row>
    <row r="84" spans="1:42" ht="20.100000000000001" customHeight="1" x14ac:dyDescent="0.25">
      <c r="I84" s="19"/>
    </row>
    <row r="85" spans="1:42" ht="20.100000000000001" customHeight="1" x14ac:dyDescent="0.25">
      <c r="I85" s="19"/>
    </row>
    <row r="86" spans="1:42" ht="20.100000000000001" customHeight="1" x14ac:dyDescent="0.25">
      <c r="I86" s="19"/>
    </row>
    <row r="87" spans="1:42" ht="20.100000000000001" customHeight="1" x14ac:dyDescent="0.25">
      <c r="I87" s="19"/>
    </row>
    <row r="88" spans="1:42" ht="20.100000000000001" customHeight="1" x14ac:dyDescent="0.25">
      <c r="A88" s="53" t="s">
        <v>78</v>
      </c>
      <c r="B88" s="53"/>
      <c r="C88" s="53"/>
      <c r="D88" s="53"/>
      <c r="E88" s="53"/>
      <c r="F88" s="53"/>
      <c r="G88" s="53"/>
      <c r="H88" s="53"/>
      <c r="I88" s="53"/>
      <c r="J88" s="53"/>
      <c r="K88" s="53"/>
      <c r="L88" s="53"/>
      <c r="M88" s="53"/>
      <c r="N88" s="53"/>
      <c r="O88" s="53"/>
      <c r="P88" s="53"/>
      <c r="Q88" s="53"/>
      <c r="R88" s="53"/>
    </row>
    <row r="89" spans="1:42" ht="20.100000000000001" customHeight="1" x14ac:dyDescent="0.25">
      <c r="I89" s="19"/>
    </row>
    <row r="90" spans="1:42" ht="20.100000000000001" customHeight="1" x14ac:dyDescent="0.25">
      <c r="I90" s="19"/>
    </row>
    <row r="91" spans="1:42" s="2" customFormat="1" ht="20.100000000000001" customHeight="1" x14ac:dyDescent="0.25">
      <c r="A91" s="9"/>
      <c r="B91" s="9"/>
      <c r="C91" s="9"/>
      <c r="D91" s="9"/>
      <c r="E91" s="9"/>
      <c r="F91" s="9"/>
      <c r="G91" s="9"/>
      <c r="H91" s="9"/>
      <c r="I91" s="19"/>
      <c r="J91" s="9"/>
      <c r="K91" s="9"/>
      <c r="L91" s="9"/>
      <c r="M91" s="9"/>
      <c r="N91" s="9"/>
      <c r="O91" s="9"/>
      <c r="P91" s="9"/>
      <c r="Q91" s="9"/>
      <c r="R91" s="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row>
    <row r="92" spans="1:42" s="2" customFormat="1" ht="20.100000000000001" customHeight="1" x14ac:dyDescent="0.25">
      <c r="A92" s="9"/>
      <c r="B92" s="9"/>
      <c r="C92" s="9"/>
      <c r="D92" s="9"/>
      <c r="E92" s="9"/>
      <c r="F92" s="9"/>
      <c r="G92" s="9"/>
      <c r="H92" s="9"/>
      <c r="I92" s="19"/>
      <c r="J92" s="9"/>
      <c r="K92" s="9"/>
      <c r="L92" s="9"/>
      <c r="M92" s="9"/>
      <c r="N92" s="9"/>
      <c r="O92" s="9"/>
      <c r="P92" s="9"/>
      <c r="Q92" s="9"/>
      <c r="R92" s="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row>
    <row r="93" spans="1:42" s="2" customFormat="1" ht="20.100000000000001" customHeight="1" x14ac:dyDescent="0.25">
      <c r="A93" s="9"/>
      <c r="B93" s="9"/>
      <c r="C93" s="9"/>
      <c r="D93" s="9"/>
      <c r="E93" s="9"/>
      <c r="F93" s="9"/>
      <c r="G93" s="9"/>
      <c r="H93" s="9"/>
      <c r="I93" s="19"/>
      <c r="J93" s="9"/>
      <c r="K93" s="9"/>
      <c r="L93" s="9"/>
      <c r="M93" s="9"/>
      <c r="N93" s="9"/>
      <c r="O93" s="9"/>
      <c r="P93" s="9"/>
      <c r="Q93" s="9"/>
      <c r="R93" s="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row>
    <row r="94" spans="1:42" s="2" customFormat="1" ht="20.100000000000001" customHeight="1" x14ac:dyDescent="0.25">
      <c r="A94" s="9"/>
      <c r="B94" s="9"/>
      <c r="C94" s="9"/>
      <c r="D94" s="9"/>
      <c r="E94" s="9"/>
      <c r="F94" s="9"/>
      <c r="G94" s="9"/>
      <c r="H94" s="9"/>
      <c r="I94" s="19"/>
      <c r="J94" s="9"/>
      <c r="K94" s="9"/>
      <c r="L94" s="9"/>
      <c r="M94" s="9"/>
      <c r="N94" s="9"/>
      <c r="O94" s="9"/>
      <c r="P94" s="9"/>
      <c r="Q94" s="9"/>
      <c r="R94" s="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row>
    <row r="95" spans="1:42" s="2" customFormat="1" ht="20.100000000000001" customHeight="1" x14ac:dyDescent="0.25">
      <c r="A95" s="9"/>
      <c r="B95" s="9"/>
      <c r="C95" s="9"/>
      <c r="D95" s="9"/>
      <c r="E95" s="9"/>
      <c r="F95" s="9"/>
      <c r="G95" s="9"/>
      <c r="H95" s="9"/>
      <c r="I95" s="19"/>
      <c r="J95" s="9"/>
      <c r="K95" s="9"/>
      <c r="L95" s="9"/>
      <c r="M95" s="9"/>
      <c r="N95" s="9"/>
      <c r="O95" s="9"/>
      <c r="P95" s="9"/>
      <c r="Q95" s="9"/>
      <c r="R95" s="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row>
    <row r="96" spans="1:42" s="2" customFormat="1" ht="20.100000000000001" customHeight="1" x14ac:dyDescent="0.25">
      <c r="A96" s="9"/>
      <c r="B96" s="9"/>
      <c r="C96" s="9"/>
      <c r="D96" s="9"/>
      <c r="E96" s="9"/>
      <c r="F96" s="9"/>
      <c r="G96" s="9"/>
      <c r="H96" s="9"/>
      <c r="I96" s="19"/>
      <c r="J96" s="9"/>
      <c r="K96" s="9"/>
      <c r="L96" s="9"/>
      <c r="M96" s="9"/>
      <c r="N96" s="9"/>
      <c r="O96" s="9"/>
      <c r="P96" s="9"/>
      <c r="Q96" s="9"/>
      <c r="R96" s="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row>
    <row r="97" spans="1:42" s="2" customFormat="1" ht="20.100000000000001" customHeight="1" x14ac:dyDescent="0.25">
      <c r="A97" s="9"/>
      <c r="B97" s="9"/>
      <c r="C97" s="9"/>
      <c r="D97" s="9"/>
      <c r="E97" s="9"/>
      <c r="F97" s="9"/>
      <c r="G97" s="9"/>
      <c r="H97" s="9"/>
      <c r="I97" s="19"/>
      <c r="J97" s="9"/>
      <c r="K97" s="9"/>
      <c r="L97" s="9"/>
      <c r="M97" s="9"/>
      <c r="N97" s="9"/>
      <c r="O97" s="9"/>
      <c r="P97" s="9"/>
      <c r="Q97" s="9"/>
      <c r="R97" s="9"/>
      <c r="S97" s="38"/>
      <c r="T97" s="38"/>
      <c r="U97" s="38"/>
      <c r="V97" s="38"/>
      <c r="W97" s="38"/>
      <c r="X97" s="38"/>
      <c r="Y97" s="38"/>
      <c r="Z97" s="39"/>
      <c r="AA97" s="39"/>
      <c r="AB97" s="39"/>
      <c r="AC97" s="39"/>
      <c r="AD97" s="39"/>
      <c r="AE97" s="39"/>
      <c r="AF97" s="39"/>
      <c r="AG97" s="39"/>
      <c r="AH97" s="39"/>
      <c r="AI97" s="39"/>
      <c r="AJ97" s="39"/>
      <c r="AK97" s="39"/>
      <c r="AL97" s="39"/>
      <c r="AM97" s="39"/>
      <c r="AN97" s="39"/>
      <c r="AO97" s="39"/>
      <c r="AP97" s="39"/>
    </row>
    <row r="98" spans="1:42" s="2" customFormat="1" ht="20.100000000000001" customHeight="1" x14ac:dyDescent="0.25">
      <c r="A98" s="9"/>
      <c r="B98" s="9"/>
      <c r="C98" s="9"/>
      <c r="D98" s="9"/>
      <c r="E98" s="9"/>
      <c r="F98" s="9"/>
      <c r="G98" s="9"/>
      <c r="H98" s="9"/>
      <c r="I98" s="19"/>
      <c r="J98" s="9"/>
      <c r="K98" s="9"/>
      <c r="L98" s="9"/>
      <c r="M98" s="9"/>
      <c r="N98" s="9"/>
      <c r="O98" s="9"/>
      <c r="P98" s="9"/>
      <c r="Q98" s="9"/>
      <c r="R98" s="9"/>
      <c r="S98" s="38"/>
      <c r="T98" s="38"/>
      <c r="U98" s="38"/>
      <c r="V98" s="38"/>
      <c r="W98" s="38"/>
      <c r="X98" s="38"/>
      <c r="Y98" s="38"/>
      <c r="Z98" s="39"/>
      <c r="AA98" s="39"/>
      <c r="AB98" s="39"/>
      <c r="AC98" s="39"/>
      <c r="AD98" s="39"/>
      <c r="AE98" s="39"/>
      <c r="AF98" s="39"/>
      <c r="AG98" s="39"/>
      <c r="AH98" s="39"/>
      <c r="AI98" s="39"/>
      <c r="AJ98" s="39"/>
      <c r="AK98" s="39"/>
      <c r="AL98" s="39"/>
      <c r="AM98" s="39"/>
      <c r="AN98" s="39"/>
      <c r="AO98" s="39"/>
      <c r="AP98" s="39"/>
    </row>
    <row r="99" spans="1:42" s="2" customFormat="1" ht="20.100000000000001" customHeight="1" x14ac:dyDescent="0.25">
      <c r="A99" s="9"/>
      <c r="B99" s="9"/>
      <c r="C99" s="9"/>
      <c r="D99" s="9"/>
      <c r="E99" s="9"/>
      <c r="F99" s="9"/>
      <c r="G99" s="9"/>
      <c r="H99" s="9"/>
      <c r="I99" s="19"/>
      <c r="J99" s="9"/>
      <c r="K99" s="9"/>
      <c r="L99" s="9"/>
      <c r="M99" s="9"/>
      <c r="N99" s="9"/>
      <c r="O99" s="9"/>
      <c r="P99" s="9"/>
      <c r="Q99" s="9"/>
      <c r="R99" s="9"/>
      <c r="S99" s="38"/>
      <c r="T99" s="38"/>
      <c r="U99" s="38"/>
      <c r="V99" s="38"/>
      <c r="W99" s="38"/>
      <c r="X99" s="38"/>
      <c r="Y99" s="38"/>
      <c r="Z99" s="39"/>
      <c r="AA99" s="39"/>
      <c r="AB99" s="39"/>
      <c r="AC99" s="39"/>
      <c r="AD99" s="39"/>
      <c r="AE99" s="39"/>
      <c r="AF99" s="39"/>
      <c r="AG99" s="39"/>
      <c r="AH99" s="39"/>
      <c r="AI99" s="39"/>
      <c r="AJ99" s="39"/>
      <c r="AK99" s="39"/>
      <c r="AL99" s="39"/>
      <c r="AM99" s="39"/>
      <c r="AN99" s="39"/>
      <c r="AO99" s="39"/>
      <c r="AP99" s="39"/>
    </row>
    <row r="100" spans="1:42" s="2" customFormat="1" ht="20.100000000000001" customHeight="1" x14ac:dyDescent="0.25">
      <c r="A100" s="9"/>
      <c r="B100" s="9"/>
      <c r="C100" s="9"/>
      <c r="D100" s="9"/>
      <c r="E100" s="9"/>
      <c r="F100" s="9"/>
      <c r="G100" s="9"/>
      <c r="H100" s="9"/>
      <c r="I100" s="19"/>
      <c r="J100" s="9"/>
      <c r="K100" s="9"/>
      <c r="L100" s="9"/>
      <c r="M100" s="9"/>
      <c r="N100" s="9"/>
      <c r="O100" s="9"/>
      <c r="P100" s="9"/>
      <c r="Q100" s="9"/>
      <c r="R100" s="9"/>
      <c r="S100" s="38"/>
      <c r="T100" s="38"/>
      <c r="U100" s="38"/>
      <c r="V100" s="38"/>
      <c r="W100" s="38"/>
      <c r="X100" s="38"/>
      <c r="Y100" s="38"/>
      <c r="Z100" s="39"/>
      <c r="AA100" s="39"/>
      <c r="AB100" s="39"/>
      <c r="AC100" s="39"/>
      <c r="AD100" s="39"/>
      <c r="AE100" s="39"/>
      <c r="AF100" s="39"/>
      <c r="AG100" s="39"/>
      <c r="AH100" s="39"/>
      <c r="AI100" s="39"/>
      <c r="AJ100" s="39"/>
      <c r="AK100" s="39"/>
      <c r="AL100" s="39"/>
      <c r="AM100" s="39"/>
      <c r="AN100" s="39"/>
      <c r="AO100" s="39"/>
      <c r="AP100" s="39"/>
    </row>
    <row r="101" spans="1:42" s="2" customFormat="1" ht="20.100000000000001" customHeight="1" x14ac:dyDescent="0.25">
      <c r="A101" s="9"/>
      <c r="B101" s="9"/>
      <c r="C101" s="9"/>
      <c r="D101" s="9"/>
      <c r="E101" s="9"/>
      <c r="F101" s="9"/>
      <c r="G101" s="9"/>
      <c r="H101" s="9"/>
      <c r="I101" s="19"/>
      <c r="J101" s="9"/>
      <c r="K101" s="9"/>
      <c r="L101" s="9"/>
      <c r="M101" s="9"/>
      <c r="N101" s="9"/>
      <c r="O101" s="9"/>
      <c r="P101" s="9"/>
      <c r="Q101" s="9"/>
      <c r="R101" s="9"/>
      <c r="S101" s="38"/>
      <c r="T101" s="38"/>
      <c r="U101" s="38"/>
      <c r="V101" s="38"/>
      <c r="W101" s="38"/>
      <c r="X101" s="38"/>
      <c r="Y101" s="38"/>
      <c r="Z101" s="39"/>
      <c r="AA101" s="39"/>
      <c r="AB101" s="39"/>
      <c r="AC101" s="39"/>
      <c r="AD101" s="39"/>
      <c r="AE101" s="39"/>
      <c r="AF101" s="39"/>
      <c r="AG101" s="39"/>
      <c r="AH101" s="39"/>
      <c r="AI101" s="39"/>
      <c r="AJ101" s="39"/>
      <c r="AK101" s="39"/>
      <c r="AL101" s="39"/>
      <c r="AM101" s="39"/>
      <c r="AN101" s="39"/>
      <c r="AO101" s="39"/>
      <c r="AP101" s="39"/>
    </row>
    <row r="102" spans="1:42" s="2" customFormat="1" ht="20.100000000000001" customHeight="1" x14ac:dyDescent="0.25">
      <c r="A102" s="9"/>
      <c r="B102" s="9"/>
      <c r="C102" s="9"/>
      <c r="D102" s="9"/>
      <c r="E102" s="9"/>
      <c r="F102" s="9"/>
      <c r="G102" s="9"/>
      <c r="H102" s="9"/>
      <c r="I102" s="19"/>
      <c r="J102" s="9"/>
      <c r="K102" s="9"/>
      <c r="L102" s="9"/>
      <c r="M102" s="9"/>
      <c r="N102" s="9"/>
      <c r="O102" s="9"/>
      <c r="P102" s="9"/>
      <c r="Q102" s="9"/>
      <c r="R102" s="9"/>
      <c r="S102" s="38"/>
      <c r="T102" s="38"/>
      <c r="U102" s="38"/>
      <c r="V102" s="38"/>
      <c r="W102" s="38"/>
      <c r="X102" s="38"/>
      <c r="Y102" s="38"/>
      <c r="Z102" s="39"/>
      <c r="AA102" s="39"/>
      <c r="AB102" s="39"/>
      <c r="AC102" s="39"/>
      <c r="AD102" s="39"/>
      <c r="AE102" s="39"/>
      <c r="AF102" s="39"/>
      <c r="AG102" s="39"/>
      <c r="AH102" s="39"/>
      <c r="AI102" s="39"/>
      <c r="AJ102" s="39"/>
      <c r="AK102" s="39"/>
      <c r="AL102" s="39"/>
      <c r="AM102" s="39"/>
      <c r="AN102" s="39"/>
      <c r="AO102" s="39"/>
      <c r="AP102" s="39"/>
    </row>
    <row r="103" spans="1:42" s="2" customFormat="1" ht="20.100000000000001" customHeight="1" x14ac:dyDescent="0.25">
      <c r="A103" s="9"/>
      <c r="B103" s="9"/>
      <c r="C103" s="9"/>
      <c r="D103" s="9"/>
      <c r="E103" s="9"/>
      <c r="F103" s="9"/>
      <c r="G103" s="9"/>
      <c r="H103" s="9"/>
      <c r="I103" s="19"/>
      <c r="J103" s="9"/>
      <c r="K103" s="9"/>
      <c r="L103" s="9"/>
      <c r="M103" s="9"/>
      <c r="N103" s="9"/>
      <c r="O103" s="9"/>
      <c r="P103" s="9"/>
      <c r="Q103" s="9"/>
      <c r="R103" s="9"/>
      <c r="S103" s="38"/>
      <c r="T103" s="38"/>
      <c r="U103" s="38"/>
      <c r="V103" s="38"/>
      <c r="W103" s="38"/>
      <c r="X103" s="38"/>
      <c r="Y103" s="38"/>
      <c r="Z103" s="39"/>
      <c r="AA103" s="39"/>
      <c r="AB103" s="39"/>
      <c r="AC103" s="39"/>
      <c r="AD103" s="39"/>
      <c r="AE103" s="39"/>
      <c r="AF103" s="39"/>
      <c r="AG103" s="39"/>
      <c r="AH103" s="39"/>
      <c r="AI103" s="39"/>
      <c r="AJ103" s="39"/>
      <c r="AK103" s="39"/>
      <c r="AL103" s="39"/>
      <c r="AM103" s="39"/>
      <c r="AN103" s="39"/>
      <c r="AO103" s="39"/>
      <c r="AP103" s="39"/>
    </row>
    <row r="104" spans="1:42" s="2" customFormat="1" ht="20.100000000000001" customHeight="1" x14ac:dyDescent="0.25">
      <c r="A104" s="9"/>
      <c r="B104" s="9"/>
      <c r="C104" s="9"/>
      <c r="D104" s="9"/>
      <c r="E104" s="9"/>
      <c r="F104" s="9"/>
      <c r="G104" s="9"/>
      <c r="H104" s="9"/>
      <c r="I104" s="19"/>
      <c r="J104" s="9"/>
      <c r="K104" s="9"/>
      <c r="L104" s="9"/>
      <c r="M104" s="9"/>
      <c r="N104" s="9"/>
      <c r="O104" s="9"/>
      <c r="P104" s="9"/>
      <c r="Q104" s="9"/>
      <c r="R104" s="9"/>
      <c r="S104" s="38"/>
      <c r="T104" s="38"/>
      <c r="U104" s="38"/>
      <c r="V104" s="38"/>
      <c r="W104" s="38"/>
      <c r="X104" s="38"/>
      <c r="Y104" s="38"/>
      <c r="Z104" s="39"/>
      <c r="AA104" s="39"/>
      <c r="AB104" s="39"/>
      <c r="AC104" s="39"/>
      <c r="AD104" s="39"/>
      <c r="AE104" s="39"/>
      <c r="AF104" s="39"/>
      <c r="AG104" s="39"/>
      <c r="AH104" s="39"/>
      <c r="AI104" s="39"/>
      <c r="AJ104" s="39"/>
      <c r="AK104" s="39"/>
      <c r="AL104" s="39"/>
      <c r="AM104" s="39"/>
      <c r="AN104" s="39"/>
      <c r="AO104" s="39"/>
      <c r="AP104" s="39"/>
    </row>
    <row r="106" spans="1:42" s="2" customFormat="1" ht="20.100000000000001" customHeight="1" x14ac:dyDescent="0.25">
      <c r="A106" s="9"/>
      <c r="B106" s="9"/>
      <c r="C106" s="9"/>
      <c r="D106" s="9"/>
      <c r="E106" s="9"/>
      <c r="F106" s="9"/>
      <c r="G106" s="9"/>
      <c r="H106" s="9"/>
      <c r="I106" s="9"/>
      <c r="J106" s="9"/>
      <c r="K106" s="9"/>
      <c r="L106" s="9"/>
      <c r="M106" s="9"/>
      <c r="N106" s="9"/>
      <c r="O106" s="9"/>
      <c r="P106" s="24"/>
      <c r="Q106" s="24"/>
      <c r="R106" s="24"/>
      <c r="S106" s="38"/>
      <c r="T106" s="38"/>
      <c r="U106" s="38"/>
      <c r="V106" s="38"/>
      <c r="W106" s="40"/>
      <c r="X106" s="40"/>
      <c r="Y106" s="40"/>
      <c r="Z106" s="39"/>
      <c r="AA106" s="39"/>
      <c r="AB106" s="39"/>
      <c r="AC106" s="39"/>
      <c r="AD106" s="39"/>
      <c r="AE106" s="39"/>
      <c r="AF106" s="39"/>
      <c r="AG106" s="39"/>
      <c r="AH106" s="39"/>
      <c r="AI106" s="39"/>
      <c r="AJ106" s="39"/>
      <c r="AK106" s="39"/>
      <c r="AL106" s="39"/>
      <c r="AM106" s="39"/>
      <c r="AN106" s="39"/>
      <c r="AO106" s="39"/>
      <c r="AP106" s="39"/>
    </row>
    <row r="107" spans="1:42" s="2" customFormat="1" ht="20.100000000000001" customHeight="1" x14ac:dyDescent="0.25">
      <c r="A107" s="56" t="s">
        <v>19</v>
      </c>
      <c r="B107" s="56"/>
      <c r="C107" s="56"/>
      <c r="D107" s="56"/>
      <c r="E107" s="56"/>
      <c r="F107" s="56"/>
      <c r="G107" s="56"/>
      <c r="H107" s="56"/>
      <c r="I107" s="56"/>
      <c r="J107" s="56"/>
      <c r="K107" s="56"/>
      <c r="L107" s="56"/>
      <c r="M107" s="56"/>
      <c r="N107" s="56"/>
      <c r="O107" s="56"/>
      <c r="P107" s="56"/>
      <c r="Q107" s="56"/>
      <c r="R107" s="56"/>
      <c r="S107" s="38"/>
      <c r="T107" s="38"/>
      <c r="U107" s="38"/>
      <c r="V107" s="38"/>
      <c r="W107" s="38"/>
      <c r="X107" s="38"/>
      <c r="Y107" s="38"/>
      <c r="Z107" s="39"/>
      <c r="AA107" s="39"/>
      <c r="AB107" s="39"/>
      <c r="AC107" s="39"/>
      <c r="AD107" s="39"/>
      <c r="AE107" s="39"/>
      <c r="AF107" s="39"/>
      <c r="AG107" s="39"/>
      <c r="AH107" s="39"/>
      <c r="AI107" s="39"/>
      <c r="AJ107" s="39"/>
      <c r="AK107" s="39"/>
      <c r="AL107" s="39"/>
      <c r="AM107" s="39"/>
      <c r="AN107" s="39"/>
      <c r="AO107" s="39"/>
      <c r="AP107" s="39"/>
    </row>
    <row r="109" spans="1:42" s="2" customFormat="1" ht="20.100000000000001" customHeight="1" x14ac:dyDescent="0.25">
      <c r="A109" s="31" t="s">
        <v>3</v>
      </c>
      <c r="B109" s="44" t="str">
        <f>O32</f>
        <v>Preço  unitário da terra nua homogeneizado</v>
      </c>
      <c r="C109" s="44"/>
      <c r="D109" s="44"/>
      <c r="E109" s="44"/>
      <c r="F109" s="44"/>
      <c r="G109" s="25"/>
      <c r="H109" s="9"/>
      <c r="I109" s="9"/>
      <c r="J109" s="9"/>
      <c r="K109" s="9"/>
      <c r="L109" s="47" t="s">
        <v>48</v>
      </c>
      <c r="M109" s="47"/>
      <c r="N109" s="47"/>
      <c r="O109" s="47"/>
      <c r="P109" s="47"/>
      <c r="Q109" s="50">
        <f>COUNT(B110:B112)</f>
        <v>3</v>
      </c>
      <c r="R109" s="50"/>
      <c r="S109" s="38"/>
      <c r="T109" s="38"/>
      <c r="U109" s="38"/>
      <c r="V109" s="38" t="s">
        <v>12</v>
      </c>
      <c r="W109" s="38" t="s">
        <v>13</v>
      </c>
      <c r="X109" s="38" t="s">
        <v>10</v>
      </c>
      <c r="Y109" s="38" t="e">
        <f>VLOOKUP(P119,B110:G112,6,0)</f>
        <v>#N/A</v>
      </c>
      <c r="Z109" s="39"/>
      <c r="AA109" s="39"/>
      <c r="AB109" s="39"/>
      <c r="AC109" s="39"/>
      <c r="AD109" s="39"/>
      <c r="AE109" s="39"/>
      <c r="AF109" s="39"/>
      <c r="AG109" s="39"/>
      <c r="AH109" s="39"/>
      <c r="AI109" s="39"/>
      <c r="AJ109" s="39"/>
      <c r="AK109" s="39"/>
      <c r="AL109" s="39"/>
      <c r="AM109" s="39"/>
      <c r="AN109" s="39"/>
      <c r="AO109" s="39"/>
      <c r="AP109" s="39"/>
    </row>
    <row r="110" spans="1:42" s="2" customFormat="1" ht="20.100000000000001" customHeight="1" x14ac:dyDescent="0.25">
      <c r="A110" s="26">
        <f>A10</f>
        <v>1</v>
      </c>
      <c r="B110" s="45">
        <f>O33</f>
        <v>257142.85714285713</v>
      </c>
      <c r="C110" s="45"/>
      <c r="D110" s="45"/>
      <c r="E110" s="45"/>
      <c r="F110" s="45"/>
      <c r="G110" s="27">
        <f>A110</f>
        <v>1</v>
      </c>
      <c r="H110" s="9"/>
      <c r="I110" s="9"/>
      <c r="J110" s="9"/>
      <c r="K110" s="9"/>
      <c r="L110" s="47" t="s">
        <v>20</v>
      </c>
      <c r="M110" s="47"/>
      <c r="N110" s="47"/>
      <c r="O110" s="47"/>
      <c r="P110" s="47"/>
      <c r="Q110" s="49">
        <f>_xlfn.NORM.S.INV(1-((1/Q109)/4))</f>
        <v>1.3829941271006372</v>
      </c>
      <c r="R110" s="49"/>
      <c r="S110" s="38"/>
      <c r="T110" s="38"/>
      <c r="U110" s="38"/>
      <c r="V110" s="40">
        <f>$P$115</f>
        <v>115206.76182222764</v>
      </c>
      <c r="W110" s="40">
        <f>$P$114</f>
        <v>270938.96368408197</v>
      </c>
      <c r="X110" s="40">
        <f>$P$112</f>
        <v>193072.8627531548</v>
      </c>
      <c r="Y110" s="40"/>
      <c r="Z110" s="39"/>
      <c r="AA110" s="39"/>
      <c r="AB110" s="39"/>
      <c r="AC110" s="39"/>
      <c r="AD110" s="39"/>
      <c r="AE110" s="39"/>
      <c r="AF110" s="39"/>
      <c r="AG110" s="39"/>
      <c r="AH110" s="39"/>
      <c r="AI110" s="39"/>
      <c r="AJ110" s="39"/>
      <c r="AK110" s="39"/>
      <c r="AL110" s="39"/>
      <c r="AM110" s="39"/>
      <c r="AN110" s="39"/>
      <c r="AO110" s="39"/>
      <c r="AP110" s="39"/>
    </row>
    <row r="111" spans="1:42" s="2" customFormat="1" ht="20.100000000000001" customHeight="1" x14ac:dyDescent="0.25">
      <c r="A111" s="28">
        <f>A11</f>
        <v>2</v>
      </c>
      <c r="B111" s="48">
        <f>O34</f>
        <v>170590.58260175577</v>
      </c>
      <c r="C111" s="48"/>
      <c r="D111" s="48"/>
      <c r="E111" s="48"/>
      <c r="F111" s="48"/>
      <c r="G111" s="27">
        <f t="shared" ref="G111:G112" si="7">A111</f>
        <v>2</v>
      </c>
      <c r="H111" s="9"/>
      <c r="I111" s="9"/>
      <c r="J111" s="9"/>
      <c r="K111" s="9"/>
      <c r="L111" s="9"/>
      <c r="M111" s="9"/>
      <c r="N111" s="9"/>
      <c r="O111" s="9"/>
      <c r="P111" s="9"/>
      <c r="Q111" s="9"/>
      <c r="R111" s="9"/>
      <c r="S111" s="39"/>
      <c r="T111" s="39"/>
      <c r="U111" s="39"/>
      <c r="V111" s="40">
        <f>$P$115</f>
        <v>115206.76182222764</v>
      </c>
      <c r="W111" s="40">
        <f>$P$114</f>
        <v>270938.96368408197</v>
      </c>
      <c r="X111" s="40">
        <f>$P$112</f>
        <v>193072.8627531548</v>
      </c>
      <c r="Y111" s="39"/>
      <c r="Z111" s="39"/>
      <c r="AA111" s="39"/>
      <c r="AB111" s="39"/>
      <c r="AC111" s="39"/>
      <c r="AD111" s="39"/>
      <c r="AE111" s="39"/>
      <c r="AF111" s="39"/>
      <c r="AG111" s="39"/>
      <c r="AH111" s="39"/>
      <c r="AI111" s="39"/>
      <c r="AJ111" s="39"/>
      <c r="AK111" s="39"/>
      <c r="AL111" s="39"/>
      <c r="AM111" s="39"/>
      <c r="AN111" s="39"/>
      <c r="AO111" s="39"/>
      <c r="AP111" s="39"/>
    </row>
    <row r="112" spans="1:42" s="2" customFormat="1" ht="20.100000000000001" customHeight="1" x14ac:dyDescent="0.25">
      <c r="A112" s="28">
        <f>A12</f>
        <v>3</v>
      </c>
      <c r="B112" s="48">
        <f>O35</f>
        <v>151485.14851485143</v>
      </c>
      <c r="C112" s="48"/>
      <c r="D112" s="48"/>
      <c r="E112" s="48"/>
      <c r="F112" s="48"/>
      <c r="G112" s="27">
        <f t="shared" si="7"/>
        <v>3</v>
      </c>
      <c r="H112" s="9"/>
      <c r="I112" s="9"/>
      <c r="J112" s="9"/>
      <c r="K112" s="9"/>
      <c r="L112" s="47" t="s">
        <v>10</v>
      </c>
      <c r="M112" s="47"/>
      <c r="N112" s="47"/>
      <c r="O112" s="47"/>
      <c r="P112" s="45">
        <f>AVERAGE(B110:B112)</f>
        <v>193072.8627531548</v>
      </c>
      <c r="Q112" s="45"/>
      <c r="R112" s="45"/>
      <c r="S112" s="39"/>
      <c r="T112" s="39"/>
      <c r="U112" s="39"/>
      <c r="V112" s="40">
        <f>$P$115</f>
        <v>115206.76182222764</v>
      </c>
      <c r="W112" s="40">
        <f>$P$114</f>
        <v>270938.96368408197</v>
      </c>
      <c r="X112" s="40">
        <f>$P$112</f>
        <v>193072.8627531548</v>
      </c>
      <c r="Y112" s="39"/>
      <c r="Z112" s="39"/>
      <c r="AA112" s="39"/>
      <c r="AB112" s="39"/>
      <c r="AC112" s="39"/>
      <c r="AD112" s="39"/>
      <c r="AE112" s="39"/>
      <c r="AF112" s="39"/>
      <c r="AG112" s="39"/>
      <c r="AH112" s="39"/>
      <c r="AI112" s="39"/>
      <c r="AJ112" s="39"/>
      <c r="AK112" s="39"/>
      <c r="AL112" s="39"/>
      <c r="AM112" s="39"/>
      <c r="AN112" s="39"/>
      <c r="AO112" s="39"/>
      <c r="AP112" s="39"/>
    </row>
    <row r="113" spans="1:42" s="2" customFormat="1" ht="20.100000000000001" customHeight="1" x14ac:dyDescent="0.25">
      <c r="A113" s="9"/>
      <c r="B113" s="9"/>
      <c r="C113" s="9"/>
      <c r="D113" s="9"/>
      <c r="E113" s="9"/>
      <c r="F113" s="9"/>
      <c r="G113" s="9"/>
      <c r="H113" s="9"/>
      <c r="I113" s="9"/>
      <c r="J113" s="9"/>
      <c r="K113" s="9"/>
      <c r="L113" s="47" t="s">
        <v>11</v>
      </c>
      <c r="M113" s="47"/>
      <c r="N113" s="47"/>
      <c r="O113" s="47"/>
      <c r="P113" s="45">
        <f>STDEVA(B110:B112)</f>
        <v>56302.553572059405</v>
      </c>
      <c r="Q113" s="45"/>
      <c r="R113" s="45"/>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row>
    <row r="114" spans="1:42" s="2" customFormat="1" ht="20.100000000000001" customHeight="1" x14ac:dyDescent="0.25">
      <c r="A114" s="9"/>
      <c r="B114" s="9"/>
      <c r="C114" s="9"/>
      <c r="D114" s="9"/>
      <c r="E114" s="9"/>
      <c r="F114" s="9"/>
      <c r="G114" s="9"/>
      <c r="H114" s="9"/>
      <c r="I114" s="9"/>
      <c r="J114" s="9"/>
      <c r="K114" s="9"/>
      <c r="L114" s="47" t="s">
        <v>13</v>
      </c>
      <c r="M114" s="47"/>
      <c r="N114" s="47"/>
      <c r="O114" s="47"/>
      <c r="P114" s="45">
        <f>P112+(Q110*P113)</f>
        <v>270938.96368408197</v>
      </c>
      <c r="Q114" s="45"/>
      <c r="R114" s="45"/>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row>
    <row r="115" spans="1:42" s="2" customFormat="1" ht="20.100000000000001" customHeight="1" x14ac:dyDescent="0.25">
      <c r="A115" s="9"/>
      <c r="B115" s="9"/>
      <c r="C115" s="9"/>
      <c r="D115" s="9"/>
      <c r="E115" s="9"/>
      <c r="F115" s="9"/>
      <c r="G115" s="9"/>
      <c r="H115" s="9"/>
      <c r="I115" s="9"/>
      <c r="J115" s="9"/>
      <c r="K115" s="9"/>
      <c r="L115" s="47" t="s">
        <v>12</v>
      </c>
      <c r="M115" s="47"/>
      <c r="N115" s="47"/>
      <c r="O115" s="47"/>
      <c r="P115" s="45">
        <f>P112-(Q110*P113)</f>
        <v>115206.76182222764</v>
      </c>
      <c r="Q115" s="45"/>
      <c r="R115" s="45"/>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row>
    <row r="116" spans="1:42" ht="20.100000000000001" customHeight="1" x14ac:dyDescent="0.25">
      <c r="L116" s="47" t="s">
        <v>15</v>
      </c>
      <c r="M116" s="47"/>
      <c r="N116" s="47"/>
      <c r="O116" s="47"/>
      <c r="P116" s="45">
        <f>MAX(B110:B112)</f>
        <v>257142.85714285713</v>
      </c>
      <c r="Q116" s="45"/>
      <c r="R116" s="45"/>
    </row>
    <row r="117" spans="1:42" s="2" customFormat="1" ht="20.100000000000001" customHeight="1" x14ac:dyDescent="0.25">
      <c r="A117" s="9"/>
      <c r="B117" s="9"/>
      <c r="C117" s="9"/>
      <c r="D117" s="9"/>
      <c r="E117" s="9"/>
      <c r="F117" s="9"/>
      <c r="G117" s="9"/>
      <c r="H117" s="9"/>
      <c r="I117" s="9"/>
      <c r="J117" s="9"/>
      <c r="K117" s="9"/>
      <c r="L117" s="47" t="s">
        <v>14</v>
      </c>
      <c r="M117" s="47"/>
      <c r="N117" s="47"/>
      <c r="O117" s="47"/>
      <c r="P117" s="45">
        <f>MIN(B110:B112)</f>
        <v>151485.14851485143</v>
      </c>
      <c r="Q117" s="45"/>
      <c r="R117" s="45"/>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row>
    <row r="118" spans="1:42" s="2" customFormat="1" ht="20.100000000000001" customHeight="1" x14ac:dyDescent="0.25">
      <c r="A118" s="9"/>
      <c r="B118" s="9"/>
      <c r="C118" s="9"/>
      <c r="D118" s="9"/>
      <c r="E118" s="9"/>
      <c r="F118" s="9"/>
      <c r="G118" s="9"/>
      <c r="H118" s="9"/>
      <c r="I118" s="9"/>
      <c r="J118" s="9"/>
      <c r="K118" s="9"/>
      <c r="L118" s="9"/>
      <c r="M118" s="9"/>
      <c r="N118" s="9"/>
      <c r="O118" s="9"/>
      <c r="P118" s="9"/>
      <c r="Q118" s="9"/>
      <c r="R118" s="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row>
    <row r="119" spans="1:42" ht="20.100000000000001" customHeight="1" x14ac:dyDescent="0.25">
      <c r="L119" s="47" t="s">
        <v>18</v>
      </c>
      <c r="M119" s="47"/>
      <c r="N119" s="74" t="str">
        <f>IF(P119="Nada a excluir","",Y109)</f>
        <v/>
      </c>
      <c r="O119" s="74"/>
      <c r="P119" s="45" t="str" cm="1">
        <f t="array" ref="P119">_xlfn.IFS(AND(OR(P116&gt;P114,P117&lt;P115),(P116-P112)&gt;(P112-P117)),P116,AND(OR(P117&lt;P115,P116&gt;P114),(P112-P117)&gt;(P116-P112)),P117,AND(P116&lt;=P114,P117&gt;=P115),"Nada a excluir")</f>
        <v>Nada a excluir</v>
      </c>
      <c r="Q119" s="45"/>
      <c r="R119" s="45"/>
    </row>
    <row r="120" spans="1:42" ht="20.100000000000001" customHeight="1" x14ac:dyDescent="0.25">
      <c r="L120" s="54" t="s">
        <v>17</v>
      </c>
      <c r="M120" s="54"/>
      <c r="N120" s="54"/>
      <c r="O120" s="54"/>
      <c r="P120" s="61" t="str">
        <f>IF(P119="Nada a excluir","Encerrar","Continuar")</f>
        <v>Encerrar</v>
      </c>
      <c r="Q120" s="61"/>
      <c r="R120" s="61"/>
    </row>
    <row r="123" spans="1:42" ht="20.100000000000001" customHeight="1" x14ac:dyDescent="0.25">
      <c r="L123" s="47" t="s">
        <v>16</v>
      </c>
      <c r="M123" s="47"/>
      <c r="N123" s="47"/>
      <c r="O123" s="47"/>
      <c r="P123" s="51">
        <f>P113</f>
        <v>56302.553572059405</v>
      </c>
      <c r="Q123" s="52"/>
      <c r="R123" s="52"/>
    </row>
    <row r="124" spans="1:42" ht="20.100000000000001" customHeight="1" x14ac:dyDescent="0.25">
      <c r="L124" s="54" t="s">
        <v>9</v>
      </c>
      <c r="M124" s="54"/>
      <c r="N124" s="54"/>
      <c r="O124" s="54"/>
      <c r="P124" s="77">
        <f>P113/P112</f>
        <v>0.29161298366432092</v>
      </c>
      <c r="Q124" s="77"/>
      <c r="R124" s="77"/>
    </row>
    <row r="125" spans="1:42" ht="20.100000000000001" customHeight="1" x14ac:dyDescent="0.25">
      <c r="N125" s="1"/>
      <c r="O125" s="1"/>
      <c r="P125" s="1"/>
      <c r="Q125" s="1"/>
      <c r="R125" s="1"/>
    </row>
    <row r="126" spans="1:42" ht="20.100000000000001" customHeight="1" x14ac:dyDescent="0.25">
      <c r="N126" s="1"/>
      <c r="O126" s="1"/>
      <c r="P126" s="1"/>
      <c r="Q126" s="1"/>
      <c r="R126" s="1"/>
    </row>
    <row r="127" spans="1:42" ht="20.100000000000001" customHeight="1" x14ac:dyDescent="0.25">
      <c r="N127" s="1"/>
      <c r="O127" s="1"/>
      <c r="P127" s="1"/>
      <c r="Q127" s="1"/>
      <c r="R127" s="1"/>
    </row>
    <row r="128" spans="1:42" ht="20.100000000000001" customHeight="1" x14ac:dyDescent="0.25">
      <c r="N128" s="1"/>
      <c r="O128" s="1"/>
      <c r="P128" s="1"/>
      <c r="Q128" s="1"/>
      <c r="R128" s="1"/>
    </row>
    <row r="147" spans="1:42" s="2" customFormat="1" ht="20.100000000000001" customHeight="1" x14ac:dyDescent="0.25">
      <c r="A147" s="56" t="s">
        <v>21</v>
      </c>
      <c r="B147" s="56"/>
      <c r="C147" s="56"/>
      <c r="D147" s="56"/>
      <c r="E147" s="56"/>
      <c r="F147" s="56"/>
      <c r="G147" s="56"/>
      <c r="H147" s="56"/>
      <c r="I147" s="56"/>
      <c r="J147" s="56"/>
      <c r="K147" s="56"/>
      <c r="L147" s="56"/>
      <c r="M147" s="56"/>
      <c r="N147" s="56"/>
      <c r="O147" s="56"/>
      <c r="P147" s="56"/>
      <c r="Q147" s="56"/>
      <c r="R147" s="56"/>
      <c r="S147" s="38"/>
      <c r="T147" s="38"/>
      <c r="U147" s="38"/>
      <c r="V147" s="38"/>
      <c r="W147" s="38"/>
      <c r="X147" s="38"/>
      <c r="Y147" s="38"/>
      <c r="Z147" s="39"/>
      <c r="AA147" s="39"/>
      <c r="AB147" s="39"/>
      <c r="AC147" s="39"/>
      <c r="AD147" s="39"/>
      <c r="AE147" s="39"/>
      <c r="AF147" s="39"/>
      <c r="AG147" s="39"/>
      <c r="AH147" s="39"/>
      <c r="AI147" s="39"/>
      <c r="AJ147" s="39"/>
      <c r="AK147" s="39"/>
      <c r="AL147" s="39"/>
      <c r="AM147" s="39"/>
      <c r="AN147" s="39"/>
      <c r="AO147" s="39"/>
      <c r="AP147" s="39"/>
    </row>
    <row r="149" spans="1:42" s="2" customFormat="1" ht="20.100000000000001" customHeight="1" x14ac:dyDescent="0.25">
      <c r="A149" s="31" t="s">
        <v>3</v>
      </c>
      <c r="B149" s="44" t="str">
        <f>O32</f>
        <v>Preço  unitário da terra nua homogeneizado</v>
      </c>
      <c r="C149" s="44"/>
      <c r="D149" s="44"/>
      <c r="E149" s="44"/>
      <c r="F149" s="44"/>
      <c r="G149" s="29"/>
      <c r="H149" s="9"/>
      <c r="I149" s="9"/>
      <c r="J149" s="9"/>
      <c r="K149" s="9"/>
      <c r="L149" s="47" t="s">
        <v>48</v>
      </c>
      <c r="M149" s="47"/>
      <c r="N149" s="47"/>
      <c r="O149" s="47"/>
      <c r="P149" s="47"/>
      <c r="Q149" s="71">
        <f>COUNT(B150:B152)</f>
        <v>3</v>
      </c>
      <c r="R149" s="71"/>
      <c r="S149" s="38"/>
      <c r="T149" s="38"/>
      <c r="U149" s="38"/>
      <c r="V149" s="38"/>
      <c r="W149" s="38" t="s">
        <v>12</v>
      </c>
      <c r="X149" s="38" t="s">
        <v>13</v>
      </c>
      <c r="Y149" s="38" t="s">
        <v>10</v>
      </c>
      <c r="Z149" s="39" t="e">
        <f>VLOOKUP(P162,B150:G152,6,0)</f>
        <v>#N/A</v>
      </c>
      <c r="AA149" s="39">
        <f>_xlfn.T.INV.2T(Q150,Q151)</f>
        <v>6.3137515146750438</v>
      </c>
      <c r="AB149" s="39"/>
      <c r="AC149" s="39"/>
      <c r="AD149" s="39"/>
      <c r="AE149" s="39"/>
      <c r="AF149" s="39"/>
      <c r="AG149" s="39"/>
      <c r="AH149" s="39"/>
      <c r="AI149" s="39"/>
      <c r="AJ149" s="39"/>
      <c r="AK149" s="39"/>
      <c r="AL149" s="39"/>
      <c r="AM149" s="39"/>
      <c r="AN149" s="39"/>
      <c r="AO149" s="39"/>
      <c r="AP149" s="39"/>
    </row>
    <row r="150" spans="1:42" s="2" customFormat="1" ht="20.100000000000001" customHeight="1" x14ac:dyDescent="0.25">
      <c r="A150" s="26">
        <f>A10</f>
        <v>1</v>
      </c>
      <c r="B150" s="45">
        <f>O33</f>
        <v>257142.85714285713</v>
      </c>
      <c r="C150" s="45"/>
      <c r="D150" s="45"/>
      <c r="E150" s="45"/>
      <c r="F150" s="45"/>
      <c r="G150" s="27">
        <f>A150</f>
        <v>1</v>
      </c>
      <c r="H150" s="9"/>
      <c r="I150" s="9"/>
      <c r="J150" s="9"/>
      <c r="K150" s="9"/>
      <c r="L150" s="47" t="s">
        <v>22</v>
      </c>
      <c r="M150" s="47"/>
      <c r="N150" s="47"/>
      <c r="O150" s="47"/>
      <c r="P150" s="47"/>
      <c r="Q150" s="67" cm="1">
        <f t="array" ref="Q150">_xlfn.IFS(Q149&lt;=5,0.1,AND(Q149&gt;=6,Q149&lt;=10),0.05,AND(Q149&gt;=11,Q149&lt;=50),0.01,Q149&gt;50,0.001)</f>
        <v>0.1</v>
      </c>
      <c r="R150" s="67"/>
      <c r="S150" s="38"/>
      <c r="T150" s="38"/>
      <c r="U150" s="38"/>
      <c r="V150" s="38"/>
      <c r="W150" s="40">
        <f>$P$158</f>
        <v>114429.32943058942</v>
      </c>
      <c r="X150" s="40">
        <f>$P$157</f>
        <v>271716.3960757202</v>
      </c>
      <c r="Y150" s="40">
        <f>$P$154</f>
        <v>193072.8627531548</v>
      </c>
      <c r="Z150" s="39"/>
      <c r="AA150" s="39">
        <f>((((AA149^2)*(Q149))-AA149^2)/(Q149-2+AA149^2))^(1/2)</f>
        <v>1.3968022466674204</v>
      </c>
      <c r="AB150" s="39"/>
      <c r="AC150" s="39"/>
      <c r="AD150" s="39"/>
      <c r="AE150" s="39"/>
      <c r="AF150" s="39"/>
      <c r="AG150" s="39"/>
      <c r="AH150" s="39"/>
      <c r="AI150" s="39"/>
      <c r="AJ150" s="39"/>
      <c r="AK150" s="39"/>
      <c r="AL150" s="39"/>
      <c r="AM150" s="39"/>
      <c r="AN150" s="39"/>
      <c r="AO150" s="39"/>
      <c r="AP150" s="39"/>
    </row>
    <row r="151" spans="1:42" s="2" customFormat="1" ht="20.100000000000001" customHeight="1" x14ac:dyDescent="0.25">
      <c r="A151" s="28">
        <f>A11</f>
        <v>2</v>
      </c>
      <c r="B151" s="48">
        <f>O34</f>
        <v>170590.58260175577</v>
      </c>
      <c r="C151" s="48"/>
      <c r="D151" s="48"/>
      <c r="E151" s="48"/>
      <c r="F151" s="48"/>
      <c r="G151" s="27">
        <f t="shared" ref="G151:G158" si="8">A151</f>
        <v>2</v>
      </c>
      <c r="H151" s="9"/>
      <c r="I151" s="9"/>
      <c r="J151" s="9"/>
      <c r="K151" s="9"/>
      <c r="L151" s="47" t="s">
        <v>23</v>
      </c>
      <c r="M151" s="47"/>
      <c r="N151" s="47"/>
      <c r="O151" s="47"/>
      <c r="P151" s="47"/>
      <c r="Q151" s="88">
        <f>Q149-2</f>
        <v>1</v>
      </c>
      <c r="R151" s="88"/>
      <c r="S151" s="38"/>
      <c r="T151" s="38"/>
      <c r="U151" s="38"/>
      <c r="V151" s="38"/>
      <c r="W151" s="40">
        <f>$P$158</f>
        <v>114429.32943058942</v>
      </c>
      <c r="X151" s="40">
        <f>$P$157</f>
        <v>271716.3960757202</v>
      </c>
      <c r="Y151" s="40">
        <f>$P$154</f>
        <v>193072.8627531548</v>
      </c>
      <c r="Z151" s="39"/>
      <c r="AA151" s="39"/>
      <c r="AB151" s="39"/>
      <c r="AC151" s="39"/>
      <c r="AD151" s="39"/>
      <c r="AE151" s="39"/>
      <c r="AF151" s="39"/>
      <c r="AG151" s="39"/>
      <c r="AH151" s="39"/>
      <c r="AI151" s="39"/>
      <c r="AJ151" s="39"/>
      <c r="AK151" s="39"/>
      <c r="AL151" s="39"/>
      <c r="AM151" s="39"/>
      <c r="AN151" s="39"/>
      <c r="AO151" s="39"/>
      <c r="AP151" s="39"/>
    </row>
    <row r="152" spans="1:42" s="2" customFormat="1" ht="20.100000000000001" customHeight="1" x14ac:dyDescent="0.25">
      <c r="A152" s="28">
        <f>A12</f>
        <v>3</v>
      </c>
      <c r="B152" s="48">
        <f>O35</f>
        <v>151485.14851485143</v>
      </c>
      <c r="C152" s="48"/>
      <c r="D152" s="48"/>
      <c r="E152" s="48"/>
      <c r="F152" s="48"/>
      <c r="G152" s="27">
        <f t="shared" si="8"/>
        <v>3</v>
      </c>
      <c r="H152" s="9"/>
      <c r="I152" s="9"/>
      <c r="J152" s="9"/>
      <c r="K152" s="9"/>
      <c r="L152" s="47" t="s">
        <v>20</v>
      </c>
      <c r="M152" s="47"/>
      <c r="N152" s="47"/>
      <c r="O152" s="47"/>
      <c r="P152" s="47"/>
      <c r="Q152" s="49">
        <f>AA150</f>
        <v>1.3968022466674204</v>
      </c>
      <c r="R152" s="49"/>
      <c r="S152" s="38"/>
      <c r="T152" s="38"/>
      <c r="U152" s="38"/>
      <c r="V152" s="38"/>
      <c r="W152" s="40">
        <f>$P$158</f>
        <v>114429.32943058942</v>
      </c>
      <c r="X152" s="40">
        <f>$P$157</f>
        <v>271716.3960757202</v>
      </c>
      <c r="Y152" s="40">
        <f>$P$154</f>
        <v>193072.8627531548</v>
      </c>
      <c r="Z152" s="39"/>
      <c r="AA152" s="39"/>
      <c r="AB152" s="39"/>
      <c r="AC152" s="39"/>
      <c r="AD152" s="39"/>
      <c r="AE152" s="39"/>
      <c r="AF152" s="39"/>
      <c r="AG152" s="39"/>
      <c r="AH152" s="39"/>
      <c r="AI152" s="39"/>
      <c r="AJ152" s="39"/>
      <c r="AK152" s="39"/>
      <c r="AL152" s="39"/>
      <c r="AM152" s="39"/>
      <c r="AN152" s="39"/>
      <c r="AO152" s="39"/>
      <c r="AP152" s="39"/>
    </row>
    <row r="153" spans="1:42" s="2" customFormat="1" ht="20.100000000000001" customHeight="1" x14ac:dyDescent="0.25">
      <c r="A153" s="9"/>
      <c r="B153" s="9"/>
      <c r="C153" s="9"/>
      <c r="D153" s="9"/>
      <c r="E153" s="9"/>
      <c r="F153" s="9"/>
      <c r="G153" s="29">
        <f t="shared" si="8"/>
        <v>0</v>
      </c>
      <c r="H153" s="9"/>
      <c r="I153" s="9"/>
      <c r="J153" s="9"/>
      <c r="K153" s="9"/>
      <c r="S153" s="38"/>
      <c r="T153" s="38"/>
      <c r="U153" s="38"/>
      <c r="V153" s="38"/>
      <c r="W153" s="38"/>
      <c r="X153" s="38"/>
      <c r="Y153" s="38"/>
      <c r="Z153" s="39"/>
      <c r="AA153" s="39"/>
      <c r="AB153" s="39"/>
      <c r="AC153" s="39"/>
      <c r="AD153" s="39"/>
      <c r="AE153" s="39"/>
      <c r="AF153" s="39"/>
      <c r="AG153" s="39"/>
      <c r="AH153" s="39"/>
      <c r="AI153" s="39"/>
      <c r="AJ153" s="39"/>
      <c r="AK153" s="39"/>
      <c r="AL153" s="39"/>
      <c r="AM153" s="39"/>
      <c r="AN153" s="39"/>
      <c r="AO153" s="39"/>
      <c r="AP153" s="39"/>
    </row>
    <row r="154" spans="1:42" s="2" customFormat="1" ht="20.100000000000001" customHeight="1" x14ac:dyDescent="0.25">
      <c r="A154" s="9"/>
      <c r="B154" s="9"/>
      <c r="C154" s="9"/>
      <c r="D154" s="9"/>
      <c r="E154" s="9"/>
      <c r="F154" s="9"/>
      <c r="G154" s="29">
        <f t="shared" si="8"/>
        <v>0</v>
      </c>
      <c r="H154" s="9"/>
      <c r="I154" s="9"/>
      <c r="J154" s="9"/>
      <c r="K154" s="9"/>
      <c r="L154" s="47" t="s">
        <v>10</v>
      </c>
      <c r="M154" s="47"/>
      <c r="N154" s="47"/>
      <c r="O154" s="47"/>
      <c r="P154" s="45">
        <f>AVERAGE(B150:B152)</f>
        <v>193072.8627531548</v>
      </c>
      <c r="Q154" s="45"/>
      <c r="R154" s="45"/>
      <c r="S154" s="38"/>
      <c r="T154" s="38"/>
      <c r="U154" s="38"/>
      <c r="V154" s="38"/>
      <c r="W154" s="39"/>
      <c r="X154" s="39"/>
      <c r="Y154" s="39"/>
      <c r="Z154" s="39"/>
      <c r="AA154" s="39"/>
      <c r="AB154" s="39"/>
      <c r="AC154" s="39"/>
      <c r="AD154" s="39"/>
      <c r="AE154" s="39"/>
      <c r="AF154" s="39"/>
      <c r="AG154" s="39"/>
      <c r="AH154" s="39"/>
      <c r="AI154" s="39"/>
      <c r="AJ154" s="39"/>
      <c r="AK154" s="39"/>
      <c r="AL154" s="39"/>
      <c r="AM154" s="39"/>
      <c r="AN154" s="39"/>
      <c r="AO154" s="39"/>
      <c r="AP154" s="39"/>
    </row>
    <row r="155" spans="1:42" s="2" customFormat="1" ht="20.100000000000001" customHeight="1" x14ac:dyDescent="0.25">
      <c r="A155" s="9"/>
      <c r="B155" s="9"/>
      <c r="C155" s="9"/>
      <c r="D155" s="9"/>
      <c r="E155" s="9"/>
      <c r="F155" s="9"/>
      <c r="G155" s="29">
        <f t="shared" si="8"/>
        <v>0</v>
      </c>
      <c r="H155" s="9"/>
      <c r="I155" s="9"/>
      <c r="J155" s="9"/>
      <c r="K155" s="9"/>
      <c r="L155" s="47" t="s">
        <v>11</v>
      </c>
      <c r="M155" s="47"/>
      <c r="N155" s="47"/>
      <c r="O155" s="47"/>
      <c r="P155" s="45">
        <f>STDEVA(B150:B152)</f>
        <v>56302.553572059405</v>
      </c>
      <c r="Q155" s="45"/>
      <c r="R155" s="45"/>
      <c r="S155" s="38"/>
      <c r="T155" s="38"/>
      <c r="U155" s="38"/>
      <c r="V155" s="38"/>
      <c r="W155" s="39"/>
      <c r="X155" s="39"/>
      <c r="Y155" s="39"/>
      <c r="Z155" s="39"/>
      <c r="AA155" s="39"/>
      <c r="AB155" s="39"/>
      <c r="AC155" s="39"/>
      <c r="AD155" s="39"/>
      <c r="AE155" s="39"/>
      <c r="AF155" s="39"/>
      <c r="AG155" s="39"/>
      <c r="AH155" s="39"/>
      <c r="AI155" s="39"/>
      <c r="AJ155" s="39"/>
      <c r="AK155" s="39"/>
      <c r="AL155" s="39"/>
      <c r="AM155" s="39"/>
      <c r="AN155" s="39"/>
      <c r="AO155" s="39"/>
      <c r="AP155" s="39"/>
    </row>
    <row r="156" spans="1:42" s="2" customFormat="1" ht="20.100000000000001" customHeight="1" x14ac:dyDescent="0.25">
      <c r="A156" s="9"/>
      <c r="B156" s="9"/>
      <c r="C156" s="9"/>
      <c r="D156" s="9"/>
      <c r="E156" s="9"/>
      <c r="F156" s="9"/>
      <c r="G156" s="29">
        <f t="shared" si="8"/>
        <v>0</v>
      </c>
      <c r="H156" s="9"/>
      <c r="I156" s="9"/>
      <c r="J156" s="9"/>
      <c r="K156" s="9"/>
      <c r="S156" s="38"/>
      <c r="T156" s="38"/>
      <c r="U156" s="38"/>
      <c r="V156" s="38"/>
      <c r="W156" s="39"/>
      <c r="X156" s="39"/>
      <c r="Y156" s="39"/>
      <c r="Z156" s="39"/>
      <c r="AA156" s="39"/>
      <c r="AB156" s="39"/>
      <c r="AC156" s="39"/>
      <c r="AD156" s="39"/>
      <c r="AE156" s="39"/>
      <c r="AF156" s="39"/>
      <c r="AG156" s="39"/>
      <c r="AH156" s="39"/>
      <c r="AI156" s="39"/>
      <c r="AJ156" s="39"/>
      <c r="AK156" s="39"/>
      <c r="AL156" s="39"/>
      <c r="AM156" s="39"/>
      <c r="AN156" s="39"/>
      <c r="AO156" s="39"/>
      <c r="AP156" s="39"/>
    </row>
    <row r="157" spans="1:42" s="2" customFormat="1" ht="20.100000000000001" customHeight="1" x14ac:dyDescent="0.25">
      <c r="A157" s="9"/>
      <c r="B157" s="9"/>
      <c r="C157" s="9"/>
      <c r="D157" s="9"/>
      <c r="E157" s="9"/>
      <c r="F157" s="9"/>
      <c r="G157" s="29">
        <f t="shared" si="8"/>
        <v>0</v>
      </c>
      <c r="H157" s="9"/>
      <c r="I157" s="9"/>
      <c r="J157" s="9"/>
      <c r="K157" s="9"/>
      <c r="L157" s="47" t="s">
        <v>13</v>
      </c>
      <c r="M157" s="47"/>
      <c r="N157" s="47"/>
      <c r="O157" s="47"/>
      <c r="P157" s="45">
        <f>P154+(Q152*P155)</f>
        <v>271716.3960757202</v>
      </c>
      <c r="Q157" s="45"/>
      <c r="R157" s="45"/>
      <c r="S157" s="38"/>
      <c r="T157" s="38"/>
      <c r="U157" s="38"/>
      <c r="V157" s="38"/>
      <c r="W157" s="39"/>
      <c r="X157" s="39"/>
      <c r="Y157" s="39"/>
      <c r="Z157" s="39"/>
      <c r="AA157" s="39"/>
      <c r="AB157" s="39"/>
      <c r="AC157" s="39"/>
      <c r="AD157" s="39"/>
      <c r="AE157" s="39"/>
      <c r="AF157" s="39"/>
      <c r="AG157" s="39"/>
      <c r="AH157" s="39"/>
      <c r="AI157" s="39"/>
      <c r="AJ157" s="39"/>
      <c r="AK157" s="39"/>
      <c r="AL157" s="39"/>
      <c r="AM157" s="39"/>
      <c r="AN157" s="39"/>
      <c r="AO157" s="39"/>
      <c r="AP157" s="39"/>
    </row>
    <row r="158" spans="1:42" ht="20.100000000000001" customHeight="1" x14ac:dyDescent="0.25">
      <c r="G158" s="29">
        <f t="shared" si="8"/>
        <v>0</v>
      </c>
      <c r="L158" s="47" t="s">
        <v>12</v>
      </c>
      <c r="M158" s="47"/>
      <c r="N158" s="47"/>
      <c r="O158" s="47"/>
      <c r="P158" s="45">
        <f>P154-(Q152*P155)</f>
        <v>114429.32943058942</v>
      </c>
      <c r="Q158" s="45"/>
      <c r="R158" s="45"/>
      <c r="Z158" s="38"/>
      <c r="AA158" s="38"/>
    </row>
    <row r="159" spans="1:42" ht="20.100000000000001" customHeight="1" x14ac:dyDescent="0.25">
      <c r="L159" s="47" t="s">
        <v>15</v>
      </c>
      <c r="M159" s="47"/>
      <c r="N159" s="47"/>
      <c r="O159" s="47"/>
      <c r="P159" s="45">
        <f>MAX(B150:B158)</f>
        <v>257142.85714285713</v>
      </c>
      <c r="Q159" s="45"/>
      <c r="R159" s="45"/>
      <c r="Z159" s="38"/>
      <c r="AA159" s="38"/>
    </row>
    <row r="160" spans="1:42" ht="20.100000000000001" customHeight="1" x14ac:dyDescent="0.25">
      <c r="L160" s="47" t="s">
        <v>14</v>
      </c>
      <c r="M160" s="47"/>
      <c r="N160" s="47"/>
      <c r="O160" s="47"/>
      <c r="P160" s="45">
        <f>MIN(B150:B158)</f>
        <v>151485.14851485143</v>
      </c>
      <c r="Q160" s="45"/>
      <c r="R160" s="45"/>
      <c r="Z160" s="38"/>
      <c r="AA160" s="38"/>
    </row>
    <row r="162" spans="1:42" ht="20.100000000000001" customHeight="1" x14ac:dyDescent="0.25">
      <c r="L162" s="47" t="s">
        <v>18</v>
      </c>
      <c r="M162" s="47"/>
      <c r="N162" s="74" t="str">
        <f>IF(P162="Nada a excluir","",Z149)</f>
        <v/>
      </c>
      <c r="O162" s="74"/>
      <c r="P162" s="45" t="str" cm="1">
        <f t="array" ref="P162">_xlfn.IFS(AND(OR(P159&gt;P157,P160&lt;P158),(P159-P154)&gt;(P154-P160)),P159,AND(OR(P160&lt;P158,P159&gt;P157),(P154-P160)&gt;(P159-P154)),P160,AND(P159&lt;=P157,P160&gt;=P158),"Nada a excluir")</f>
        <v>Nada a excluir</v>
      </c>
      <c r="Q162" s="45"/>
      <c r="R162" s="45"/>
    </row>
    <row r="163" spans="1:42" ht="20.100000000000001" customHeight="1" x14ac:dyDescent="0.25">
      <c r="L163" s="54" t="s">
        <v>17</v>
      </c>
      <c r="M163" s="54"/>
      <c r="N163" s="54"/>
      <c r="O163" s="54"/>
      <c r="P163" s="61" t="str">
        <f>IF(P162="Nada a excluir","Encerrar","Continuar")</f>
        <v>Encerrar</v>
      </c>
      <c r="Q163" s="61"/>
      <c r="R163" s="61"/>
    </row>
    <row r="165" spans="1:42" ht="20.100000000000001" customHeight="1" x14ac:dyDescent="0.25">
      <c r="L165" s="47" t="s">
        <v>16</v>
      </c>
      <c r="M165" s="47"/>
      <c r="N165" s="47"/>
      <c r="O165" s="47"/>
      <c r="P165" s="51">
        <f>P155</f>
        <v>56302.553572059405</v>
      </c>
      <c r="Q165" s="52"/>
      <c r="R165" s="52"/>
    </row>
    <row r="166" spans="1:42" ht="20.100000000000001" customHeight="1" x14ac:dyDescent="0.25">
      <c r="L166" s="54" t="s">
        <v>9</v>
      </c>
      <c r="M166" s="54"/>
      <c r="N166" s="54"/>
      <c r="O166" s="54"/>
      <c r="P166" s="77">
        <f>P155/P154</f>
        <v>0.29161298366432092</v>
      </c>
      <c r="Q166" s="77"/>
      <c r="R166" s="77"/>
    </row>
    <row r="168" spans="1:42" ht="20.100000000000001" customHeight="1" x14ac:dyDescent="0.25">
      <c r="P168" s="17"/>
      <c r="Q168" s="17"/>
      <c r="R168" s="17"/>
    </row>
    <row r="172" spans="1:42" s="2" customFormat="1" ht="20.100000000000001" customHeight="1" x14ac:dyDescent="0.25">
      <c r="A172" s="9"/>
      <c r="B172" s="9"/>
      <c r="C172" s="9"/>
      <c r="D172" s="9"/>
      <c r="E172" s="9"/>
      <c r="F172" s="9"/>
      <c r="G172" s="9"/>
      <c r="H172" s="9"/>
      <c r="I172" s="9"/>
      <c r="J172" s="9"/>
      <c r="K172" s="9"/>
      <c r="L172" s="9"/>
      <c r="M172" s="9"/>
      <c r="N172" s="9"/>
      <c r="O172" s="9"/>
      <c r="P172" s="9"/>
      <c r="Q172" s="9"/>
      <c r="R172" s="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row>
    <row r="173" spans="1:42" s="2" customFormat="1" ht="20.100000000000001" customHeight="1" x14ac:dyDescent="0.25">
      <c r="A173" s="9"/>
      <c r="B173" s="9"/>
      <c r="C173" s="9"/>
      <c r="D173" s="9"/>
      <c r="E173" s="9"/>
      <c r="F173" s="9"/>
      <c r="G173" s="9"/>
      <c r="H173" s="9"/>
      <c r="I173" s="9"/>
      <c r="J173" s="9"/>
      <c r="K173" s="9"/>
      <c r="L173" s="9"/>
      <c r="M173" s="9"/>
      <c r="N173" s="9"/>
      <c r="O173" s="9"/>
      <c r="P173" s="9"/>
      <c r="Q173" s="9"/>
      <c r="R173" s="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row>
    <row r="174" spans="1:42" s="2" customFormat="1" ht="20.100000000000001" customHeight="1" x14ac:dyDescent="0.25">
      <c r="A174" s="9"/>
      <c r="B174" s="9"/>
      <c r="C174" s="9"/>
      <c r="D174" s="9"/>
      <c r="E174" s="9"/>
      <c r="F174" s="9"/>
      <c r="G174" s="9"/>
      <c r="H174" s="9"/>
      <c r="I174" s="9"/>
      <c r="J174" s="9"/>
      <c r="K174" s="9"/>
      <c r="L174" s="9"/>
      <c r="M174" s="9"/>
      <c r="N174" s="9"/>
      <c r="O174" s="9"/>
      <c r="P174" s="9"/>
      <c r="Q174" s="9"/>
      <c r="R174" s="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row>
    <row r="175" spans="1:42" s="2" customFormat="1" ht="20.100000000000001" customHeight="1" x14ac:dyDescent="0.25">
      <c r="A175" s="9"/>
      <c r="B175" s="9"/>
      <c r="C175" s="9"/>
      <c r="D175" s="9"/>
      <c r="E175" s="9"/>
      <c r="F175" s="9"/>
      <c r="G175" s="9"/>
      <c r="H175" s="9"/>
      <c r="I175" s="9"/>
      <c r="J175" s="9"/>
      <c r="K175" s="9"/>
      <c r="L175" s="9"/>
      <c r="M175" s="9"/>
      <c r="N175" s="9"/>
      <c r="O175" s="9"/>
      <c r="P175" s="9"/>
      <c r="Q175" s="9"/>
      <c r="R175" s="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row>
    <row r="176" spans="1:42" s="2" customFormat="1" ht="20.100000000000001" customHeight="1" x14ac:dyDescent="0.25">
      <c r="A176" s="9"/>
      <c r="B176" s="9"/>
      <c r="C176" s="9"/>
      <c r="D176" s="9"/>
      <c r="E176" s="9"/>
      <c r="F176" s="9"/>
      <c r="G176" s="9"/>
      <c r="H176" s="9"/>
      <c r="I176" s="9"/>
      <c r="J176" s="9"/>
      <c r="K176" s="9"/>
      <c r="L176" s="9"/>
      <c r="M176" s="9"/>
      <c r="N176" s="9"/>
      <c r="O176" s="9"/>
      <c r="P176" s="9"/>
      <c r="Q176" s="9"/>
      <c r="R176" s="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row>
    <row r="177" spans="1:42" s="2" customFormat="1" ht="20.100000000000001" customHeight="1" x14ac:dyDescent="0.25">
      <c r="A177" s="9"/>
      <c r="B177" s="9"/>
      <c r="C177" s="9"/>
      <c r="D177" s="9"/>
      <c r="E177" s="9"/>
      <c r="F177" s="9"/>
      <c r="G177" s="9"/>
      <c r="H177" s="9"/>
      <c r="I177" s="9"/>
      <c r="J177" s="9"/>
      <c r="K177" s="9"/>
      <c r="L177" s="9"/>
      <c r="M177" s="9"/>
      <c r="N177" s="9"/>
      <c r="O177" s="9"/>
      <c r="P177" s="9"/>
      <c r="Q177" s="9"/>
      <c r="R177" s="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row>
    <row r="178" spans="1:42" s="2" customFormat="1" ht="20.100000000000001" customHeight="1" x14ac:dyDescent="0.25">
      <c r="A178" s="9"/>
      <c r="B178" s="9"/>
      <c r="C178" s="9"/>
      <c r="D178" s="9"/>
      <c r="E178" s="9"/>
      <c r="F178" s="9"/>
      <c r="G178" s="9"/>
      <c r="H178" s="9"/>
      <c r="I178" s="9"/>
      <c r="J178" s="9"/>
      <c r="K178" s="9"/>
      <c r="L178" s="9"/>
      <c r="M178" s="9"/>
      <c r="N178" s="9"/>
      <c r="O178" s="9"/>
      <c r="P178" s="9"/>
      <c r="Q178" s="9"/>
      <c r="R178" s="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row>
    <row r="179" spans="1:42" s="2" customFormat="1" ht="20.100000000000001" customHeight="1" x14ac:dyDescent="0.25">
      <c r="A179" s="9"/>
      <c r="B179" s="9"/>
      <c r="C179" s="9"/>
      <c r="D179" s="9"/>
      <c r="E179" s="9"/>
      <c r="F179" s="9"/>
      <c r="G179" s="9"/>
      <c r="H179" s="9"/>
      <c r="I179" s="9"/>
      <c r="J179" s="9"/>
      <c r="K179" s="9"/>
      <c r="L179" s="9"/>
      <c r="M179" s="9"/>
      <c r="N179" s="9"/>
      <c r="O179" s="9"/>
      <c r="P179" s="9"/>
      <c r="Q179" s="9"/>
      <c r="R179" s="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row>
    <row r="180" spans="1:42" s="2" customFormat="1" ht="20.100000000000001" customHeight="1" x14ac:dyDescent="0.25">
      <c r="A180" s="9"/>
      <c r="B180" s="9"/>
      <c r="C180" s="9"/>
      <c r="D180" s="9"/>
      <c r="E180" s="9"/>
      <c r="F180" s="9"/>
      <c r="G180" s="9"/>
      <c r="H180" s="9"/>
      <c r="I180" s="9"/>
      <c r="J180" s="9"/>
      <c r="K180" s="9"/>
      <c r="L180" s="9"/>
      <c r="M180" s="9"/>
      <c r="N180" s="9"/>
      <c r="O180" s="9"/>
      <c r="P180" s="9"/>
      <c r="Q180" s="9"/>
      <c r="R180" s="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row>
    <row r="181" spans="1:42" s="2" customFormat="1" ht="20.100000000000001" customHeight="1" x14ac:dyDescent="0.25">
      <c r="A181" s="9"/>
      <c r="B181" s="9"/>
      <c r="C181" s="9"/>
      <c r="D181" s="9"/>
      <c r="E181" s="9"/>
      <c r="F181" s="9"/>
      <c r="G181" s="9"/>
      <c r="H181" s="9"/>
      <c r="I181" s="9"/>
      <c r="J181" s="9"/>
      <c r="K181" s="9"/>
      <c r="L181" s="9"/>
      <c r="M181" s="9"/>
      <c r="N181" s="9"/>
      <c r="O181" s="9"/>
      <c r="P181" s="9"/>
      <c r="Q181" s="9"/>
      <c r="R181" s="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row>
    <row r="182" spans="1:42" s="2" customFormat="1" ht="20.100000000000001" customHeight="1" x14ac:dyDescent="0.25">
      <c r="A182" s="9"/>
      <c r="B182" s="9"/>
      <c r="C182" s="9"/>
      <c r="D182" s="9"/>
      <c r="E182" s="9"/>
      <c r="F182" s="9"/>
      <c r="G182" s="9"/>
      <c r="H182" s="9"/>
      <c r="I182" s="9"/>
      <c r="J182" s="9"/>
      <c r="K182" s="9"/>
      <c r="L182" s="9"/>
      <c r="M182" s="9"/>
      <c r="N182" s="9"/>
      <c r="O182" s="9"/>
      <c r="P182" s="9"/>
      <c r="Q182" s="9"/>
      <c r="R182" s="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row>
    <row r="183" spans="1:42" s="2" customFormat="1" ht="20.100000000000001" customHeight="1" x14ac:dyDescent="0.25">
      <c r="A183" s="9"/>
      <c r="B183" s="9"/>
      <c r="C183" s="9"/>
      <c r="D183" s="9"/>
      <c r="E183" s="9"/>
      <c r="F183" s="9"/>
      <c r="G183" s="9"/>
      <c r="H183" s="9"/>
      <c r="I183" s="9"/>
      <c r="J183" s="9"/>
      <c r="K183" s="9"/>
      <c r="L183" s="9"/>
      <c r="M183" s="9"/>
      <c r="N183" s="9"/>
      <c r="O183" s="9"/>
      <c r="P183" s="9"/>
      <c r="Q183" s="9"/>
      <c r="R183" s="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row>
    <row r="184" spans="1:42" s="2" customFormat="1" ht="20.100000000000001" customHeight="1" x14ac:dyDescent="0.25">
      <c r="A184" s="9"/>
      <c r="B184" s="9"/>
      <c r="C184" s="9"/>
      <c r="D184" s="9"/>
      <c r="E184" s="9"/>
      <c r="F184" s="9"/>
      <c r="G184" s="9"/>
      <c r="H184" s="9"/>
      <c r="I184" s="9"/>
      <c r="J184" s="9"/>
      <c r="K184" s="9"/>
      <c r="L184" s="9"/>
      <c r="M184" s="9"/>
      <c r="N184" s="9"/>
      <c r="O184" s="9"/>
      <c r="P184" s="9"/>
      <c r="Q184" s="9"/>
      <c r="R184" s="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row>
    <row r="185" spans="1:42" s="2" customFormat="1" ht="20.100000000000001" customHeight="1" x14ac:dyDescent="0.25">
      <c r="A185" s="9"/>
      <c r="B185" s="9"/>
      <c r="C185" s="9"/>
      <c r="D185" s="9"/>
      <c r="E185" s="9"/>
      <c r="F185" s="9"/>
      <c r="G185" s="9"/>
      <c r="H185" s="9"/>
      <c r="I185" s="9"/>
      <c r="J185" s="9"/>
      <c r="K185" s="9"/>
      <c r="L185" s="9"/>
      <c r="M185" s="9"/>
      <c r="N185" s="9"/>
      <c r="O185" s="9"/>
      <c r="P185" s="9"/>
      <c r="Q185" s="9"/>
      <c r="R185" s="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row>
    <row r="186" spans="1:42" s="2" customFormat="1" ht="20.100000000000001" customHeight="1" x14ac:dyDescent="0.25">
      <c r="A186" s="9"/>
      <c r="B186" s="9"/>
      <c r="C186" s="9"/>
      <c r="D186" s="9"/>
      <c r="E186" s="9"/>
      <c r="F186" s="9"/>
      <c r="G186" s="9"/>
      <c r="H186" s="9"/>
      <c r="I186" s="9"/>
      <c r="J186" s="9"/>
      <c r="K186" s="9"/>
      <c r="L186" s="9"/>
      <c r="M186" s="9"/>
      <c r="N186" s="9"/>
      <c r="O186" s="9"/>
      <c r="P186" s="9"/>
      <c r="Q186" s="9"/>
      <c r="R186" s="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row>
    <row r="187" spans="1:42" s="2" customFormat="1" ht="20.100000000000001" customHeight="1" x14ac:dyDescent="0.25">
      <c r="A187" s="9"/>
      <c r="B187" s="9"/>
      <c r="C187" s="9"/>
      <c r="D187" s="9"/>
      <c r="E187" s="9"/>
      <c r="F187" s="9"/>
      <c r="G187" s="9"/>
      <c r="H187" s="9"/>
      <c r="I187" s="9"/>
      <c r="J187" s="9"/>
      <c r="K187" s="9"/>
      <c r="L187" s="9"/>
      <c r="M187" s="9"/>
      <c r="N187" s="9"/>
      <c r="O187" s="9"/>
      <c r="P187" s="9"/>
      <c r="Q187" s="9"/>
      <c r="R187" s="9"/>
      <c r="S187" s="38"/>
      <c r="T187" s="38"/>
      <c r="U187" s="38"/>
      <c r="V187" s="38"/>
      <c r="W187" s="40"/>
      <c r="X187" s="40"/>
      <c r="Y187" s="40"/>
      <c r="Z187" s="39"/>
      <c r="AA187" s="39"/>
      <c r="AB187" s="39"/>
      <c r="AC187" s="39"/>
      <c r="AD187" s="39"/>
      <c r="AE187" s="39"/>
      <c r="AF187" s="39"/>
      <c r="AG187" s="39"/>
      <c r="AH187" s="39"/>
      <c r="AI187" s="39"/>
      <c r="AJ187" s="39"/>
      <c r="AK187" s="39"/>
      <c r="AL187" s="39"/>
      <c r="AM187" s="39"/>
      <c r="AN187" s="39"/>
      <c r="AO187" s="39"/>
      <c r="AP187" s="39"/>
    </row>
    <row r="188" spans="1:42" s="2" customFormat="1" ht="20.100000000000001" customHeight="1" x14ac:dyDescent="0.25">
      <c r="A188" s="9"/>
      <c r="B188" s="9"/>
      <c r="C188" s="9"/>
      <c r="D188" s="9"/>
      <c r="E188" s="9"/>
      <c r="F188" s="9"/>
      <c r="G188" s="9"/>
      <c r="H188" s="9"/>
      <c r="I188" s="9"/>
      <c r="J188" s="9"/>
      <c r="K188" s="9"/>
      <c r="L188" s="9"/>
      <c r="M188" s="9"/>
      <c r="N188" s="9"/>
      <c r="O188" s="9"/>
      <c r="P188" s="9"/>
      <c r="Q188" s="9"/>
      <c r="R188" s="9"/>
      <c r="S188" s="38"/>
      <c r="T188" s="38"/>
      <c r="U188" s="38"/>
      <c r="V188" s="38"/>
      <c r="W188" s="40"/>
      <c r="X188" s="40"/>
      <c r="Y188" s="40"/>
      <c r="Z188" s="39"/>
      <c r="AA188" s="39"/>
      <c r="AB188" s="39"/>
      <c r="AC188" s="39"/>
      <c r="AD188" s="39"/>
      <c r="AE188" s="39"/>
      <c r="AF188" s="39"/>
      <c r="AG188" s="39"/>
      <c r="AH188" s="39"/>
      <c r="AI188" s="39"/>
      <c r="AJ188" s="39"/>
      <c r="AK188" s="39"/>
      <c r="AL188" s="39"/>
      <c r="AM188" s="39"/>
      <c r="AN188" s="39"/>
      <c r="AO188" s="39"/>
      <c r="AP188" s="39"/>
    </row>
    <row r="189" spans="1:42" s="2" customFormat="1" ht="20.100000000000001" customHeight="1" x14ac:dyDescent="0.25">
      <c r="A189" s="59" t="s">
        <v>24</v>
      </c>
      <c r="B189" s="59"/>
      <c r="C189" s="59"/>
      <c r="D189" s="59"/>
      <c r="E189" s="59"/>
      <c r="F189" s="59"/>
      <c r="G189" s="59" t="s">
        <v>10</v>
      </c>
      <c r="H189" s="59"/>
      <c r="I189" s="59"/>
      <c r="J189" s="59"/>
      <c r="K189" s="59" t="s">
        <v>11</v>
      </c>
      <c r="L189" s="59"/>
      <c r="M189" s="59"/>
      <c r="N189" s="59"/>
      <c r="O189" s="59" t="s">
        <v>9</v>
      </c>
      <c r="P189" s="59"/>
      <c r="Q189" s="59"/>
      <c r="R189" s="59"/>
      <c r="S189" s="38"/>
      <c r="T189" s="38"/>
      <c r="U189" s="38"/>
      <c r="V189" s="38"/>
      <c r="W189" s="38"/>
      <c r="X189" s="38"/>
      <c r="Y189" s="38"/>
      <c r="Z189" s="39"/>
      <c r="AA189" s="39"/>
      <c r="AB189" s="39"/>
      <c r="AC189" s="39"/>
      <c r="AD189" s="39"/>
      <c r="AE189" s="39"/>
      <c r="AF189" s="39"/>
      <c r="AG189" s="39"/>
      <c r="AH189" s="39"/>
      <c r="AI189" s="39"/>
      <c r="AJ189" s="39"/>
      <c r="AK189" s="39"/>
      <c r="AL189" s="39"/>
      <c r="AM189" s="39"/>
      <c r="AN189" s="39"/>
      <c r="AO189" s="39"/>
      <c r="AP189" s="39"/>
    </row>
    <row r="190" spans="1:42" s="2" customFormat="1" ht="20.100000000000001" customHeight="1" x14ac:dyDescent="0.25">
      <c r="A190" s="47" t="s">
        <v>25</v>
      </c>
      <c r="B190" s="47"/>
      <c r="C190" s="47"/>
      <c r="D190" s="47"/>
      <c r="E190" s="47"/>
      <c r="F190" s="47"/>
      <c r="G190" s="45">
        <f>P112</f>
        <v>193072.8627531548</v>
      </c>
      <c r="H190" s="45"/>
      <c r="I190" s="45"/>
      <c r="J190" s="45"/>
      <c r="K190" s="45">
        <f>P113</f>
        <v>56302.553572059405</v>
      </c>
      <c r="L190" s="45"/>
      <c r="M190" s="45"/>
      <c r="N190" s="45"/>
      <c r="O190" s="69">
        <f>P124</f>
        <v>0.29161298366432092</v>
      </c>
      <c r="P190" s="69"/>
      <c r="Q190" s="69"/>
      <c r="R190" s="69"/>
      <c r="S190" s="38"/>
      <c r="T190" s="38"/>
      <c r="U190" s="38"/>
      <c r="V190" s="38"/>
      <c r="W190" s="38"/>
      <c r="X190" s="41">
        <f>O190</f>
        <v>0.29161298366432092</v>
      </c>
      <c r="Y190" s="38" t="str">
        <f>A190</f>
        <v>Critério de Chauvenet</v>
      </c>
      <c r="Z190" s="39">
        <f>G190</f>
        <v>193072.8627531548</v>
      </c>
      <c r="AA190" s="39">
        <f>K190</f>
        <v>56302.553572059405</v>
      </c>
      <c r="AB190" s="42">
        <f>Q109</f>
        <v>3</v>
      </c>
      <c r="AC190" s="39"/>
      <c r="AD190" s="39"/>
      <c r="AE190" s="39"/>
      <c r="AF190" s="39"/>
      <c r="AG190" s="39"/>
      <c r="AH190" s="39"/>
      <c r="AI190" s="39"/>
      <c r="AJ190" s="39"/>
      <c r="AK190" s="39"/>
      <c r="AL190" s="39"/>
      <c r="AM190" s="39"/>
      <c r="AN190" s="39"/>
      <c r="AO190" s="39"/>
      <c r="AP190" s="39"/>
    </row>
    <row r="191" spans="1:42" s="2" customFormat="1" ht="20.100000000000001" customHeight="1" x14ac:dyDescent="0.25">
      <c r="A191" s="54" t="s">
        <v>26</v>
      </c>
      <c r="B191" s="54"/>
      <c r="C191" s="54"/>
      <c r="D191" s="54"/>
      <c r="E191" s="54"/>
      <c r="F191" s="54"/>
      <c r="G191" s="48">
        <f>P154</f>
        <v>193072.8627531548</v>
      </c>
      <c r="H191" s="48"/>
      <c r="I191" s="48"/>
      <c r="J191" s="48"/>
      <c r="K191" s="48">
        <f>P165</f>
        <v>56302.553572059405</v>
      </c>
      <c r="L191" s="48"/>
      <c r="M191" s="48"/>
      <c r="N191" s="48"/>
      <c r="O191" s="70">
        <f>P166</f>
        <v>0.29161298366432092</v>
      </c>
      <c r="P191" s="70"/>
      <c r="Q191" s="70"/>
      <c r="R191" s="70"/>
      <c r="S191" s="38"/>
      <c r="T191" s="38"/>
      <c r="U191" s="38"/>
      <c r="V191" s="38"/>
      <c r="W191" s="38"/>
      <c r="X191" s="41">
        <f>O191</f>
        <v>0.29161298366432092</v>
      </c>
      <c r="Y191" s="38" t="str">
        <f>A191</f>
        <v>Critério de Arley</v>
      </c>
      <c r="Z191" s="39">
        <f>G191</f>
        <v>193072.8627531548</v>
      </c>
      <c r="AA191" s="39">
        <f>K191</f>
        <v>56302.553572059405</v>
      </c>
      <c r="AB191" s="42">
        <f>Q149</f>
        <v>3</v>
      </c>
      <c r="AC191" s="39"/>
      <c r="AD191" s="39"/>
      <c r="AE191" s="39"/>
      <c r="AF191" s="39"/>
      <c r="AG191" s="39"/>
      <c r="AH191" s="39"/>
      <c r="AI191" s="39"/>
      <c r="AJ191" s="39"/>
      <c r="AK191" s="39"/>
      <c r="AL191" s="39"/>
      <c r="AM191" s="39"/>
      <c r="AN191" s="39"/>
      <c r="AO191" s="39"/>
      <c r="AP191" s="39"/>
    </row>
    <row r="193" spans="1:42" s="2" customFormat="1" ht="20.100000000000001" customHeight="1" x14ac:dyDescent="0.25">
      <c r="A193" s="47" t="s">
        <v>27</v>
      </c>
      <c r="B193" s="47"/>
      <c r="C193" s="47"/>
      <c r="D193" s="47"/>
      <c r="E193" s="47"/>
      <c r="F193" s="47"/>
      <c r="G193" s="69">
        <f>MIN(O190:O191)</f>
        <v>0.29161298366432092</v>
      </c>
      <c r="H193" s="69"/>
      <c r="I193" s="69"/>
      <c r="J193" s="69"/>
      <c r="K193" s="69"/>
      <c r="L193" s="69"/>
      <c r="M193" s="9"/>
      <c r="N193" s="9"/>
      <c r="O193" s="9"/>
      <c r="P193" s="9"/>
      <c r="Q193" s="9"/>
      <c r="R193" s="9"/>
      <c r="S193" s="38"/>
      <c r="T193" s="38"/>
      <c r="U193" s="38"/>
      <c r="V193" s="38"/>
      <c r="W193" s="38"/>
      <c r="X193" s="38"/>
      <c r="Y193" s="38"/>
      <c r="Z193" s="39"/>
      <c r="AA193" s="39"/>
      <c r="AB193" s="39"/>
      <c r="AC193" s="39"/>
      <c r="AD193" s="39"/>
      <c r="AE193" s="39"/>
      <c r="AF193" s="39"/>
      <c r="AG193" s="39"/>
      <c r="AH193" s="39"/>
      <c r="AI193" s="39"/>
      <c r="AJ193" s="39"/>
      <c r="AK193" s="39"/>
      <c r="AL193" s="39"/>
      <c r="AM193" s="39"/>
      <c r="AN193" s="39"/>
      <c r="AO193" s="39"/>
      <c r="AP193" s="39"/>
    </row>
    <row r="194" spans="1:42" ht="20.100000000000001" customHeight="1" x14ac:dyDescent="0.25">
      <c r="A194" s="54" t="s">
        <v>28</v>
      </c>
      <c r="B194" s="54"/>
      <c r="C194" s="54"/>
      <c r="D194" s="54"/>
      <c r="E194" s="54"/>
      <c r="F194" s="54"/>
      <c r="G194" s="61" t="str">
        <f>VLOOKUP(G193,X190:Z191,2,0)</f>
        <v>Critério de Chauvenet</v>
      </c>
      <c r="H194" s="61"/>
      <c r="I194" s="61"/>
      <c r="J194" s="61"/>
      <c r="K194" s="61"/>
      <c r="L194" s="61"/>
    </row>
    <row r="195" spans="1:42" ht="20.100000000000001" customHeight="1" x14ac:dyDescent="0.25">
      <c r="A195" s="54" t="s">
        <v>29</v>
      </c>
      <c r="B195" s="54"/>
      <c r="C195" s="54"/>
      <c r="D195" s="54"/>
      <c r="E195" s="54"/>
      <c r="F195" s="54"/>
      <c r="G195" s="48">
        <f>VLOOKUP(G193,X190:Z191,3,0)</f>
        <v>193072.8627531548</v>
      </c>
      <c r="H195" s="48"/>
      <c r="I195" s="48"/>
      <c r="J195" s="48"/>
      <c r="K195" s="48"/>
      <c r="L195" s="48"/>
    </row>
    <row r="196" spans="1:42" ht="20.100000000000001" customHeight="1" x14ac:dyDescent="0.25">
      <c r="A196" s="54" t="s">
        <v>31</v>
      </c>
      <c r="B196" s="54"/>
      <c r="C196" s="54"/>
      <c r="D196" s="54"/>
      <c r="E196" s="54"/>
      <c r="F196" s="54"/>
      <c r="G196" s="48">
        <f>VLOOKUP(G193,X190:AA191,4,0)</f>
        <v>56302.553572059405</v>
      </c>
      <c r="H196" s="48"/>
      <c r="I196" s="48"/>
      <c r="J196" s="48"/>
      <c r="K196" s="48"/>
      <c r="L196" s="48"/>
    </row>
    <row r="199" spans="1:42" ht="20.100000000000001" customHeight="1" x14ac:dyDescent="0.25">
      <c r="A199" s="56" t="s">
        <v>61</v>
      </c>
      <c r="B199" s="56"/>
      <c r="C199" s="56"/>
      <c r="D199" s="56"/>
      <c r="E199" s="56"/>
      <c r="F199" s="56"/>
      <c r="G199" s="56"/>
      <c r="H199" s="56"/>
      <c r="I199" s="56"/>
      <c r="J199" s="56"/>
      <c r="K199" s="56"/>
      <c r="L199" s="56"/>
      <c r="M199" s="56"/>
      <c r="N199" s="56"/>
      <c r="O199" s="56"/>
      <c r="P199" s="56"/>
      <c r="Q199" s="56"/>
      <c r="R199" s="56"/>
    </row>
    <row r="201" spans="1:42" ht="39.950000000000003" customHeight="1" x14ac:dyDescent="0.25">
      <c r="A201" s="57" t="s">
        <v>60</v>
      </c>
      <c r="B201" s="57"/>
      <c r="C201" s="57"/>
      <c r="D201" s="57"/>
      <c r="E201" s="57"/>
      <c r="F201" s="57"/>
      <c r="G201" s="57"/>
      <c r="H201" s="57"/>
      <c r="I201" s="57"/>
      <c r="J201" s="57"/>
      <c r="K201" s="57"/>
      <c r="L201" s="57"/>
      <c r="M201" s="57"/>
      <c r="N201" s="57"/>
      <c r="O201" s="57"/>
      <c r="P201" s="57"/>
      <c r="Q201" s="57"/>
      <c r="R201" s="57"/>
    </row>
    <row r="203" spans="1:42" ht="20.100000000000001" customHeight="1" x14ac:dyDescent="0.25">
      <c r="A203" s="47" t="s">
        <v>10</v>
      </c>
      <c r="B203" s="47"/>
      <c r="C203" s="47"/>
      <c r="D203" s="47"/>
      <c r="E203" s="51">
        <f>G195</f>
        <v>193072.8627531548</v>
      </c>
      <c r="F203" s="52"/>
      <c r="G203" s="52"/>
      <c r="H203" s="52"/>
    </row>
    <row r="204" spans="1:42" ht="20.100000000000001" customHeight="1" x14ac:dyDescent="0.25">
      <c r="A204" s="54" t="s">
        <v>11</v>
      </c>
      <c r="B204" s="54"/>
      <c r="C204" s="54"/>
      <c r="D204" s="54"/>
      <c r="E204" s="60">
        <f>G196</f>
        <v>56302.553572059405</v>
      </c>
      <c r="F204" s="61"/>
      <c r="G204" s="61"/>
      <c r="H204" s="61"/>
    </row>
    <row r="205" spans="1:42" ht="20.100000000000001" customHeight="1" x14ac:dyDescent="0.25">
      <c r="A205" s="54" t="s">
        <v>48</v>
      </c>
      <c r="B205" s="54"/>
      <c r="C205" s="54"/>
      <c r="D205" s="54"/>
      <c r="E205" s="62">
        <f>VLOOKUP(G193,X190:AB191,5,0)</f>
        <v>3</v>
      </c>
      <c r="F205" s="62"/>
      <c r="G205" s="62"/>
      <c r="H205" s="62"/>
    </row>
    <row r="206" spans="1:42" ht="20.100000000000001" customHeight="1" x14ac:dyDescent="0.25">
      <c r="A206" s="54" t="s">
        <v>30</v>
      </c>
      <c r="B206" s="54"/>
      <c r="C206" s="54"/>
      <c r="D206" s="54"/>
      <c r="E206" s="63">
        <v>0.8</v>
      </c>
      <c r="F206" s="63"/>
      <c r="G206" s="63"/>
      <c r="H206" s="63"/>
    </row>
    <row r="207" spans="1:42" ht="20.100000000000001" customHeight="1" x14ac:dyDescent="0.25">
      <c r="A207" s="54" t="s">
        <v>75</v>
      </c>
      <c r="B207" s="54"/>
      <c r="C207" s="54"/>
      <c r="D207" s="54"/>
      <c r="E207" s="72">
        <f>_xlfn.T.INV.2T(1-E206,E205-1)</f>
        <v>1.8856180831641269</v>
      </c>
      <c r="F207" s="72"/>
      <c r="G207" s="72"/>
      <c r="H207" s="72"/>
    </row>
    <row r="208" spans="1:42" ht="20.100000000000001" customHeight="1" x14ac:dyDescent="0.25">
      <c r="A208" s="53"/>
      <c r="B208" s="53"/>
      <c r="C208" s="53"/>
      <c r="D208" s="53"/>
      <c r="E208" s="73"/>
      <c r="F208" s="73"/>
      <c r="G208" s="73"/>
      <c r="H208" s="73"/>
    </row>
    <row r="210" spans="1:18" ht="20.100000000000001" customHeight="1" x14ac:dyDescent="0.25">
      <c r="A210" s="47" t="s">
        <v>12</v>
      </c>
      <c r="B210" s="47"/>
      <c r="C210" s="47"/>
      <c r="D210" s="47"/>
      <c r="E210" s="51">
        <f>E203-(_xlfn.CONFIDENCE.T(1-E206,E204,E205))</f>
        <v>131778.40610103926</v>
      </c>
      <c r="F210" s="52"/>
      <c r="G210" s="52"/>
      <c r="H210" s="52"/>
      <c r="K210" s="47" t="s">
        <v>32</v>
      </c>
      <c r="L210" s="47"/>
      <c r="M210" s="47"/>
      <c r="N210" s="47"/>
      <c r="O210" s="51">
        <f>E211-E210</f>
        <v>122588.91330423107</v>
      </c>
      <c r="P210" s="52"/>
      <c r="Q210" s="52"/>
      <c r="R210" s="52"/>
    </row>
    <row r="211" spans="1:18" ht="20.100000000000001" customHeight="1" x14ac:dyDescent="0.25">
      <c r="A211" s="47" t="s">
        <v>13</v>
      </c>
      <c r="B211" s="47"/>
      <c r="C211" s="47"/>
      <c r="D211" s="47"/>
      <c r="E211" s="51">
        <f>E203+(_xlfn.CONFIDENCE.T(1-E206,E204,E205))</f>
        <v>254367.31940527033</v>
      </c>
      <c r="F211" s="52"/>
      <c r="G211" s="52"/>
      <c r="H211" s="52"/>
      <c r="K211" s="47" t="s">
        <v>10</v>
      </c>
      <c r="L211" s="47"/>
      <c r="M211" s="47"/>
      <c r="N211" s="47"/>
      <c r="O211" s="51">
        <f>E203</f>
        <v>193072.8627531548</v>
      </c>
      <c r="P211" s="52"/>
      <c r="Q211" s="52"/>
      <c r="R211" s="52"/>
    </row>
    <row r="212" spans="1:18" ht="20.100000000000001" customHeight="1" x14ac:dyDescent="0.25">
      <c r="K212" s="47" t="s">
        <v>33</v>
      </c>
      <c r="L212" s="47"/>
      <c r="M212" s="47"/>
      <c r="N212" s="47"/>
      <c r="O212" s="68">
        <f>O210/O211</f>
        <v>0.63493601097613583</v>
      </c>
      <c r="P212" s="68"/>
      <c r="Q212" s="68"/>
      <c r="R212" s="68"/>
    </row>
    <row r="215" spans="1:18" ht="20.100000000000001" customHeight="1" x14ac:dyDescent="0.25">
      <c r="A215" s="56" t="s">
        <v>69</v>
      </c>
      <c r="B215" s="56"/>
      <c r="C215" s="56"/>
      <c r="D215" s="56"/>
      <c r="E215" s="56"/>
      <c r="F215" s="56"/>
      <c r="G215" s="56"/>
      <c r="H215" s="56"/>
      <c r="I215" s="56"/>
      <c r="J215" s="56"/>
      <c r="K215" s="56"/>
      <c r="L215" s="56"/>
      <c r="M215" s="56"/>
      <c r="N215" s="56"/>
      <c r="O215" s="56"/>
      <c r="P215" s="56"/>
      <c r="Q215" s="56"/>
      <c r="R215" s="56"/>
    </row>
    <row r="217" spans="1:18" ht="20.100000000000001" customHeight="1" x14ac:dyDescent="0.25">
      <c r="A217" s="64" t="s">
        <v>34</v>
      </c>
      <c r="B217" s="64"/>
      <c r="C217" s="64"/>
      <c r="D217" s="64"/>
      <c r="E217" s="65" t="s">
        <v>30</v>
      </c>
      <c r="F217" s="64"/>
      <c r="G217" s="64"/>
      <c r="H217" s="64"/>
      <c r="I217" s="65" t="s">
        <v>71</v>
      </c>
      <c r="J217" s="64"/>
      <c r="K217" s="64"/>
      <c r="L217" s="64"/>
      <c r="M217" s="65" t="s">
        <v>46</v>
      </c>
      <c r="N217" s="64"/>
      <c r="O217" s="64"/>
      <c r="P217" s="64"/>
    </row>
    <row r="218" spans="1:18" ht="20.100000000000001" customHeight="1" x14ac:dyDescent="0.25">
      <c r="A218" s="47" t="s">
        <v>35</v>
      </c>
      <c r="B218" s="47"/>
      <c r="C218" s="47"/>
      <c r="D218" s="47"/>
      <c r="E218" s="51">
        <f>E210</f>
        <v>131778.40610103926</v>
      </c>
      <c r="F218" s="52"/>
      <c r="G218" s="52"/>
      <c r="H218" s="52"/>
      <c r="I218" s="51">
        <f>E203*(1-0.15)</f>
        <v>164111.93334018157</v>
      </c>
      <c r="J218" s="52"/>
      <c r="K218" s="52"/>
      <c r="L218" s="52"/>
      <c r="M218" s="51">
        <f>MAX(E218:L218)</f>
        <v>164111.93334018157</v>
      </c>
      <c r="N218" s="52"/>
      <c r="O218" s="52"/>
      <c r="P218" s="52"/>
    </row>
    <row r="219" spans="1:18" ht="20.100000000000001" customHeight="1" x14ac:dyDescent="0.25">
      <c r="A219" s="47" t="s">
        <v>36</v>
      </c>
      <c r="B219" s="47"/>
      <c r="C219" s="47"/>
      <c r="D219" s="47"/>
      <c r="E219" s="51">
        <f>E211</f>
        <v>254367.31940527033</v>
      </c>
      <c r="F219" s="52"/>
      <c r="G219" s="52"/>
      <c r="H219" s="52"/>
      <c r="I219" s="51">
        <f>E203*(1+0.15)</f>
        <v>222033.792166128</v>
      </c>
      <c r="J219" s="52"/>
      <c r="K219" s="52"/>
      <c r="L219" s="52"/>
      <c r="M219" s="51">
        <f>MIN(E219:L219)</f>
        <v>222033.792166128</v>
      </c>
      <c r="N219" s="52"/>
      <c r="O219" s="52"/>
      <c r="P219" s="52"/>
    </row>
    <row r="222" spans="1:18" ht="20.100000000000001" customHeight="1" x14ac:dyDescent="0.25">
      <c r="A222" s="66" t="s">
        <v>67</v>
      </c>
      <c r="B222" s="66"/>
      <c r="C222" s="66"/>
      <c r="D222" s="66"/>
      <c r="E222" s="66"/>
      <c r="F222" s="66"/>
      <c r="G222" s="66"/>
      <c r="H222" s="66"/>
      <c r="I222" s="66"/>
      <c r="J222" s="66"/>
      <c r="K222" s="66"/>
      <c r="L222" s="66"/>
      <c r="M222" s="66"/>
      <c r="N222" s="66"/>
      <c r="O222" s="66"/>
      <c r="P222" s="66"/>
      <c r="Q222" s="66"/>
      <c r="R222" s="66"/>
    </row>
    <row r="223" spans="1:18" ht="20.100000000000001" customHeight="1" x14ac:dyDescent="0.25">
      <c r="A223" s="66"/>
      <c r="B223" s="66"/>
      <c r="C223" s="66"/>
      <c r="D223" s="66"/>
      <c r="E223" s="66"/>
      <c r="F223" s="66"/>
      <c r="G223" s="66"/>
      <c r="H223" s="66"/>
      <c r="I223" s="66"/>
      <c r="J223" s="66"/>
      <c r="K223" s="66"/>
      <c r="L223" s="66"/>
      <c r="M223" s="66"/>
      <c r="N223" s="66"/>
      <c r="O223" s="66"/>
      <c r="P223" s="66"/>
      <c r="Q223" s="66"/>
      <c r="R223" s="66"/>
    </row>
    <row r="225" spans="1:42" ht="20.100000000000001" customHeight="1" x14ac:dyDescent="0.25">
      <c r="D225" s="44" t="s">
        <v>63</v>
      </c>
      <c r="E225" s="44" t="s">
        <v>88</v>
      </c>
      <c r="F225" s="44"/>
      <c r="G225" s="44"/>
      <c r="I225" s="44" t="s">
        <v>79</v>
      </c>
      <c r="J225" s="44"/>
      <c r="K225" s="44"/>
      <c r="M225" s="44" t="s">
        <v>66</v>
      </c>
      <c r="N225" s="44"/>
      <c r="O225" s="44"/>
    </row>
    <row r="226" spans="1:42" s="2" customFormat="1" ht="20.100000000000001" customHeight="1" x14ac:dyDescent="0.25">
      <c r="A226" s="9"/>
      <c r="B226" s="9"/>
      <c r="C226" s="9"/>
      <c r="D226" s="44"/>
      <c r="E226" s="44"/>
      <c r="F226" s="44"/>
      <c r="G226" s="44"/>
      <c r="H226" s="9"/>
      <c r="I226" s="44"/>
      <c r="J226" s="44"/>
      <c r="K226" s="44"/>
      <c r="L226" s="9"/>
      <c r="M226" s="44" t="s">
        <v>68</v>
      </c>
      <c r="N226" s="44"/>
      <c r="O226" s="44"/>
      <c r="P226" s="9"/>
      <c r="Q226" s="9"/>
      <c r="R226" s="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row>
    <row r="227" spans="1:42" s="2" customFormat="1" ht="20.100000000000001" customHeight="1" x14ac:dyDescent="0.25">
      <c r="A227" s="9"/>
      <c r="B227" s="9"/>
      <c r="C227" s="9"/>
      <c r="D227" s="14">
        <f>A10</f>
        <v>1</v>
      </c>
      <c r="E227" s="45">
        <f>H10</f>
        <v>285714.28571428574</v>
      </c>
      <c r="F227" s="45"/>
      <c r="G227" s="45"/>
      <c r="H227" s="9"/>
      <c r="I227" s="45">
        <f>O33</f>
        <v>257142.85714285713</v>
      </c>
      <c r="J227" s="45"/>
      <c r="K227" s="45"/>
      <c r="L227" s="9"/>
      <c r="M227" s="43" t="str">
        <f>IF(AND(($I227/E227)&gt;=0.5,($I227/E227)&lt;=2),"Aceito","Rejeitado")</f>
        <v>Aceito</v>
      </c>
      <c r="N227" s="43"/>
      <c r="O227" s="43"/>
      <c r="P227" s="9"/>
      <c r="Q227" s="9"/>
      <c r="R227" s="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row>
    <row r="228" spans="1:42" s="2" customFormat="1" ht="20.100000000000001" customHeight="1" x14ac:dyDescent="0.25">
      <c r="A228" s="9"/>
      <c r="B228" s="9"/>
      <c r="C228" s="9"/>
      <c r="D228" s="21">
        <f>A11</f>
        <v>2</v>
      </c>
      <c r="E228" s="45">
        <f>H11</f>
        <v>199521.14924181963</v>
      </c>
      <c r="F228" s="45"/>
      <c r="G228" s="45"/>
      <c r="H228" s="9"/>
      <c r="I228" s="45">
        <f>O34</f>
        <v>170590.58260175577</v>
      </c>
      <c r="J228" s="45"/>
      <c r="K228" s="45"/>
      <c r="L228" s="9"/>
      <c r="M228" s="43" t="str">
        <f t="shared" ref="M228:M229" si="9">IF(AND(($I228/E228)&gt;=0.5,($I228/E228)&lt;=2),"Aceito","Rejeitado")</f>
        <v>Aceito</v>
      </c>
      <c r="N228" s="43"/>
      <c r="O228" s="43"/>
      <c r="P228" s="9"/>
      <c r="Q228" s="9"/>
      <c r="R228" s="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row>
    <row r="229" spans="1:42" s="2" customFormat="1" ht="20.100000000000001" customHeight="1" x14ac:dyDescent="0.25">
      <c r="A229" s="9"/>
      <c r="B229" s="9"/>
      <c r="C229" s="9"/>
      <c r="D229" s="21">
        <f>A12</f>
        <v>3</v>
      </c>
      <c r="E229" s="45">
        <f>H12</f>
        <v>187018.70187018701</v>
      </c>
      <c r="F229" s="45"/>
      <c r="G229" s="45"/>
      <c r="H229" s="9"/>
      <c r="I229" s="45">
        <f>O35</f>
        <v>151485.14851485143</v>
      </c>
      <c r="J229" s="45"/>
      <c r="K229" s="45"/>
      <c r="L229" s="9"/>
      <c r="M229" s="43" t="str">
        <f t="shared" si="9"/>
        <v>Aceito</v>
      </c>
      <c r="N229" s="43"/>
      <c r="O229" s="43"/>
      <c r="P229" s="9"/>
      <c r="Q229" s="9"/>
      <c r="R229" s="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row>
    <row r="232" spans="1:42" s="2" customFormat="1" ht="20.100000000000001" customHeight="1" x14ac:dyDescent="0.25">
      <c r="A232" s="90" t="s">
        <v>37</v>
      </c>
      <c r="B232" s="90"/>
      <c r="C232" s="90"/>
      <c r="D232" s="90"/>
      <c r="E232" s="90"/>
      <c r="F232" s="90"/>
      <c r="G232" s="90"/>
      <c r="H232" s="90"/>
      <c r="I232" s="90"/>
      <c r="J232" s="90"/>
      <c r="K232" s="90"/>
      <c r="L232" s="90"/>
      <c r="M232" s="90"/>
      <c r="N232" s="90"/>
      <c r="O232" s="90"/>
      <c r="P232" s="90"/>
      <c r="Q232" s="90"/>
      <c r="R232" s="90"/>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row>
    <row r="234" spans="1:42" ht="20.100000000000001" customHeight="1" x14ac:dyDescent="0.25">
      <c r="A234" s="47" t="s">
        <v>70</v>
      </c>
      <c r="B234" s="47"/>
      <c r="C234" s="47"/>
      <c r="D234" s="47"/>
      <c r="E234" s="47"/>
      <c r="F234" s="47"/>
      <c r="G234" s="47"/>
      <c r="H234" s="47"/>
      <c r="I234" s="47"/>
      <c r="J234" s="47"/>
      <c r="K234" s="47"/>
      <c r="L234" s="47"/>
      <c r="M234" s="51">
        <v>7.5</v>
      </c>
      <c r="N234" s="51"/>
      <c r="O234" s="51"/>
      <c r="P234" s="51"/>
      <c r="Q234" s="51"/>
      <c r="R234" s="51"/>
    </row>
    <row r="235" spans="1:42" ht="20.100000000000001" customHeight="1" x14ac:dyDescent="0.25">
      <c r="A235" s="47" t="s">
        <v>80</v>
      </c>
      <c r="B235" s="47"/>
      <c r="C235" s="47"/>
      <c r="D235" s="47"/>
      <c r="E235" s="47"/>
      <c r="F235" s="47"/>
      <c r="G235" s="47"/>
      <c r="H235" s="47"/>
      <c r="I235" s="47"/>
      <c r="J235" s="47"/>
      <c r="K235" s="47"/>
      <c r="L235" s="47"/>
      <c r="M235" s="51">
        <f>E203</f>
        <v>193072.8627531548</v>
      </c>
      <c r="N235" s="51"/>
      <c r="O235" s="51"/>
      <c r="P235" s="51"/>
      <c r="Q235" s="51"/>
      <c r="R235" s="51"/>
    </row>
    <row r="236" spans="1:42" ht="20.100000000000001" customHeight="1" x14ac:dyDescent="0.25">
      <c r="A236" s="47" t="s">
        <v>62</v>
      </c>
      <c r="B236" s="47"/>
      <c r="C236" s="47"/>
      <c r="D236" s="47"/>
      <c r="E236" s="47"/>
      <c r="F236" s="47"/>
      <c r="G236" s="47"/>
      <c r="H236" s="47"/>
      <c r="I236" s="47"/>
      <c r="J236" s="47"/>
      <c r="K236" s="47"/>
      <c r="L236" s="47"/>
      <c r="M236" s="51">
        <f>M234*M235</f>
        <v>1448046.470648661</v>
      </c>
      <c r="N236" s="51"/>
      <c r="O236" s="51"/>
      <c r="P236" s="51"/>
      <c r="Q236" s="51"/>
      <c r="R236" s="51"/>
    </row>
    <row r="238" spans="1:42" ht="20.100000000000001" customHeight="1" x14ac:dyDescent="0.25">
      <c r="A238" s="84" t="s">
        <v>38</v>
      </c>
      <c r="B238" s="84"/>
      <c r="C238" s="84"/>
      <c r="D238" s="84"/>
      <c r="E238" s="84"/>
      <c r="F238" s="84"/>
      <c r="G238" s="84"/>
      <c r="H238" s="84"/>
      <c r="I238" s="84"/>
      <c r="J238" s="84"/>
      <c r="K238" s="84"/>
      <c r="L238" s="84"/>
      <c r="M238" s="53"/>
      <c r="N238" s="53"/>
      <c r="O238" s="53"/>
      <c r="P238" s="53"/>
      <c r="Q238" s="53"/>
      <c r="R238" s="53"/>
    </row>
    <row r="239" spans="1:42" ht="20.100000000000001" customHeight="1" x14ac:dyDescent="0.25">
      <c r="A239" s="47" t="s">
        <v>39</v>
      </c>
      <c r="B239" s="47"/>
      <c r="C239" s="47"/>
      <c r="D239" s="47"/>
      <c r="E239" s="47"/>
      <c r="F239" s="47"/>
      <c r="G239" s="47"/>
      <c r="H239" s="47"/>
      <c r="I239" s="47"/>
      <c r="J239" s="47"/>
      <c r="K239" s="47"/>
      <c r="L239" s="47"/>
      <c r="M239" s="74">
        <v>3</v>
      </c>
      <c r="N239" s="74"/>
      <c r="O239" s="74"/>
      <c r="P239" s="74"/>
      <c r="Q239" s="74"/>
      <c r="R239" s="74"/>
      <c r="S239" s="92" t="str">
        <f>IF(M241&gt;0.01,"Reduzir o número de casas decimais","")</f>
        <v/>
      </c>
      <c r="T239" s="92"/>
      <c r="U239" s="92"/>
    </row>
    <row r="240" spans="1:42" ht="20.100000000000001" customHeight="1" x14ac:dyDescent="0.25">
      <c r="A240" s="54" t="s">
        <v>40</v>
      </c>
      <c r="B240" s="54"/>
      <c r="C240" s="54"/>
      <c r="D240" s="54"/>
      <c r="E240" s="54"/>
      <c r="F240" s="54"/>
      <c r="G240" s="54"/>
      <c r="H240" s="54"/>
      <c r="I240" s="54"/>
      <c r="J240" s="54"/>
      <c r="K240" s="54"/>
      <c r="L240" s="54"/>
      <c r="M240" s="48">
        <f>M243-M236</f>
        <v>953.52935133897699</v>
      </c>
      <c r="N240" s="54"/>
      <c r="O240" s="54"/>
      <c r="P240" s="54"/>
      <c r="Q240" s="54"/>
      <c r="R240" s="54"/>
    </row>
    <row r="241" spans="1:18" ht="20.100000000000001" customHeight="1" x14ac:dyDescent="0.25">
      <c r="A241" s="54" t="s">
        <v>41</v>
      </c>
      <c r="B241" s="54"/>
      <c r="C241" s="54"/>
      <c r="D241" s="54"/>
      <c r="E241" s="54"/>
      <c r="F241" s="54"/>
      <c r="G241" s="54"/>
      <c r="H241" s="54"/>
      <c r="I241" s="54"/>
      <c r="J241" s="54"/>
      <c r="K241" s="54"/>
      <c r="L241" s="54"/>
      <c r="M241" s="85">
        <f>M240/M236</f>
        <v>6.5849361237131968E-4</v>
      </c>
      <c r="N241" s="85"/>
      <c r="O241" s="85"/>
      <c r="P241" s="85"/>
      <c r="Q241" s="85"/>
      <c r="R241" s="85"/>
    </row>
    <row r="243" spans="1:18" ht="20.100000000000001" customHeight="1" x14ac:dyDescent="0.25">
      <c r="A243" s="86" t="s">
        <v>37</v>
      </c>
      <c r="B243" s="86"/>
      <c r="C243" s="86"/>
      <c r="D243" s="86"/>
      <c r="E243" s="86"/>
      <c r="F243" s="86"/>
      <c r="G243" s="86"/>
      <c r="H243" s="86"/>
      <c r="I243" s="86"/>
      <c r="J243" s="86"/>
      <c r="K243" s="86"/>
      <c r="L243" s="86"/>
      <c r="M243" s="87">
        <f>ROUNDUP(M236,-M239)</f>
        <v>1449000</v>
      </c>
      <c r="N243" s="87"/>
      <c r="O243" s="87"/>
      <c r="P243" s="87"/>
      <c r="Q243" s="87"/>
      <c r="R243" s="87"/>
    </row>
    <row r="246" spans="1:18" ht="20.100000000000001" customHeight="1" x14ac:dyDescent="0.25">
      <c r="A246" s="83"/>
      <c r="B246" s="83"/>
      <c r="C246" s="83"/>
      <c r="D246" s="83"/>
      <c r="E246" s="83"/>
      <c r="F246" s="83"/>
      <c r="G246" s="83"/>
      <c r="H246" s="83"/>
      <c r="I246" s="83"/>
      <c r="J246" s="83"/>
      <c r="K246" s="83"/>
      <c r="L246" s="83"/>
      <c r="M246" s="83"/>
      <c r="N246" s="83"/>
      <c r="O246" s="83"/>
      <c r="P246" s="83"/>
      <c r="Q246" s="83"/>
      <c r="R246" s="83"/>
    </row>
    <row r="247" spans="1:18" ht="20.100000000000001" customHeight="1" x14ac:dyDescent="0.25">
      <c r="A247" s="83" t="s">
        <v>43</v>
      </c>
      <c r="B247" s="83"/>
      <c r="C247" s="83"/>
      <c r="D247" s="83"/>
      <c r="E247" s="83"/>
      <c r="F247" s="83"/>
      <c r="G247" s="83"/>
      <c r="H247" s="83"/>
      <c r="I247" s="83"/>
      <c r="J247" s="83"/>
      <c r="K247" s="83"/>
      <c r="L247" s="83"/>
      <c r="M247" s="83"/>
      <c r="N247" s="83"/>
      <c r="O247" s="83"/>
      <c r="P247" s="83"/>
      <c r="Q247" s="83"/>
      <c r="R247" s="83"/>
    </row>
    <row r="248" spans="1:18" ht="20.100000000000001" customHeight="1" x14ac:dyDescent="0.25">
      <c r="A248" s="83" t="s">
        <v>42</v>
      </c>
      <c r="B248" s="83"/>
      <c r="C248" s="83"/>
      <c r="D248" s="83"/>
      <c r="E248" s="83"/>
      <c r="F248" s="83"/>
      <c r="G248" s="83"/>
      <c r="H248" s="83"/>
      <c r="I248" s="83"/>
      <c r="J248" s="83"/>
      <c r="K248" s="83"/>
      <c r="L248" s="83"/>
      <c r="M248" s="83"/>
      <c r="N248" s="83"/>
      <c r="O248" s="83"/>
      <c r="P248" s="83"/>
      <c r="Q248" s="83"/>
      <c r="R248" s="83"/>
    </row>
  </sheetData>
  <sheetProtection formatCells="0"/>
  <mergeCells count="243">
    <mergeCell ref="A5:R5"/>
    <mergeCell ref="A6:R6"/>
    <mergeCell ref="A7:R7"/>
    <mergeCell ref="B9:D9"/>
    <mergeCell ref="E9:G9"/>
    <mergeCell ref="H9:J9"/>
    <mergeCell ref="K9:M9"/>
    <mergeCell ref="N9:O9"/>
    <mergeCell ref="P9:R9"/>
    <mergeCell ref="B11:D11"/>
    <mergeCell ref="E11:G11"/>
    <mergeCell ref="H11:J11"/>
    <mergeCell ref="K11:M11"/>
    <mergeCell ref="N11:O11"/>
    <mergeCell ref="P11:R11"/>
    <mergeCell ref="T9:U9"/>
    <mergeCell ref="B10:D10"/>
    <mergeCell ref="E10:G10"/>
    <mergeCell ref="H10:J10"/>
    <mergeCell ref="K10:M10"/>
    <mergeCell ref="N10:O10"/>
    <mergeCell ref="P10:R10"/>
    <mergeCell ref="L14:O14"/>
    <mergeCell ref="P14:R14"/>
    <mergeCell ref="L15:O15"/>
    <mergeCell ref="P15:R15"/>
    <mergeCell ref="L16:O16"/>
    <mergeCell ref="P16:R16"/>
    <mergeCell ref="B12:D12"/>
    <mergeCell ref="E12:G12"/>
    <mergeCell ref="H12:J12"/>
    <mergeCell ref="K12:M12"/>
    <mergeCell ref="N12:O12"/>
    <mergeCell ref="P12:R12"/>
    <mergeCell ref="O24:R24"/>
    <mergeCell ref="A25:G25"/>
    <mergeCell ref="H25:I25"/>
    <mergeCell ref="J25:N25"/>
    <mergeCell ref="O25:R25"/>
    <mergeCell ref="A19:R19"/>
    <mergeCell ref="A21:R21"/>
    <mergeCell ref="A23:G23"/>
    <mergeCell ref="H23:I23"/>
    <mergeCell ref="J23:N23"/>
    <mergeCell ref="O23:R23"/>
    <mergeCell ref="A28:D29"/>
    <mergeCell ref="E28:G28"/>
    <mergeCell ref="H28:I29"/>
    <mergeCell ref="H30:I30"/>
    <mergeCell ref="B32:E32"/>
    <mergeCell ref="I32:J32"/>
    <mergeCell ref="A24:G24"/>
    <mergeCell ref="H24:I24"/>
    <mergeCell ref="J24:N24"/>
    <mergeCell ref="B34:E34"/>
    <mergeCell ref="I34:J34"/>
    <mergeCell ref="K34:L34"/>
    <mergeCell ref="M34:N34"/>
    <mergeCell ref="O34:R34"/>
    <mergeCell ref="K32:L32"/>
    <mergeCell ref="M32:N32"/>
    <mergeCell ref="O32:R32"/>
    <mergeCell ref="B33:E33"/>
    <mergeCell ref="I33:J33"/>
    <mergeCell ref="K33:L33"/>
    <mergeCell ref="M33:N33"/>
    <mergeCell ref="O33:R33"/>
    <mergeCell ref="L37:O37"/>
    <mergeCell ref="P37:R37"/>
    <mergeCell ref="L38:O38"/>
    <mergeCell ref="P38:R38"/>
    <mergeCell ref="L39:O39"/>
    <mergeCell ref="P39:R39"/>
    <mergeCell ref="B35:E35"/>
    <mergeCell ref="I35:J35"/>
    <mergeCell ref="K35:L35"/>
    <mergeCell ref="M35:N35"/>
    <mergeCell ref="O35:R35"/>
    <mergeCell ref="A70:R70"/>
    <mergeCell ref="A88:R88"/>
    <mergeCell ref="A107:R107"/>
    <mergeCell ref="B109:F109"/>
    <mergeCell ref="L109:P109"/>
    <mergeCell ref="Q109:R109"/>
    <mergeCell ref="A42:R43"/>
    <mergeCell ref="A45:A46"/>
    <mergeCell ref="B45:D45"/>
    <mergeCell ref="F45:H45"/>
    <mergeCell ref="M45:O45"/>
    <mergeCell ref="A52:R52"/>
    <mergeCell ref="L113:O113"/>
    <mergeCell ref="P113:R113"/>
    <mergeCell ref="B112:F112"/>
    <mergeCell ref="L114:O114"/>
    <mergeCell ref="P114:R114"/>
    <mergeCell ref="B110:F110"/>
    <mergeCell ref="L110:P110"/>
    <mergeCell ref="Q110:R110"/>
    <mergeCell ref="B111:F111"/>
    <mergeCell ref="L112:O112"/>
    <mergeCell ref="P112:R112"/>
    <mergeCell ref="L119:M119"/>
    <mergeCell ref="N119:O119"/>
    <mergeCell ref="P119:R119"/>
    <mergeCell ref="L120:O120"/>
    <mergeCell ref="P120:R120"/>
    <mergeCell ref="L123:O123"/>
    <mergeCell ref="P123:R123"/>
    <mergeCell ref="L115:O115"/>
    <mergeCell ref="P115:R115"/>
    <mergeCell ref="L116:O116"/>
    <mergeCell ref="P116:R116"/>
    <mergeCell ref="L117:O117"/>
    <mergeCell ref="P117:R117"/>
    <mergeCell ref="B150:F150"/>
    <mergeCell ref="L150:P150"/>
    <mergeCell ref="Q150:R150"/>
    <mergeCell ref="B151:F151"/>
    <mergeCell ref="L151:P151"/>
    <mergeCell ref="Q151:R151"/>
    <mergeCell ref="L124:O124"/>
    <mergeCell ref="P124:R124"/>
    <mergeCell ref="A147:R147"/>
    <mergeCell ref="B149:F149"/>
    <mergeCell ref="L149:P149"/>
    <mergeCell ref="Q149:R149"/>
    <mergeCell ref="L155:O155"/>
    <mergeCell ref="P155:R155"/>
    <mergeCell ref="L157:O157"/>
    <mergeCell ref="P157:R157"/>
    <mergeCell ref="L158:O158"/>
    <mergeCell ref="P158:R158"/>
    <mergeCell ref="L152:P152"/>
    <mergeCell ref="Q152:R152"/>
    <mergeCell ref="B152:F152"/>
    <mergeCell ref="L154:O154"/>
    <mergeCell ref="P154:R154"/>
    <mergeCell ref="L163:O163"/>
    <mergeCell ref="P163:R163"/>
    <mergeCell ref="L165:O165"/>
    <mergeCell ref="P165:R165"/>
    <mergeCell ref="L166:O166"/>
    <mergeCell ref="P166:R166"/>
    <mergeCell ref="L159:O159"/>
    <mergeCell ref="P159:R159"/>
    <mergeCell ref="L160:O160"/>
    <mergeCell ref="P160:R160"/>
    <mergeCell ref="L162:M162"/>
    <mergeCell ref="N162:O162"/>
    <mergeCell ref="P162:R162"/>
    <mergeCell ref="O191:R191"/>
    <mergeCell ref="A193:F193"/>
    <mergeCell ref="G193:L193"/>
    <mergeCell ref="A189:F189"/>
    <mergeCell ref="G189:J189"/>
    <mergeCell ref="K189:N189"/>
    <mergeCell ref="O189:R189"/>
    <mergeCell ref="A190:F190"/>
    <mergeCell ref="G190:J190"/>
    <mergeCell ref="K190:N190"/>
    <mergeCell ref="O190:R190"/>
    <mergeCell ref="A194:F194"/>
    <mergeCell ref="G194:L194"/>
    <mergeCell ref="A195:F195"/>
    <mergeCell ref="G195:L195"/>
    <mergeCell ref="A196:F196"/>
    <mergeCell ref="G196:L196"/>
    <mergeCell ref="A191:F191"/>
    <mergeCell ref="G191:J191"/>
    <mergeCell ref="K191:N191"/>
    <mergeCell ref="A205:D205"/>
    <mergeCell ref="E205:H205"/>
    <mergeCell ref="A206:D206"/>
    <mergeCell ref="E206:H206"/>
    <mergeCell ref="A207:D207"/>
    <mergeCell ref="E207:H207"/>
    <mergeCell ref="A199:R199"/>
    <mergeCell ref="A201:R201"/>
    <mergeCell ref="A203:D203"/>
    <mergeCell ref="E203:H203"/>
    <mergeCell ref="A204:D204"/>
    <mergeCell ref="E204:H204"/>
    <mergeCell ref="A211:D211"/>
    <mergeCell ref="E211:H211"/>
    <mergeCell ref="K211:N211"/>
    <mergeCell ref="O211:R211"/>
    <mergeCell ref="K212:N212"/>
    <mergeCell ref="O212:R212"/>
    <mergeCell ref="A208:D208"/>
    <mergeCell ref="E208:H208"/>
    <mergeCell ref="A210:D210"/>
    <mergeCell ref="E210:H210"/>
    <mergeCell ref="K210:N210"/>
    <mergeCell ref="O210:R210"/>
    <mergeCell ref="A215:R215"/>
    <mergeCell ref="A217:D217"/>
    <mergeCell ref="E217:H217"/>
    <mergeCell ref="I217:L217"/>
    <mergeCell ref="M217:P217"/>
    <mergeCell ref="A218:D218"/>
    <mergeCell ref="E218:H218"/>
    <mergeCell ref="I218:L218"/>
    <mergeCell ref="M218:P218"/>
    <mergeCell ref="E227:G227"/>
    <mergeCell ref="I227:K227"/>
    <mergeCell ref="M227:O227"/>
    <mergeCell ref="E228:G228"/>
    <mergeCell ref="I228:K228"/>
    <mergeCell ref="M228:O228"/>
    <mergeCell ref="A219:D219"/>
    <mergeCell ref="E219:H219"/>
    <mergeCell ref="I219:L219"/>
    <mergeCell ref="M219:P219"/>
    <mergeCell ref="A222:R223"/>
    <mergeCell ref="D225:D226"/>
    <mergeCell ref="E225:G226"/>
    <mergeCell ref="I225:K226"/>
    <mergeCell ref="M225:O225"/>
    <mergeCell ref="M226:O226"/>
    <mergeCell ref="A235:L235"/>
    <mergeCell ref="M235:R235"/>
    <mergeCell ref="A236:L236"/>
    <mergeCell ref="M236:R236"/>
    <mergeCell ref="A238:L238"/>
    <mergeCell ref="M238:R238"/>
    <mergeCell ref="E229:G229"/>
    <mergeCell ref="I229:K229"/>
    <mergeCell ref="M229:O229"/>
    <mergeCell ref="A232:R232"/>
    <mergeCell ref="A234:L234"/>
    <mergeCell ref="M234:R234"/>
    <mergeCell ref="A243:L243"/>
    <mergeCell ref="M243:R243"/>
    <mergeCell ref="A246:R246"/>
    <mergeCell ref="A247:R247"/>
    <mergeCell ref="A248:R248"/>
    <mergeCell ref="A239:L239"/>
    <mergeCell ref="M239:R239"/>
    <mergeCell ref="S239:U239"/>
    <mergeCell ref="A240:L240"/>
    <mergeCell ref="M240:R240"/>
    <mergeCell ref="A241:L241"/>
    <mergeCell ref="M241:R241"/>
  </mergeCells>
  <conditionalFormatting sqref="M47:O49 M227:O229">
    <cfRule type="containsText" dxfId="4" priority="1" operator="containsText" text="Rejeitado">
      <formula>NOT(ISERROR(SEARCH("Rejeitado",M47)))</formula>
    </cfRule>
  </conditionalFormatting>
  <conditionalFormatting sqref="M241:R241">
    <cfRule type="cellIs" dxfId="3" priority="5" operator="greaterThan">
      <formula>0.01</formula>
    </cfRule>
  </conditionalFormatting>
  <conditionalFormatting sqref="P120 P163">
    <cfRule type="containsText" dxfId="2" priority="3" operator="containsText" text="Encerrar">
      <formula>NOT(ISERROR(SEARCH("Encerrar",P120)))</formula>
    </cfRule>
    <cfRule type="containsText" dxfId="1" priority="4" operator="containsText" text="Continuar">
      <formula>NOT(ISERROR(SEARCH("Continuar",P120)))</formula>
    </cfRule>
  </conditionalFormatting>
  <conditionalFormatting sqref="S239:U239">
    <cfRule type="containsText" dxfId="0" priority="2" operator="containsText" text="Reduzir o número de casas decimais">
      <formula>NOT(ISERROR(SEARCH("Reduzir o número de casas decimais",S239)))</formula>
    </cfRule>
  </conditionalFormatting>
  <dataValidations count="1">
    <dataValidation type="list" allowBlank="1" showInputMessage="1" showErrorMessage="1" sqref="K10:K12" xr:uid="{3DA50D0D-ADAC-45A9-9DFF-7EF552776D0B}">
      <formula1>$T$11:$T$12</formula1>
    </dataValidation>
  </dataValidations>
  <printOptions horizontalCentered="1"/>
  <pageMargins left="0.25" right="0.25"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TERRA NUA 12 ELEMENTOS</vt:lpstr>
      <vt:lpstr>TERRA NUA 5 ELEMENTOS</vt:lpstr>
      <vt:lpstr>TERRA NUA 3 ELEMENTOS</vt:lpstr>
      <vt:lpstr>'TERRA NUA 12 ELEMENTOS'!Area_de_impressao</vt:lpstr>
      <vt:lpstr>'TERRA NUA 3 ELEMENTOS'!Area_de_impressao</vt:lpstr>
      <vt:lpstr>'TERRA NUA 5 ELEMENTOS'!Area_de_impressao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2024-08-25T14:24:44Z</cp:lastPrinted>
  <dcterms:created xsi:type="dcterms:W3CDTF">2024-06-02T16:00:59Z</dcterms:created>
  <dcterms:modified xsi:type="dcterms:W3CDTF">2025-12-11T03:24:21Z</dcterms:modified>
</cp:coreProperties>
</file>