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OJAF\Downloads\"/>
    </mc:Choice>
  </mc:AlternateContent>
  <xr:revisionPtr revIDLastSave="0" documentId="8_{F24CD717-C49D-472A-8109-CB6810AD40D5}" xr6:coauthVersionLast="47" xr6:coauthVersionMax="47" xr10:uidLastSave="{00000000-0000-0000-0000-000000000000}"/>
  <bookViews>
    <workbookView xWindow="-120" yWindow="-120" windowWidth="29040" windowHeight="15720" xr2:uid="{1F4201A7-3895-4FFC-8593-79D99B2E80C2}"/>
  </bookViews>
  <sheets>
    <sheet name="RESULTADOS DA REGRESSÃO" sheetId="1" r:id="rId1"/>
  </sheets>
  <definedNames>
    <definedName name="_xlnm._FilterDatabase" localSheetId="0" hidden="1">'RESULTADOS DA REGRESSÃO'!$B$10:$H$22</definedName>
    <definedName name="_xlchart.v2.0" hidden="1">'RESULTADOS DA REGRESSÃO'!$U$575:$V$575</definedName>
    <definedName name="_xlchart.v2.1" hidden="1">'RESULTADOS DA REGRESSÃO'!$U$576:$V$576</definedName>
    <definedName name="_xlnm.Print_Area" localSheetId="0">'RESULTADOS DA REGRESSÃO'!$A$1:$H$607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8" i="1" l="1"/>
  <c r="C570" i="1"/>
  <c r="F570" i="1"/>
  <c r="C572" i="1"/>
  <c r="F572" i="1"/>
  <c r="F535" i="1" l="1"/>
  <c r="E535" i="1"/>
  <c r="C100" i="1" l="1"/>
  <c r="C99" i="1"/>
  <c r="C98" i="1"/>
  <c r="AC627" i="1" a="1"/>
  <c r="AC627" i="1" s="1"/>
  <c r="AA627" i="1" a="1"/>
  <c r="AA627" i="1" s="1"/>
  <c r="AA618" i="1" a="1"/>
  <c r="AA618" i="1" s="1"/>
  <c r="A346" i="1" l="1"/>
  <c r="A347" i="1"/>
  <c r="A348" i="1"/>
  <c r="A349" i="1"/>
  <c r="A350" i="1"/>
  <c r="A351" i="1"/>
  <c r="A352" i="1"/>
  <c r="A353" i="1"/>
  <c r="A354" i="1"/>
  <c r="A355" i="1"/>
  <c r="A356" i="1"/>
  <c r="A345" i="1"/>
  <c r="Y1135" i="1"/>
  <c r="Z1135" i="1"/>
  <c r="Y1136" i="1"/>
  <c r="Z1136" i="1"/>
  <c r="Y1137" i="1"/>
  <c r="Z1137" i="1"/>
  <c r="Y1138" i="1"/>
  <c r="Z1138" i="1"/>
  <c r="Y1139" i="1"/>
  <c r="Z1139" i="1"/>
  <c r="Y1140" i="1"/>
  <c r="Z1140" i="1"/>
  <c r="Y1141" i="1"/>
  <c r="Z1141" i="1"/>
  <c r="Y1142" i="1"/>
  <c r="Z1142" i="1"/>
  <c r="Y1143" i="1"/>
  <c r="Z1143" i="1"/>
  <c r="Y1144" i="1"/>
  <c r="Z1144" i="1"/>
  <c r="Z1134" i="1"/>
  <c r="Y1134" i="1"/>
  <c r="Y1109" i="1"/>
  <c r="Z1109" i="1"/>
  <c r="Y1110" i="1"/>
  <c r="Z1110" i="1"/>
  <c r="Y1111" i="1"/>
  <c r="Z1111" i="1"/>
  <c r="Y1112" i="1"/>
  <c r="Z1112" i="1"/>
  <c r="Y1113" i="1"/>
  <c r="Z1113" i="1"/>
  <c r="Y1114" i="1"/>
  <c r="Z1114" i="1"/>
  <c r="Y1115" i="1"/>
  <c r="Z1115" i="1"/>
  <c r="Y1116" i="1"/>
  <c r="Z1116" i="1"/>
  <c r="Y1117" i="1"/>
  <c r="Z1117" i="1"/>
  <c r="Y1118" i="1"/>
  <c r="Z1118" i="1"/>
  <c r="Z1108" i="1"/>
  <c r="Y1108" i="1"/>
  <c r="Y1083" i="1"/>
  <c r="Z1083" i="1"/>
  <c r="Y1084" i="1"/>
  <c r="Z1084" i="1"/>
  <c r="Y1085" i="1"/>
  <c r="Z1085" i="1"/>
  <c r="Y1086" i="1"/>
  <c r="Z1086" i="1"/>
  <c r="Y1087" i="1"/>
  <c r="Z1087" i="1"/>
  <c r="Y1088" i="1"/>
  <c r="Z1088" i="1"/>
  <c r="Y1089" i="1"/>
  <c r="Z1089" i="1"/>
  <c r="Y1090" i="1"/>
  <c r="Z1090" i="1"/>
  <c r="Y1091" i="1"/>
  <c r="Z1091" i="1"/>
  <c r="Y1092" i="1"/>
  <c r="Z1092" i="1"/>
  <c r="Z1082" i="1"/>
  <c r="Y1082" i="1"/>
  <c r="AC1149" i="1"/>
  <c r="AC1147" i="1"/>
  <c r="AC1123" i="1"/>
  <c r="AC1121" i="1"/>
  <c r="AC1097" i="1"/>
  <c r="AC1095" i="1"/>
  <c r="Y1057" i="1"/>
  <c r="Z1057" i="1"/>
  <c r="Y1058" i="1"/>
  <c r="Z1058" i="1"/>
  <c r="Y1059" i="1"/>
  <c r="Z1059" i="1"/>
  <c r="Y1060" i="1"/>
  <c r="Z1060" i="1"/>
  <c r="Y1061" i="1"/>
  <c r="Z1061" i="1"/>
  <c r="Y1062" i="1"/>
  <c r="Z1062" i="1"/>
  <c r="Y1063" i="1"/>
  <c r="Z1063" i="1"/>
  <c r="Y1064" i="1"/>
  <c r="Z1064" i="1"/>
  <c r="Y1065" i="1"/>
  <c r="Z1065" i="1"/>
  <c r="Y1066" i="1"/>
  <c r="Z1066" i="1"/>
  <c r="Z1056" i="1"/>
  <c r="Y1056" i="1"/>
  <c r="AC1071" i="1"/>
  <c r="AC1069" i="1"/>
  <c r="Y1031" i="1"/>
  <c r="Z1031" i="1"/>
  <c r="Y1032" i="1"/>
  <c r="Z1032" i="1"/>
  <c r="Y1033" i="1"/>
  <c r="Z1033" i="1"/>
  <c r="Y1034" i="1"/>
  <c r="Z1034" i="1"/>
  <c r="Y1035" i="1"/>
  <c r="Z1035" i="1"/>
  <c r="Y1036" i="1"/>
  <c r="Z1036" i="1"/>
  <c r="Y1037" i="1"/>
  <c r="Z1037" i="1"/>
  <c r="Y1038" i="1"/>
  <c r="Z1038" i="1"/>
  <c r="Y1039" i="1"/>
  <c r="Z1039" i="1"/>
  <c r="Y1040" i="1"/>
  <c r="Z1040" i="1"/>
  <c r="Z1030" i="1"/>
  <c r="Y1030" i="1"/>
  <c r="AC1045" i="1"/>
  <c r="AC1043" i="1"/>
  <c r="Y1005" i="1"/>
  <c r="Z1005" i="1"/>
  <c r="Y1006" i="1"/>
  <c r="Z1006" i="1"/>
  <c r="Y1007" i="1"/>
  <c r="Z1007" i="1"/>
  <c r="Y1008" i="1"/>
  <c r="Z1008" i="1"/>
  <c r="Y1009" i="1"/>
  <c r="Z1009" i="1"/>
  <c r="Y1010" i="1"/>
  <c r="Z1010" i="1"/>
  <c r="Y1011" i="1"/>
  <c r="Z1011" i="1"/>
  <c r="Y1012" i="1"/>
  <c r="Z1012" i="1"/>
  <c r="Y1013" i="1"/>
  <c r="Z1013" i="1"/>
  <c r="Y1014" i="1"/>
  <c r="Z1014" i="1"/>
  <c r="Z1004" i="1"/>
  <c r="Y1004" i="1"/>
  <c r="AC1019" i="1"/>
  <c r="AC1017" i="1"/>
  <c r="Y979" i="1"/>
  <c r="Z979" i="1"/>
  <c r="Y980" i="1"/>
  <c r="Z980" i="1"/>
  <c r="Y981" i="1"/>
  <c r="Z981" i="1"/>
  <c r="Y982" i="1"/>
  <c r="Z982" i="1"/>
  <c r="Y983" i="1"/>
  <c r="Z983" i="1"/>
  <c r="Y984" i="1"/>
  <c r="Z984" i="1"/>
  <c r="Y985" i="1"/>
  <c r="Z985" i="1"/>
  <c r="Y986" i="1"/>
  <c r="Z986" i="1"/>
  <c r="Y987" i="1"/>
  <c r="Z987" i="1"/>
  <c r="Y988" i="1"/>
  <c r="Z988" i="1"/>
  <c r="Z978" i="1"/>
  <c r="Y978" i="1"/>
  <c r="AC993" i="1"/>
  <c r="AC991" i="1"/>
  <c r="Y953" i="1"/>
  <c r="Z953" i="1"/>
  <c r="Y954" i="1"/>
  <c r="Z954" i="1"/>
  <c r="Y955" i="1"/>
  <c r="Z955" i="1"/>
  <c r="Y956" i="1"/>
  <c r="Z956" i="1"/>
  <c r="Y957" i="1"/>
  <c r="Z957" i="1"/>
  <c r="Y958" i="1"/>
  <c r="Z958" i="1"/>
  <c r="Y959" i="1"/>
  <c r="Z959" i="1"/>
  <c r="Y960" i="1"/>
  <c r="Z960" i="1"/>
  <c r="Y961" i="1"/>
  <c r="Z961" i="1"/>
  <c r="Y962" i="1"/>
  <c r="Z962" i="1"/>
  <c r="Z952" i="1"/>
  <c r="Y952" i="1"/>
  <c r="AC967" i="1"/>
  <c r="AC965" i="1"/>
  <c r="Y927" i="1"/>
  <c r="Z927" i="1"/>
  <c r="Y928" i="1"/>
  <c r="Z928" i="1"/>
  <c r="Y929" i="1"/>
  <c r="Z929" i="1"/>
  <c r="Y930" i="1"/>
  <c r="Z930" i="1"/>
  <c r="Y931" i="1"/>
  <c r="Z931" i="1"/>
  <c r="Y932" i="1"/>
  <c r="Z932" i="1"/>
  <c r="Y933" i="1"/>
  <c r="Z933" i="1"/>
  <c r="Y934" i="1"/>
  <c r="Z934" i="1"/>
  <c r="Y935" i="1"/>
  <c r="Z935" i="1"/>
  <c r="Y936" i="1"/>
  <c r="Z936" i="1"/>
  <c r="Z926" i="1"/>
  <c r="Y926" i="1"/>
  <c r="AC941" i="1"/>
  <c r="AC939" i="1"/>
  <c r="Y901" i="1"/>
  <c r="Z901" i="1"/>
  <c r="Y902" i="1"/>
  <c r="Z902" i="1"/>
  <c r="Y903" i="1"/>
  <c r="Z903" i="1"/>
  <c r="Y904" i="1"/>
  <c r="Z904" i="1"/>
  <c r="Y905" i="1"/>
  <c r="Z905" i="1"/>
  <c r="Y906" i="1"/>
  <c r="Z906" i="1"/>
  <c r="Y907" i="1"/>
  <c r="Z907" i="1"/>
  <c r="Y908" i="1"/>
  <c r="Z908" i="1"/>
  <c r="Y909" i="1"/>
  <c r="Z909" i="1"/>
  <c r="Y910" i="1"/>
  <c r="Z910" i="1"/>
  <c r="Z900" i="1"/>
  <c r="Y900" i="1"/>
  <c r="AC915" i="1"/>
  <c r="AC913" i="1"/>
  <c r="Z874" i="1"/>
  <c r="Z875" i="1"/>
  <c r="Z876" i="1"/>
  <c r="Z877" i="1"/>
  <c r="Z878" i="1"/>
  <c r="Z879" i="1"/>
  <c r="Z880" i="1"/>
  <c r="Z881" i="1"/>
  <c r="Z882" i="1"/>
  <c r="Z883" i="1"/>
  <c r="Z884" i="1"/>
  <c r="Y875" i="1"/>
  <c r="Y876" i="1"/>
  <c r="Y877" i="1"/>
  <c r="Y878" i="1"/>
  <c r="Y879" i="1"/>
  <c r="Y880" i="1"/>
  <c r="Y881" i="1"/>
  <c r="Y882" i="1"/>
  <c r="Y883" i="1"/>
  <c r="Y884" i="1"/>
  <c r="Y874" i="1"/>
  <c r="AC889" i="1"/>
  <c r="AC887" i="1"/>
  <c r="Y849" i="1"/>
  <c r="Z849" i="1"/>
  <c r="Y850" i="1"/>
  <c r="Z850" i="1"/>
  <c r="Y851" i="1"/>
  <c r="Z851" i="1"/>
  <c r="Y852" i="1"/>
  <c r="Z852" i="1"/>
  <c r="Y853" i="1"/>
  <c r="Z853" i="1"/>
  <c r="Y854" i="1"/>
  <c r="Z854" i="1"/>
  <c r="Y855" i="1"/>
  <c r="Z855" i="1"/>
  <c r="Y856" i="1"/>
  <c r="Z856" i="1"/>
  <c r="Y857" i="1"/>
  <c r="Z857" i="1"/>
  <c r="Y858" i="1"/>
  <c r="Z858" i="1"/>
  <c r="Y859" i="1"/>
  <c r="Z859" i="1"/>
  <c r="AC864" i="1"/>
  <c r="AC862" i="1"/>
  <c r="AC838" i="1"/>
  <c r="AC836" i="1"/>
  <c r="Y823" i="1"/>
  <c r="Z823" i="1"/>
  <c r="Y824" i="1"/>
  <c r="Z824" i="1"/>
  <c r="Y825" i="1"/>
  <c r="Z825" i="1"/>
  <c r="Y826" i="1"/>
  <c r="Z826" i="1"/>
  <c r="Y827" i="1"/>
  <c r="Z827" i="1"/>
  <c r="Y828" i="1"/>
  <c r="Z828" i="1"/>
  <c r="Y829" i="1"/>
  <c r="Z829" i="1"/>
  <c r="Y830" i="1"/>
  <c r="Z830" i="1"/>
  <c r="Y831" i="1"/>
  <c r="Z831" i="1"/>
  <c r="Y832" i="1"/>
  <c r="Z832" i="1"/>
  <c r="Y833" i="1"/>
  <c r="Z833" i="1"/>
  <c r="Z822" i="1"/>
  <c r="Y822" i="1"/>
  <c r="D71" i="1"/>
  <c r="A74" i="1" s="1"/>
  <c r="C71" i="1"/>
  <c r="A73" i="1" s="1"/>
  <c r="B71" i="1"/>
  <c r="A72" i="1" s="1"/>
  <c r="D74" i="1"/>
  <c r="C73" i="1"/>
  <c r="AC1124" i="1" l="1"/>
  <c r="AC1150" i="1"/>
  <c r="AC994" i="1"/>
  <c r="AC1072" i="1"/>
  <c r="AC1098" i="1"/>
  <c r="AC1046" i="1"/>
  <c r="AC1020" i="1"/>
  <c r="AC968" i="1"/>
  <c r="AC916" i="1"/>
  <c r="AC942" i="1"/>
  <c r="AC839" i="1"/>
  <c r="AC865" i="1"/>
  <c r="AC890" i="1"/>
  <c r="Q10" i="1" l="1"/>
  <c r="Y724" i="1"/>
  <c r="Z724" i="1"/>
  <c r="Y725" i="1"/>
  <c r="Z725" i="1"/>
  <c r="Y726" i="1"/>
  <c r="Z726" i="1"/>
  <c r="Y727" i="1"/>
  <c r="Z727" i="1"/>
  <c r="Y728" i="1"/>
  <c r="Z728" i="1"/>
  <c r="Y729" i="1"/>
  <c r="Z729" i="1"/>
  <c r="Y730" i="1"/>
  <c r="Z730" i="1"/>
  <c r="Y731" i="1"/>
  <c r="Z731" i="1"/>
  <c r="Y732" i="1"/>
  <c r="Z732" i="1"/>
  <c r="Y733" i="1"/>
  <c r="Z733" i="1"/>
  <c r="Y734" i="1"/>
  <c r="Z734" i="1"/>
  <c r="Z723" i="1"/>
  <c r="Y723" i="1"/>
  <c r="BI614" i="1"/>
  <c r="BJ614" i="1"/>
  <c r="BI615" i="1"/>
  <c r="BJ615" i="1"/>
  <c r="BI616" i="1"/>
  <c r="BJ616" i="1"/>
  <c r="BI617" i="1"/>
  <c r="BJ617" i="1"/>
  <c r="BI618" i="1"/>
  <c r="BJ618" i="1"/>
  <c r="BI619" i="1"/>
  <c r="BJ619" i="1"/>
  <c r="BI620" i="1"/>
  <c r="BJ620" i="1"/>
  <c r="BI621" i="1"/>
  <c r="BJ621" i="1"/>
  <c r="BI622" i="1"/>
  <c r="BJ622" i="1"/>
  <c r="BI623" i="1"/>
  <c r="BJ623" i="1"/>
  <c r="BI624" i="1"/>
  <c r="BJ624" i="1"/>
  <c r="BI625" i="1"/>
  <c r="BJ625" i="1"/>
  <c r="BJ613" i="1"/>
  <c r="BI613" i="1"/>
  <c r="AU614" i="1"/>
  <c r="AV614" i="1"/>
  <c r="AU615" i="1"/>
  <c r="AV615" i="1"/>
  <c r="AU616" i="1"/>
  <c r="AV616" i="1"/>
  <c r="AU617" i="1"/>
  <c r="AV617" i="1"/>
  <c r="AU618" i="1"/>
  <c r="AV618" i="1"/>
  <c r="AU619" i="1"/>
  <c r="AV619" i="1"/>
  <c r="AU620" i="1"/>
  <c r="AV620" i="1"/>
  <c r="AU621" i="1"/>
  <c r="AV621" i="1"/>
  <c r="AU622" i="1"/>
  <c r="AV622" i="1"/>
  <c r="AU623" i="1"/>
  <c r="AV623" i="1"/>
  <c r="AU624" i="1"/>
  <c r="AV624" i="1"/>
  <c r="AU625" i="1"/>
  <c r="AV625" i="1"/>
  <c r="Z737" i="1" l="1"/>
  <c r="AB725" i="1" s="1"/>
  <c r="Y737" i="1"/>
  <c r="Y739" i="1"/>
  <c r="Z739" i="1"/>
  <c r="Y740" i="1"/>
  <c r="Z740" i="1"/>
  <c r="AX614" i="1" a="1"/>
  <c r="AX614" i="1" s="1"/>
  <c r="AZ614" i="1" s="1"/>
  <c r="BB618" i="1"/>
  <c r="BB617" i="1"/>
  <c r="BB616" i="1"/>
  <c r="BP625" i="1"/>
  <c r="BB625" i="1"/>
  <c r="BP615" i="1"/>
  <c r="BB615" i="1"/>
  <c r="BP619" i="1"/>
  <c r="BB624" i="1"/>
  <c r="BP620" i="1"/>
  <c r="BP618" i="1"/>
  <c r="BB623" i="1"/>
  <c r="BP621" i="1"/>
  <c r="BB622" i="1"/>
  <c r="BP622" i="1"/>
  <c r="BL614" i="1" a="1"/>
  <c r="BO621" i="1" s="1"/>
  <c r="BP624" i="1"/>
  <c r="BP616" i="1"/>
  <c r="BB621" i="1"/>
  <c r="BB619" i="1"/>
  <c r="BP614" i="1"/>
  <c r="BP623" i="1"/>
  <c r="BB620" i="1"/>
  <c r="BB614" i="1"/>
  <c r="BP617" i="1"/>
  <c r="AB724" i="1" l="1"/>
  <c r="AB730" i="1"/>
  <c r="AB732" i="1"/>
  <c r="AB728" i="1"/>
  <c r="AB723" i="1"/>
  <c r="AB734" i="1"/>
  <c r="AB733" i="1"/>
  <c r="AB729" i="1"/>
  <c r="AB727" i="1"/>
  <c r="AB731" i="1"/>
  <c r="AB726" i="1"/>
  <c r="AA727" i="1"/>
  <c r="AA724" i="1"/>
  <c r="AA726" i="1"/>
  <c r="AA732" i="1"/>
  <c r="Y742" i="1" a="1"/>
  <c r="Y742" i="1" s="1"/>
  <c r="AA725" i="1"/>
  <c r="AA731" i="1"/>
  <c r="AA729" i="1"/>
  <c r="AA728" i="1"/>
  <c r="AA734" i="1"/>
  <c r="AA730" i="1"/>
  <c r="AA733" i="1"/>
  <c r="AA723" i="1"/>
  <c r="AZ621" i="1"/>
  <c r="AZ625" i="1"/>
  <c r="AZ616" i="1"/>
  <c r="AZ619" i="1"/>
  <c r="AZ622" i="1"/>
  <c r="BA623" i="1"/>
  <c r="AZ624" i="1"/>
  <c r="BA619" i="1"/>
  <c r="BA615" i="1"/>
  <c r="BA624" i="1"/>
  <c r="AZ617" i="1"/>
  <c r="BA625" i="1"/>
  <c r="BA616" i="1"/>
  <c r="BA620" i="1"/>
  <c r="AZ618" i="1"/>
  <c r="BA617" i="1"/>
  <c r="BA618" i="1"/>
  <c r="BA621" i="1"/>
  <c r="AZ620" i="1"/>
  <c r="AZ615" i="1"/>
  <c r="BA622" i="1"/>
  <c r="AZ623" i="1"/>
  <c r="BA614" i="1"/>
  <c r="BF614" i="1"/>
  <c r="BN622" i="1"/>
  <c r="BN623" i="1"/>
  <c r="BN621" i="1"/>
  <c r="BN624" i="1"/>
  <c r="BN625" i="1"/>
  <c r="BN615" i="1"/>
  <c r="BN616" i="1"/>
  <c r="BN617" i="1"/>
  <c r="BN618" i="1"/>
  <c r="BN619" i="1"/>
  <c r="BN620" i="1"/>
  <c r="BO620" i="1"/>
  <c r="BO618" i="1"/>
  <c r="BO625" i="1"/>
  <c r="BO619" i="1"/>
  <c r="BO615" i="1"/>
  <c r="BO617" i="1"/>
  <c r="BO616" i="1"/>
  <c r="BO624" i="1"/>
  <c r="BL614" i="1"/>
  <c r="BT614" i="1"/>
  <c r="BO622" i="1"/>
  <c r="BO623" i="1"/>
  <c r="AB737" i="1" l="1" a="1"/>
  <c r="AB737" i="1" s="1"/>
  <c r="AA737" i="1"/>
  <c r="H304" i="1" s="1"/>
  <c r="O11" i="1" s="1"/>
  <c r="P11" i="1" s="1"/>
  <c r="BE614" i="1"/>
  <c r="BD614" i="1"/>
  <c r="BE616" i="1" s="1"/>
  <c r="BE618" i="1" s="1"/>
  <c r="C33" i="1" s="1"/>
  <c r="BN614" i="1"/>
  <c r="BR614" i="1" s="1"/>
  <c r="BS616" i="1" s="1"/>
  <c r="BS618" i="1" s="1"/>
  <c r="D33" i="1" s="1"/>
  <c r="BO614" i="1"/>
  <c r="BS614" i="1" s="1"/>
  <c r="AV613" i="1"/>
  <c r="AU613" i="1"/>
  <c r="D59" i="1"/>
  <c r="A62" i="1" s="1"/>
  <c r="C59" i="1"/>
  <c r="A61" i="1" s="1"/>
  <c r="B59" i="1"/>
  <c r="A60" i="1" s="1"/>
  <c r="D62" i="1"/>
  <c r="C61" i="1"/>
  <c r="AA740" i="1" l="1"/>
  <c r="H307" i="1" s="1"/>
  <c r="O14" i="1" s="1"/>
  <c r="P14" i="1" s="1"/>
  <c r="AA746" i="1"/>
  <c r="H313" i="1" s="1"/>
  <c r="O20" i="1" s="1"/>
  <c r="P20" i="1" s="1"/>
  <c r="AA742" i="1"/>
  <c r="H309" i="1" s="1"/>
  <c r="O16" i="1" s="1"/>
  <c r="P16" i="1" s="1"/>
  <c r="AA738" i="1"/>
  <c r="H305" i="1" s="1"/>
  <c r="O12" i="1" s="1"/>
  <c r="P12" i="1" s="1"/>
  <c r="AA744" i="1"/>
  <c r="H311" i="1" s="1"/>
  <c r="O18" i="1" s="1"/>
  <c r="P18" i="1" s="1"/>
  <c r="AA745" i="1"/>
  <c r="H312" i="1" s="1"/>
  <c r="O19" i="1" s="1"/>
  <c r="P19" i="1" s="1"/>
  <c r="AA739" i="1"/>
  <c r="H306" i="1" s="1"/>
  <c r="O13" i="1" s="1"/>
  <c r="P13" i="1" s="1"/>
  <c r="AA743" i="1"/>
  <c r="H310" i="1" s="1"/>
  <c r="O17" i="1" s="1"/>
  <c r="P17" i="1" s="1"/>
  <c r="AA741" i="1"/>
  <c r="H308" i="1" s="1"/>
  <c r="O15" i="1" s="1"/>
  <c r="P15" i="1" s="1"/>
  <c r="AA747" i="1"/>
  <c r="H314" i="1" s="1"/>
  <c r="O21" i="1" s="1"/>
  <c r="P21" i="1" s="1"/>
  <c r="AA748" i="1"/>
  <c r="H315" i="1" s="1"/>
  <c r="O22" i="1" s="1"/>
  <c r="P22" i="1" s="1"/>
  <c r="C50" i="1"/>
  <c r="D51" i="1"/>
  <c r="D48" i="1"/>
  <c r="A51" i="1" s="1"/>
  <c r="BH22" i="1"/>
  <c r="BQ22" i="1" s="1"/>
  <c r="BG22" i="1"/>
  <c r="BM22" i="1" s="1"/>
  <c r="BH21" i="1"/>
  <c r="BQ21" i="1" s="1"/>
  <c r="BG21" i="1"/>
  <c r="BM21" i="1" s="1"/>
  <c r="BH20" i="1"/>
  <c r="BQ20" i="1" s="1"/>
  <c r="BG20" i="1"/>
  <c r="BM20" i="1" s="1"/>
  <c r="BH19" i="1"/>
  <c r="BQ19" i="1" s="1"/>
  <c r="BG19" i="1"/>
  <c r="BM19" i="1" s="1"/>
  <c r="BH18" i="1"/>
  <c r="BQ18" i="1" s="1"/>
  <c r="BG18" i="1"/>
  <c r="BM18" i="1" s="1"/>
  <c r="BH17" i="1"/>
  <c r="BQ17" i="1" s="1"/>
  <c r="BG17" i="1"/>
  <c r="BM17" i="1" s="1"/>
  <c r="BH16" i="1"/>
  <c r="BQ16" i="1" s="1"/>
  <c r="BG16" i="1"/>
  <c r="BM16" i="1" s="1"/>
  <c r="BH15" i="1"/>
  <c r="BQ15" i="1" s="1"/>
  <c r="BG15" i="1"/>
  <c r="BM15" i="1" s="1"/>
  <c r="BH14" i="1"/>
  <c r="BQ14" i="1" s="1"/>
  <c r="BG14" i="1"/>
  <c r="BM14" i="1" s="1"/>
  <c r="BH13" i="1"/>
  <c r="BQ13" i="1" s="1"/>
  <c r="BG13" i="1"/>
  <c r="BM13" i="1" s="1"/>
  <c r="BH12" i="1"/>
  <c r="BQ12" i="1" s="1"/>
  <c r="BG12" i="1"/>
  <c r="BM12" i="1" s="1"/>
  <c r="BH11" i="1"/>
  <c r="BQ11" i="1" s="1"/>
  <c r="BG11" i="1"/>
  <c r="BM11" i="1" s="1"/>
  <c r="BI10" i="1"/>
  <c r="BL10" i="1" s="1"/>
  <c r="BH10" i="1"/>
  <c r="BQ10" i="1" s="1"/>
  <c r="BG10" i="1"/>
  <c r="BM10" i="1" s="1"/>
  <c r="AQ11" i="1"/>
  <c r="BA11" i="1" s="1"/>
  <c r="AR11" i="1"/>
  <c r="AV11" i="1" s="1"/>
  <c r="AQ12" i="1"/>
  <c r="AR12" i="1"/>
  <c r="AV12" i="1" s="1"/>
  <c r="AQ13" i="1"/>
  <c r="BA13" i="1" s="1"/>
  <c r="AR13" i="1"/>
  <c r="AV13" i="1" s="1"/>
  <c r="AQ14" i="1"/>
  <c r="AR14" i="1"/>
  <c r="AV14" i="1" s="1"/>
  <c r="AQ15" i="1"/>
  <c r="BA15" i="1" s="1"/>
  <c r="AR15" i="1"/>
  <c r="AV15" i="1" s="1"/>
  <c r="AQ16" i="1"/>
  <c r="AR16" i="1"/>
  <c r="AV16" i="1" s="1"/>
  <c r="AQ17" i="1"/>
  <c r="BA17" i="1" s="1"/>
  <c r="AR17" i="1"/>
  <c r="AV17" i="1" s="1"/>
  <c r="AQ18" i="1"/>
  <c r="AR18" i="1"/>
  <c r="AV18" i="1" s="1"/>
  <c r="AQ19" i="1"/>
  <c r="BA19" i="1" s="1"/>
  <c r="AR19" i="1"/>
  <c r="AV19" i="1" s="1"/>
  <c r="AQ20" i="1"/>
  <c r="BA20" i="1" s="1"/>
  <c r="AR20" i="1"/>
  <c r="AV20" i="1" s="1"/>
  <c r="AQ21" i="1"/>
  <c r="AR21" i="1"/>
  <c r="AV21" i="1" s="1"/>
  <c r="AQ22" i="1"/>
  <c r="AR22" i="1"/>
  <c r="AV22" i="1" s="1"/>
  <c r="AS10" i="1"/>
  <c r="AW10" i="1" s="1"/>
  <c r="AR10" i="1"/>
  <c r="AV10" i="1" s="1"/>
  <c r="AQ10" i="1"/>
  <c r="BA10" i="1" s="1"/>
  <c r="AA12" i="1"/>
  <c r="AF12" i="1" s="1"/>
  <c r="AB12" i="1"/>
  <c r="AK12" i="1" s="1"/>
  <c r="AC12" i="1"/>
  <c r="AG12" i="1" s="1"/>
  <c r="AA13" i="1"/>
  <c r="AF13" i="1" s="1"/>
  <c r="AB13" i="1"/>
  <c r="AK13" i="1" s="1"/>
  <c r="AC13" i="1"/>
  <c r="AG13" i="1" s="1"/>
  <c r="AA14" i="1"/>
  <c r="AF14" i="1" s="1"/>
  <c r="AB14" i="1"/>
  <c r="AK14" i="1" s="1"/>
  <c r="AC14" i="1"/>
  <c r="AG14" i="1" s="1"/>
  <c r="AA15" i="1"/>
  <c r="AF15" i="1" s="1"/>
  <c r="AB15" i="1"/>
  <c r="AK15" i="1" s="1"/>
  <c r="AC15" i="1"/>
  <c r="AG15" i="1" s="1"/>
  <c r="AA16" i="1"/>
  <c r="AF16" i="1" s="1"/>
  <c r="AB16" i="1"/>
  <c r="AK16" i="1" s="1"/>
  <c r="AC16" i="1"/>
  <c r="AG16" i="1" s="1"/>
  <c r="AA17" i="1"/>
  <c r="AF17" i="1" s="1"/>
  <c r="AB17" i="1"/>
  <c r="AK17" i="1" s="1"/>
  <c r="AC17" i="1"/>
  <c r="AG17" i="1" s="1"/>
  <c r="AA18" i="1"/>
  <c r="AF18" i="1" s="1"/>
  <c r="AB18" i="1"/>
  <c r="AK18" i="1" s="1"/>
  <c r="AC18" i="1"/>
  <c r="AG18" i="1" s="1"/>
  <c r="AA19" i="1"/>
  <c r="AF19" i="1" s="1"/>
  <c r="AB19" i="1"/>
  <c r="AK19" i="1" s="1"/>
  <c r="AC19" i="1"/>
  <c r="AG19" i="1" s="1"/>
  <c r="AA20" i="1"/>
  <c r="AF20" i="1" s="1"/>
  <c r="AB20" i="1"/>
  <c r="AK20" i="1" s="1"/>
  <c r="AC20" i="1"/>
  <c r="AG20" i="1" s="1"/>
  <c r="AA21" i="1"/>
  <c r="AF21" i="1" s="1"/>
  <c r="AB21" i="1"/>
  <c r="AK21" i="1" s="1"/>
  <c r="AC21" i="1"/>
  <c r="AG21" i="1" s="1"/>
  <c r="AA22" i="1"/>
  <c r="AF22" i="1" s="1"/>
  <c r="AB22" i="1"/>
  <c r="AK22" i="1" s="1"/>
  <c r="AC22" i="1"/>
  <c r="AG22" i="1" s="1"/>
  <c r="AB11" i="1"/>
  <c r="AK11" i="1" s="1"/>
  <c r="AC11" i="1"/>
  <c r="AG11" i="1" s="1"/>
  <c r="AA11" i="1"/>
  <c r="AF11" i="1" s="1"/>
  <c r="AC10" i="1"/>
  <c r="AG10" i="1" s="1"/>
  <c r="AB10" i="1"/>
  <c r="AK10" i="1" s="1"/>
  <c r="AA10" i="1"/>
  <c r="AF10" i="1" s="1"/>
  <c r="D503" i="1"/>
  <c r="C503" i="1"/>
  <c r="D502" i="1"/>
  <c r="C502" i="1"/>
  <c r="AL11" i="1" l="1" a="1"/>
  <c r="AL11" i="1" s="1"/>
  <c r="BA21" i="1"/>
  <c r="BA14" i="1"/>
  <c r="AH11" i="1" a="1"/>
  <c r="AI20" i="1" s="1"/>
  <c r="BA12" i="1"/>
  <c r="BA16" i="1"/>
  <c r="BA22" i="1"/>
  <c r="BA18" i="1"/>
  <c r="G11" i="1"/>
  <c r="H11" i="1" s="1"/>
  <c r="G21" i="1"/>
  <c r="H21" i="1" s="1"/>
  <c r="G12" i="1"/>
  <c r="H12" i="1" s="1"/>
  <c r="G13" i="1"/>
  <c r="H13" i="1" s="1"/>
  <c r="G19" i="1"/>
  <c r="H19" i="1" s="1"/>
  <c r="G17" i="1"/>
  <c r="H17" i="1" s="1"/>
  <c r="G20" i="1"/>
  <c r="H20" i="1" s="1"/>
  <c r="G15" i="1"/>
  <c r="H15" i="1" s="1"/>
  <c r="G16" i="1"/>
  <c r="H16" i="1" s="1"/>
  <c r="G22" i="1"/>
  <c r="H22" i="1" s="1"/>
  <c r="G18" i="1"/>
  <c r="H18" i="1" s="1"/>
  <c r="G14" i="1"/>
  <c r="H14" i="1" s="1"/>
  <c r="AA1113" i="1" l="1"/>
  <c r="AA1139" i="1"/>
  <c r="AA1112" i="1"/>
  <c r="AA1138" i="1"/>
  <c r="AA1108" i="1"/>
  <c r="AA1134" i="1"/>
  <c r="AA1110" i="1"/>
  <c r="AA1136" i="1"/>
  <c r="AA1091" i="1"/>
  <c r="AA1144" i="1"/>
  <c r="AA1116" i="1"/>
  <c r="AA1142" i="1"/>
  <c r="AA1109" i="1"/>
  <c r="AA1135" i="1"/>
  <c r="AA1115" i="1"/>
  <c r="AA1141" i="1"/>
  <c r="AA1117" i="1"/>
  <c r="AA1143" i="1"/>
  <c r="AA1114" i="1"/>
  <c r="AA1140" i="1"/>
  <c r="AA1111" i="1"/>
  <c r="AA1137" i="1"/>
  <c r="AA1092" i="1"/>
  <c r="AA1118" i="1"/>
  <c r="AA1060" i="1"/>
  <c r="AA1086" i="1"/>
  <c r="AA1037" i="1"/>
  <c r="AA1090" i="1"/>
  <c r="AA1061" i="1"/>
  <c r="AA1087" i="1"/>
  <c r="AA1058" i="1"/>
  <c r="AA1084" i="1"/>
  <c r="AA1063" i="1"/>
  <c r="AA1089" i="1"/>
  <c r="AA1056" i="1"/>
  <c r="AA1082" i="1"/>
  <c r="AA1062" i="1"/>
  <c r="AA1088" i="1"/>
  <c r="AA1059" i="1"/>
  <c r="AA1085" i="1"/>
  <c r="AA1057" i="1"/>
  <c r="AA1083" i="1"/>
  <c r="AA1038" i="1"/>
  <c r="AA1064" i="1"/>
  <c r="AA1039" i="1"/>
  <c r="AA1065" i="1"/>
  <c r="AA1040" i="1"/>
  <c r="AA1066" i="1"/>
  <c r="AA1009" i="1"/>
  <c r="AA1035" i="1"/>
  <c r="AA1007" i="1"/>
  <c r="AA1033" i="1"/>
  <c r="AA1004" i="1"/>
  <c r="AA1030" i="1"/>
  <c r="AA983" i="1"/>
  <c r="AA1036" i="1"/>
  <c r="AA1006" i="1"/>
  <c r="AA1032" i="1"/>
  <c r="AA1005" i="1"/>
  <c r="AA1031" i="1"/>
  <c r="AA1008" i="1"/>
  <c r="AA1034" i="1"/>
  <c r="AA986" i="1"/>
  <c r="AA1012" i="1"/>
  <c r="AA985" i="1"/>
  <c r="AA1011" i="1"/>
  <c r="AA987" i="1"/>
  <c r="AA1013" i="1"/>
  <c r="AA984" i="1"/>
  <c r="AA1010" i="1"/>
  <c r="AA988" i="1"/>
  <c r="AA1014" i="1"/>
  <c r="AA955" i="1"/>
  <c r="AA981" i="1"/>
  <c r="AA952" i="1"/>
  <c r="AA978" i="1"/>
  <c r="AA954" i="1"/>
  <c r="AA980" i="1"/>
  <c r="AA953" i="1"/>
  <c r="AA979" i="1"/>
  <c r="AA929" i="1"/>
  <c r="AA982" i="1"/>
  <c r="AA934" i="1"/>
  <c r="AA960" i="1"/>
  <c r="AA933" i="1"/>
  <c r="AA959" i="1"/>
  <c r="AA930" i="1"/>
  <c r="AA956" i="1"/>
  <c r="AA935" i="1"/>
  <c r="AA961" i="1"/>
  <c r="AA932" i="1"/>
  <c r="AA958" i="1"/>
  <c r="AA931" i="1"/>
  <c r="AA957" i="1"/>
  <c r="AA936" i="1"/>
  <c r="AA962" i="1"/>
  <c r="AA900" i="1"/>
  <c r="AA926" i="1"/>
  <c r="AA875" i="1"/>
  <c r="AA928" i="1"/>
  <c r="AA901" i="1"/>
  <c r="AA927" i="1"/>
  <c r="AA878" i="1"/>
  <c r="AA904" i="1"/>
  <c r="AA882" i="1"/>
  <c r="AA908" i="1"/>
  <c r="AA881" i="1"/>
  <c r="AA907" i="1"/>
  <c r="AA876" i="1"/>
  <c r="AA902" i="1"/>
  <c r="AA883" i="1"/>
  <c r="AA909" i="1"/>
  <c r="AA880" i="1"/>
  <c r="AA906" i="1"/>
  <c r="AA877" i="1"/>
  <c r="AA903" i="1"/>
  <c r="AA879" i="1"/>
  <c r="AA905" i="1"/>
  <c r="AA884" i="1"/>
  <c r="AA910" i="1"/>
  <c r="AA822" i="1"/>
  <c r="AA874" i="1"/>
  <c r="AA857" i="1"/>
  <c r="AA831" i="1"/>
  <c r="AA853" i="1"/>
  <c r="AA827" i="1"/>
  <c r="Y788" i="1"/>
  <c r="AA854" i="1"/>
  <c r="AA828" i="1"/>
  <c r="Y785" i="1"/>
  <c r="AA825" i="1"/>
  <c r="AA851" i="1"/>
  <c r="AA833" i="1"/>
  <c r="AA859" i="1"/>
  <c r="AA826" i="1"/>
  <c r="AA852" i="1"/>
  <c r="AA830" i="1"/>
  <c r="AA856" i="1"/>
  <c r="Y784" i="1"/>
  <c r="AA850" i="1"/>
  <c r="AA824" i="1"/>
  <c r="Y783" i="1"/>
  <c r="AA849" i="1"/>
  <c r="AA823" i="1"/>
  <c r="AA858" i="1"/>
  <c r="AA832" i="1"/>
  <c r="AA829" i="1"/>
  <c r="AA855" i="1"/>
  <c r="Z691" i="1"/>
  <c r="Z694" i="1"/>
  <c r="Y791" i="1"/>
  <c r="Z689" i="1"/>
  <c r="Y782" i="1"/>
  <c r="Z693" i="1"/>
  <c r="Z688" i="1"/>
  <c r="Y790" i="1"/>
  <c r="Y793" i="1"/>
  <c r="Z697" i="1"/>
  <c r="Y792" i="1"/>
  <c r="Y787" i="1"/>
  <c r="Z696" i="1"/>
  <c r="Y786" i="1"/>
  <c r="Y789" i="1"/>
  <c r="Z692" i="1"/>
  <c r="Z690" i="1"/>
  <c r="Z698" i="1"/>
  <c r="BB11" i="1" a="1"/>
  <c r="BB11" i="1" s="1"/>
  <c r="Z695" i="1"/>
  <c r="Z687" i="1"/>
  <c r="C51" i="1"/>
  <c r="B51" i="1"/>
  <c r="AM19" i="1"/>
  <c r="AM12" i="1"/>
  <c r="AM14" i="1"/>
  <c r="AM16" i="1"/>
  <c r="AM18" i="1"/>
  <c r="AM20" i="1"/>
  <c r="AM22" i="1"/>
  <c r="AM17" i="1"/>
  <c r="AI21" i="1"/>
  <c r="AS12" i="1"/>
  <c r="AW12" i="1" s="1"/>
  <c r="BI12" i="1"/>
  <c r="BL12" i="1" s="1"/>
  <c r="BI22" i="1"/>
  <c r="BL22" i="1" s="1"/>
  <c r="AS22" i="1"/>
  <c r="AW22" i="1" s="1"/>
  <c r="AI16" i="1"/>
  <c r="BI18" i="1"/>
  <c r="BL18" i="1" s="1"/>
  <c r="AS18" i="1"/>
  <c r="AW18" i="1" s="1"/>
  <c r="AS16" i="1"/>
  <c r="AW16" i="1" s="1"/>
  <c r="BI16" i="1"/>
  <c r="BL16" i="1" s="1"/>
  <c r="BI14" i="1"/>
  <c r="BL14" i="1" s="1"/>
  <c r="AS14" i="1"/>
  <c r="AW14" i="1" s="1"/>
  <c r="AI13" i="1"/>
  <c r="AI14" i="1"/>
  <c r="BI11" i="1"/>
  <c r="BL11" i="1" s="1"/>
  <c r="AS11" i="1"/>
  <c r="AW11" i="1" s="1"/>
  <c r="AS21" i="1"/>
  <c r="AW21" i="1" s="1"/>
  <c r="BI21" i="1"/>
  <c r="BL21" i="1" s="1"/>
  <c r="BI19" i="1"/>
  <c r="BL19" i="1" s="1"/>
  <c r="AS19" i="1"/>
  <c r="AW19" i="1" s="1"/>
  <c r="AS17" i="1"/>
  <c r="AW17" i="1" s="1"/>
  <c r="BI17" i="1"/>
  <c r="BL17" i="1" s="1"/>
  <c r="BI15" i="1"/>
  <c r="BL15" i="1" s="1"/>
  <c r="AS15" i="1"/>
  <c r="AW15" i="1" s="1"/>
  <c r="AH11" i="1"/>
  <c r="AI11" i="1" s="1"/>
  <c r="AI22" i="1"/>
  <c r="AI19" i="1"/>
  <c r="AI12" i="1"/>
  <c r="AI15" i="1"/>
  <c r="AI18" i="1"/>
  <c r="AS20" i="1"/>
  <c r="AW20" i="1" s="1"/>
  <c r="BI20" i="1"/>
  <c r="BL20" i="1" s="1"/>
  <c r="AS13" i="1"/>
  <c r="AW13" i="1" s="1"/>
  <c r="BI13" i="1"/>
  <c r="BL13" i="1" s="1"/>
  <c r="AM11" i="1"/>
  <c r="AM15" i="1"/>
  <c r="AM21" i="1"/>
  <c r="AM13" i="1"/>
  <c r="AI17" i="1"/>
  <c r="B85" i="1"/>
  <c r="AC1134" i="1" l="1"/>
  <c r="AC1135" i="1" s="1"/>
  <c r="AC1136" i="1" s="1"/>
  <c r="AC1137" i="1" s="1"/>
  <c r="AC1138" i="1" s="1"/>
  <c r="AC1139" i="1" s="1"/>
  <c r="AC1140" i="1" s="1"/>
  <c r="AC1141" i="1" s="1"/>
  <c r="AC1142" i="1" s="1"/>
  <c r="AC1143" i="1" s="1"/>
  <c r="AC1144" i="1" s="1"/>
  <c r="AB1134" i="1" a="1"/>
  <c r="AF1139" i="1" s="1"/>
  <c r="AC1056" i="1"/>
  <c r="AC1057" i="1" s="1"/>
  <c r="AC1108" i="1"/>
  <c r="AB1108" i="1" a="1"/>
  <c r="AB1082" i="1" a="1"/>
  <c r="AF1090" i="1" s="1"/>
  <c r="AC1082" i="1"/>
  <c r="AC1083" i="1" s="1"/>
  <c r="AC1084" i="1" s="1"/>
  <c r="AC1085" i="1" s="1"/>
  <c r="AC1086" i="1" s="1"/>
  <c r="AC1087" i="1" s="1"/>
  <c r="AC1088" i="1" s="1"/>
  <c r="AC1089" i="1" s="1"/>
  <c r="AC1090" i="1" s="1"/>
  <c r="AB1056" i="1" a="1"/>
  <c r="AB1030" i="1" a="1"/>
  <c r="AF1034" i="1" s="1"/>
  <c r="AC1030" i="1"/>
  <c r="AC1031" i="1" s="1"/>
  <c r="AC1032" i="1" s="1"/>
  <c r="AG1032" i="1" s="1"/>
  <c r="AB1004" i="1" a="1"/>
  <c r="AB952" i="1" a="1"/>
  <c r="AF953" i="1" s="1"/>
  <c r="AC1004" i="1"/>
  <c r="AB978" i="1" a="1"/>
  <c r="AB900" i="1" a="1"/>
  <c r="AC978" i="1"/>
  <c r="AC979" i="1" s="1"/>
  <c r="AC980" i="1" s="1"/>
  <c r="AG980" i="1" s="1"/>
  <c r="AC952" i="1"/>
  <c r="AC874" i="1"/>
  <c r="AC875" i="1" s="1"/>
  <c r="AG875" i="1" s="1"/>
  <c r="AC926" i="1"/>
  <c r="AC927" i="1" s="1"/>
  <c r="AC928" i="1" s="1"/>
  <c r="AC929" i="1" s="1"/>
  <c r="AB926" i="1" a="1"/>
  <c r="AC900" i="1"/>
  <c r="AC902" i="1" s="1"/>
  <c r="AC903" i="1" s="1"/>
  <c r="AC904" i="1" s="1"/>
  <c r="AC905" i="1" s="1"/>
  <c r="AC906" i="1" s="1"/>
  <c r="AC907" i="1" s="1"/>
  <c r="AC908" i="1" s="1"/>
  <c r="AC909" i="1" s="1"/>
  <c r="AC910" i="1" s="1"/>
  <c r="AB822" i="1" a="1"/>
  <c r="AB874" i="1" a="1"/>
  <c r="AC849" i="1"/>
  <c r="AG849" i="1" s="1"/>
  <c r="AB849" i="1" a="1"/>
  <c r="AF850" i="1" s="1"/>
  <c r="AC822" i="1"/>
  <c r="AC823" i="1" s="1"/>
  <c r="AC824" i="1" s="1"/>
  <c r="AC825" i="1" s="1"/>
  <c r="AC826" i="1" s="1"/>
  <c r="D50" i="1"/>
  <c r="D49" i="1"/>
  <c r="BR11" i="1" a="1"/>
  <c r="BR11" i="1" s="1"/>
  <c r="BN11" i="1" a="1"/>
  <c r="BN11" i="1" s="1"/>
  <c r="AO11" i="1"/>
  <c r="C62" i="1" s="1"/>
  <c r="D61" i="1" s="1"/>
  <c r="AX11" i="1" a="1"/>
  <c r="A191" i="1"/>
  <c r="F199" i="1"/>
  <c r="F198" i="1"/>
  <c r="F181" i="1"/>
  <c r="F180" i="1"/>
  <c r="F159" i="1"/>
  <c r="F158" i="1"/>
  <c r="AG1138" i="1" l="1"/>
  <c r="AG1142" i="1"/>
  <c r="AG1134" i="1"/>
  <c r="AG1088" i="1"/>
  <c r="AG1086" i="1"/>
  <c r="AG1084" i="1"/>
  <c r="AG1144" i="1"/>
  <c r="AG1085" i="1"/>
  <c r="AG1140" i="1"/>
  <c r="AB1134" i="1"/>
  <c r="AE1136" i="1"/>
  <c r="AE1135" i="1"/>
  <c r="AE1137" i="1"/>
  <c r="AE1138" i="1"/>
  <c r="AE1139" i="1"/>
  <c r="AE1140" i="1"/>
  <c r="AE1141" i="1"/>
  <c r="AE1142" i="1"/>
  <c r="AE1143" i="1"/>
  <c r="AE1144" i="1"/>
  <c r="AF1137" i="1"/>
  <c r="AF1136" i="1"/>
  <c r="AF1135" i="1"/>
  <c r="AF1143" i="1"/>
  <c r="AF1141" i="1"/>
  <c r="AF1144" i="1"/>
  <c r="AF1140" i="1"/>
  <c r="AF1138" i="1"/>
  <c r="AF1142" i="1"/>
  <c r="AG1141" i="1"/>
  <c r="AF954" i="1"/>
  <c r="AG1143" i="1"/>
  <c r="AG1135" i="1"/>
  <c r="AG1137" i="1"/>
  <c r="AG1083" i="1"/>
  <c r="AG1139" i="1"/>
  <c r="AG1136" i="1"/>
  <c r="AB1108" i="1"/>
  <c r="AF1112" i="1"/>
  <c r="AF1116" i="1"/>
  <c r="AF1111" i="1"/>
  <c r="AF1114" i="1"/>
  <c r="AF1109" i="1"/>
  <c r="AF1110" i="1"/>
  <c r="AF1115" i="1"/>
  <c r="AF1117" i="1"/>
  <c r="AF1113" i="1"/>
  <c r="AF1118" i="1"/>
  <c r="AB952" i="1"/>
  <c r="AE952" i="1" s="1"/>
  <c r="AG1056" i="1"/>
  <c r="AC1109" i="1"/>
  <c r="AG1108" i="1"/>
  <c r="AF1088" i="1"/>
  <c r="AF1085" i="1"/>
  <c r="AG1031" i="1"/>
  <c r="AG1090" i="1"/>
  <c r="AC1091" i="1"/>
  <c r="AB1082" i="1"/>
  <c r="AE1083" i="1"/>
  <c r="AE1084" i="1"/>
  <c r="AE1085" i="1"/>
  <c r="AE1086" i="1"/>
  <c r="AE1087" i="1"/>
  <c r="AE1088" i="1"/>
  <c r="AE1089" i="1"/>
  <c r="AE1090" i="1"/>
  <c r="AF1092" i="1"/>
  <c r="AF1091" i="1"/>
  <c r="AF1087" i="1"/>
  <c r="AF1084" i="1"/>
  <c r="AF1086" i="1"/>
  <c r="AF1083" i="1"/>
  <c r="AG874" i="1"/>
  <c r="AG1089" i="1"/>
  <c r="AF1089" i="1"/>
  <c r="AG1082" i="1"/>
  <c r="AG1087" i="1"/>
  <c r="AB1056" i="1"/>
  <c r="AE1057" i="1"/>
  <c r="AF1060" i="1"/>
  <c r="AF1058" i="1"/>
  <c r="AF1061" i="1"/>
  <c r="AF1062" i="1"/>
  <c r="AF1059" i="1"/>
  <c r="AF1063" i="1"/>
  <c r="AF1057" i="1"/>
  <c r="AF1064" i="1"/>
  <c r="AF1065" i="1"/>
  <c r="AF1066" i="1"/>
  <c r="AC1058" i="1"/>
  <c r="AG1057" i="1"/>
  <c r="AB1030" i="1"/>
  <c r="AE1031" i="1"/>
  <c r="AF1040" i="1"/>
  <c r="AF1038" i="1"/>
  <c r="AF1037" i="1"/>
  <c r="AF1039" i="1"/>
  <c r="AF1032" i="1"/>
  <c r="AF1033" i="1"/>
  <c r="AF1036" i="1"/>
  <c r="AF1035" i="1"/>
  <c r="AF1031" i="1"/>
  <c r="AG1030" i="1"/>
  <c r="AF959" i="1"/>
  <c r="AE1032" i="1"/>
  <c r="AC1033" i="1"/>
  <c r="AE1033" i="1" s="1"/>
  <c r="AB1004" i="1"/>
  <c r="AF1009" i="1"/>
  <c r="AF1006" i="1"/>
  <c r="AF1005" i="1"/>
  <c r="AF1007" i="1"/>
  <c r="AF1008" i="1"/>
  <c r="AF1010" i="1"/>
  <c r="AF1011" i="1"/>
  <c r="AF1012" i="1"/>
  <c r="AF1014" i="1"/>
  <c r="AF1013" i="1"/>
  <c r="AF957" i="1"/>
  <c r="AF961" i="1"/>
  <c r="AG904" i="1"/>
  <c r="AF962" i="1"/>
  <c r="AG902" i="1"/>
  <c r="AG903" i="1"/>
  <c r="AF960" i="1"/>
  <c r="AF956" i="1"/>
  <c r="AC1005" i="1"/>
  <c r="AG1004" i="1"/>
  <c r="AF903" i="1"/>
  <c r="AF958" i="1"/>
  <c r="AF955" i="1"/>
  <c r="AG906" i="1"/>
  <c r="AB978" i="1"/>
  <c r="AE979" i="1"/>
  <c r="AF985" i="1"/>
  <c r="AF986" i="1"/>
  <c r="AF987" i="1"/>
  <c r="AF988" i="1"/>
  <c r="AF983" i="1"/>
  <c r="AF984" i="1"/>
  <c r="AF982" i="1"/>
  <c r="AF981" i="1"/>
  <c r="AF979" i="1"/>
  <c r="AF902" i="1"/>
  <c r="AF980" i="1"/>
  <c r="AF907" i="1"/>
  <c r="AF906" i="1"/>
  <c r="AF901" i="1"/>
  <c r="AE980" i="1"/>
  <c r="AC981" i="1"/>
  <c r="AE981" i="1" s="1"/>
  <c r="AF909" i="1"/>
  <c r="AF908" i="1"/>
  <c r="AC876" i="1"/>
  <c r="AC877" i="1" s="1"/>
  <c r="AC878" i="1" s="1"/>
  <c r="AE878" i="1" s="1"/>
  <c r="AG979" i="1"/>
  <c r="AE908" i="1"/>
  <c r="AB900" i="1"/>
  <c r="AE900" i="1" s="1"/>
  <c r="AG978" i="1"/>
  <c r="AF904" i="1"/>
  <c r="AF905" i="1"/>
  <c r="AG910" i="1"/>
  <c r="AG926" i="1"/>
  <c r="AE907" i="1"/>
  <c r="AF910" i="1"/>
  <c r="AG928" i="1"/>
  <c r="AC827" i="1"/>
  <c r="AC828" i="1" s="1"/>
  <c r="AC829" i="1" s="1"/>
  <c r="AC830" i="1" s="1"/>
  <c r="AC831" i="1" s="1"/>
  <c r="AC832" i="1" s="1"/>
  <c r="AC833" i="1" s="1"/>
  <c r="AE833" i="1" s="1"/>
  <c r="AG826" i="1"/>
  <c r="AC953" i="1"/>
  <c r="AG952" i="1"/>
  <c r="AC930" i="1"/>
  <c r="AE930" i="1" s="1"/>
  <c r="AG929" i="1"/>
  <c r="AG822" i="1"/>
  <c r="AE910" i="1"/>
  <c r="AG909" i="1"/>
  <c r="AE909" i="1"/>
  <c r="AE927" i="1"/>
  <c r="AB926" i="1"/>
  <c r="AE928" i="1"/>
  <c r="AE929" i="1"/>
  <c r="AF933" i="1"/>
  <c r="AF930" i="1"/>
  <c r="AF935" i="1"/>
  <c r="AF931" i="1"/>
  <c r="AF932" i="1"/>
  <c r="AF936" i="1"/>
  <c r="AF929" i="1"/>
  <c r="AF934" i="1"/>
  <c r="AF927" i="1"/>
  <c r="AF928" i="1"/>
  <c r="AE906" i="1"/>
  <c r="AE905" i="1"/>
  <c r="AG905" i="1"/>
  <c r="AE904" i="1"/>
  <c r="AG823" i="1"/>
  <c r="AE903" i="1"/>
  <c r="AG927" i="1"/>
  <c r="AG908" i="1"/>
  <c r="AE902" i="1"/>
  <c r="AG907" i="1"/>
  <c r="AF830" i="1"/>
  <c r="AF1074" i="1" s="1"/>
  <c r="AF831" i="1"/>
  <c r="AF1100" i="1" s="1"/>
  <c r="AE824" i="1"/>
  <c r="AF832" i="1"/>
  <c r="AF1126" i="1" s="1"/>
  <c r="AF833" i="1"/>
  <c r="AF1152" i="1" s="1"/>
  <c r="AB822" i="1"/>
  <c r="AF822" i="1" s="1"/>
  <c r="AF867" i="1" s="1"/>
  <c r="AF826" i="1"/>
  <c r="AF970" i="1" s="1"/>
  <c r="AG825" i="1"/>
  <c r="AF823" i="1"/>
  <c r="AF892" i="1" s="1"/>
  <c r="AF829" i="1"/>
  <c r="AF1048" i="1" s="1"/>
  <c r="AF827" i="1"/>
  <c r="AF996" i="1" s="1"/>
  <c r="AF824" i="1"/>
  <c r="AF918" i="1" s="1"/>
  <c r="AE826" i="1"/>
  <c r="AF828" i="1"/>
  <c r="AF1022" i="1" s="1"/>
  <c r="AF825" i="1"/>
  <c r="AF944" i="1" s="1"/>
  <c r="AC901" i="1"/>
  <c r="AG900" i="1"/>
  <c r="AB874" i="1"/>
  <c r="AE875" i="1"/>
  <c r="AF882" i="1"/>
  <c r="AF883" i="1"/>
  <c r="AF878" i="1"/>
  <c r="AF877" i="1"/>
  <c r="AF875" i="1"/>
  <c r="AF876" i="1"/>
  <c r="AF881" i="1"/>
  <c r="AF879" i="1"/>
  <c r="AF880" i="1"/>
  <c r="AF884" i="1"/>
  <c r="AF857" i="1"/>
  <c r="AF859" i="1"/>
  <c r="AF858" i="1"/>
  <c r="AB849" i="1"/>
  <c r="AF849" i="1" s="1"/>
  <c r="AF854" i="1"/>
  <c r="AG824" i="1"/>
  <c r="AF851" i="1"/>
  <c r="AF855" i="1"/>
  <c r="AF853" i="1"/>
  <c r="AE825" i="1"/>
  <c r="AE823" i="1"/>
  <c r="AF852" i="1"/>
  <c r="AF856" i="1"/>
  <c r="AC850" i="1"/>
  <c r="AG850" i="1" s="1"/>
  <c r="BC12" i="1"/>
  <c r="BC14" i="1"/>
  <c r="BC22" i="1"/>
  <c r="BC18" i="1"/>
  <c r="BC15" i="1"/>
  <c r="BC11" i="1"/>
  <c r="BC19" i="1"/>
  <c r="BC13" i="1"/>
  <c r="BC21" i="1"/>
  <c r="BC20" i="1"/>
  <c r="BC17" i="1"/>
  <c r="BC16" i="1"/>
  <c r="BS19" i="1"/>
  <c r="BS17" i="1"/>
  <c r="BO18" i="1"/>
  <c r="BO13" i="1"/>
  <c r="BO21" i="1"/>
  <c r="BO14" i="1"/>
  <c r="BO11" i="1"/>
  <c r="BO15" i="1"/>
  <c r="BO19" i="1"/>
  <c r="BO20" i="1"/>
  <c r="BO22" i="1"/>
  <c r="BO12" i="1"/>
  <c r="BO16" i="1"/>
  <c r="BO17" i="1"/>
  <c r="AY12" i="1"/>
  <c r="AX11" i="1"/>
  <c r="AY11" i="1" s="1"/>
  <c r="AY15" i="1"/>
  <c r="AY13" i="1"/>
  <c r="AY14" i="1"/>
  <c r="AY18" i="1"/>
  <c r="BS22" i="1"/>
  <c r="BS16" i="1"/>
  <c r="BS21" i="1"/>
  <c r="AY22" i="1"/>
  <c r="BS18" i="1"/>
  <c r="AY21" i="1"/>
  <c r="BS14" i="1"/>
  <c r="BS15" i="1"/>
  <c r="AY20" i="1"/>
  <c r="BS20" i="1"/>
  <c r="AY19" i="1"/>
  <c r="AY17" i="1"/>
  <c r="BS11" i="1"/>
  <c r="AY16" i="1"/>
  <c r="BS12" i="1"/>
  <c r="BS13" i="1"/>
  <c r="B50" i="1"/>
  <c r="AG877" i="1" l="1"/>
  <c r="AC879" i="1"/>
  <c r="AE879" i="1" s="1"/>
  <c r="AE822" i="1"/>
  <c r="AG878" i="1"/>
  <c r="AE1134" i="1"/>
  <c r="AF1134" i="1"/>
  <c r="AC1110" i="1"/>
  <c r="AG1109" i="1"/>
  <c r="AC1092" i="1"/>
  <c r="AG1091" i="1"/>
  <c r="AF952" i="1"/>
  <c r="AF964" i="1" s="1"/>
  <c r="AE1091" i="1"/>
  <c r="AE1109" i="1"/>
  <c r="AE1108" i="1"/>
  <c r="AF1108" i="1"/>
  <c r="AG828" i="1"/>
  <c r="AG827" i="1"/>
  <c r="AE830" i="1"/>
  <c r="AE1082" i="1"/>
  <c r="AF1082" i="1"/>
  <c r="AE1058" i="1"/>
  <c r="AC1059" i="1"/>
  <c r="AG1058" i="1"/>
  <c r="AE827" i="1"/>
  <c r="AE1056" i="1"/>
  <c r="AF1056" i="1"/>
  <c r="AF1068" i="1" s="1"/>
  <c r="AC1034" i="1"/>
  <c r="AG1033" i="1"/>
  <c r="AE877" i="1"/>
  <c r="AE1030" i="1"/>
  <c r="AF1030" i="1"/>
  <c r="AC1006" i="1"/>
  <c r="AG1005" i="1"/>
  <c r="AF900" i="1"/>
  <c r="AF912" i="1" s="1"/>
  <c r="AE1005" i="1"/>
  <c r="AE831" i="1"/>
  <c r="AE1004" i="1"/>
  <c r="AF1004" i="1"/>
  <c r="AE829" i="1"/>
  <c r="AG829" i="1"/>
  <c r="AE876" i="1"/>
  <c r="AE832" i="1"/>
  <c r="AG832" i="1"/>
  <c r="AC982" i="1"/>
  <c r="AC983" i="1" s="1"/>
  <c r="AG981" i="1"/>
  <c r="AE828" i="1"/>
  <c r="AE849" i="1"/>
  <c r="AG876" i="1"/>
  <c r="AG831" i="1"/>
  <c r="AG830" i="1"/>
  <c r="AE978" i="1"/>
  <c r="AF978" i="1"/>
  <c r="AC931" i="1"/>
  <c r="AG930" i="1"/>
  <c r="AC954" i="1"/>
  <c r="AG953" i="1"/>
  <c r="AE953" i="1"/>
  <c r="AG833" i="1"/>
  <c r="AE926" i="1"/>
  <c r="AF926" i="1"/>
  <c r="AG901" i="1"/>
  <c r="AG912" i="1" s="1"/>
  <c r="AE901" i="1"/>
  <c r="AE912" i="1" s="1"/>
  <c r="AF861" i="1"/>
  <c r="AF865" i="1" s="1"/>
  <c r="AE850" i="1"/>
  <c r="AE874" i="1"/>
  <c r="AF874" i="1"/>
  <c r="AC851" i="1"/>
  <c r="AF841" i="1"/>
  <c r="AF835" i="1"/>
  <c r="C49" i="1"/>
  <c r="BU11" i="1"/>
  <c r="B61" i="1" s="1"/>
  <c r="C60" i="1" s="1"/>
  <c r="BE11" i="1"/>
  <c r="B62" i="1" s="1"/>
  <c r="D60" i="1" s="1"/>
  <c r="D488" i="1"/>
  <c r="C488" i="1"/>
  <c r="B521" i="1"/>
  <c r="B520" i="1"/>
  <c r="D511" i="1"/>
  <c r="C511" i="1"/>
  <c r="C248" i="1"/>
  <c r="C249" i="1"/>
  <c r="C250" i="1"/>
  <c r="C251" i="1"/>
  <c r="C252" i="1"/>
  <c r="C253" i="1"/>
  <c r="C254" i="1"/>
  <c r="C255" i="1"/>
  <c r="C256" i="1"/>
  <c r="C257" i="1"/>
  <c r="C258" i="1"/>
  <c r="C247" i="1"/>
  <c r="B248" i="1"/>
  <c r="B249" i="1"/>
  <c r="B250" i="1"/>
  <c r="B251" i="1"/>
  <c r="B252" i="1"/>
  <c r="B253" i="1"/>
  <c r="B254" i="1"/>
  <c r="B255" i="1"/>
  <c r="B256" i="1"/>
  <c r="B257" i="1"/>
  <c r="B258" i="1"/>
  <c r="B247" i="1"/>
  <c r="B230" i="1"/>
  <c r="B231" i="1"/>
  <c r="B232" i="1"/>
  <c r="B233" i="1"/>
  <c r="B234" i="1"/>
  <c r="B235" i="1"/>
  <c r="B236" i="1"/>
  <c r="B237" i="1"/>
  <c r="B238" i="1"/>
  <c r="B239" i="1"/>
  <c r="B240" i="1"/>
  <c r="B229" i="1"/>
  <c r="C212" i="1"/>
  <c r="C213" i="1"/>
  <c r="C214" i="1"/>
  <c r="C215" i="1"/>
  <c r="C216" i="1"/>
  <c r="C217" i="1"/>
  <c r="C218" i="1"/>
  <c r="C219" i="1"/>
  <c r="C220" i="1"/>
  <c r="C221" i="1"/>
  <c r="C222" i="1"/>
  <c r="C211" i="1"/>
  <c r="A173" i="1"/>
  <c r="A109" i="1"/>
  <c r="A108" i="1"/>
  <c r="B100" i="1"/>
  <c r="B99" i="1"/>
  <c r="C48" i="1"/>
  <c r="A50" i="1" s="1"/>
  <c r="B48" i="1"/>
  <c r="A49" i="1" s="1"/>
  <c r="A40" i="1"/>
  <c r="A39" i="1"/>
  <c r="AC880" i="1" l="1"/>
  <c r="AG880" i="1" s="1"/>
  <c r="AG879" i="1"/>
  <c r="AF1146" i="1"/>
  <c r="AF1120" i="1"/>
  <c r="AG1092" i="1"/>
  <c r="AE1092" i="1"/>
  <c r="AC1111" i="1"/>
  <c r="AG1110" i="1"/>
  <c r="AE1110" i="1"/>
  <c r="AF1094" i="1"/>
  <c r="AF1072" i="1"/>
  <c r="AF1076" i="1" s="1"/>
  <c r="B353" i="1" s="1"/>
  <c r="AF1070" i="1"/>
  <c r="AC1060" i="1"/>
  <c r="AG1059" i="1"/>
  <c r="AE1059" i="1"/>
  <c r="AF1042" i="1"/>
  <c r="AC1035" i="1"/>
  <c r="AG1034" i="1"/>
  <c r="AE1034" i="1"/>
  <c r="AF1016" i="1"/>
  <c r="AC984" i="1"/>
  <c r="AG983" i="1"/>
  <c r="AE983" i="1"/>
  <c r="AE1006" i="1"/>
  <c r="AC1007" i="1"/>
  <c r="AG1006" i="1"/>
  <c r="AG982" i="1"/>
  <c r="AE982" i="1"/>
  <c r="AF990" i="1"/>
  <c r="AC955" i="1"/>
  <c r="AC956" i="1" s="1"/>
  <c r="AG954" i="1"/>
  <c r="AE954" i="1"/>
  <c r="AC932" i="1"/>
  <c r="AG931" i="1"/>
  <c r="AE931" i="1"/>
  <c r="AF968" i="1"/>
  <c r="AF972" i="1" s="1"/>
  <c r="B349" i="1" s="1"/>
  <c r="AF966" i="1"/>
  <c r="AF938" i="1"/>
  <c r="AF863" i="1"/>
  <c r="AF916" i="1"/>
  <c r="AF920" i="1" s="1"/>
  <c r="B347" i="1" s="1"/>
  <c r="AF914" i="1"/>
  <c r="AG851" i="1"/>
  <c r="AE851" i="1"/>
  <c r="AF886" i="1"/>
  <c r="AF839" i="1"/>
  <c r="AF843" i="1" s="1"/>
  <c r="AF837" i="1"/>
  <c r="AC852" i="1"/>
  <c r="AF869" i="1"/>
  <c r="B345" i="1" s="1"/>
  <c r="D252" i="1"/>
  <c r="D254" i="1"/>
  <c r="D250" i="1"/>
  <c r="D253" i="1"/>
  <c r="D258" i="1"/>
  <c r="D256" i="1"/>
  <c r="D251" i="1"/>
  <c r="D257" i="1"/>
  <c r="D249" i="1"/>
  <c r="D247" i="1"/>
  <c r="D255" i="1"/>
  <c r="D248" i="1"/>
  <c r="A305" i="1"/>
  <c r="A306" i="1"/>
  <c r="A307" i="1"/>
  <c r="A308" i="1"/>
  <c r="A309" i="1"/>
  <c r="A310" i="1"/>
  <c r="A311" i="1"/>
  <c r="A312" i="1"/>
  <c r="A313" i="1"/>
  <c r="A314" i="1"/>
  <c r="A315" i="1"/>
  <c r="A304" i="1"/>
  <c r="A302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46" i="1"/>
  <c r="A210" i="1"/>
  <c r="A228" i="1" s="1"/>
  <c r="AC881" i="1" l="1"/>
  <c r="AC882" i="1" s="1"/>
  <c r="AE880" i="1"/>
  <c r="AF1150" i="1"/>
  <c r="AF1154" i="1" s="1"/>
  <c r="B356" i="1" s="1"/>
  <c r="AF1148" i="1"/>
  <c r="AC1112" i="1"/>
  <c r="AG1111" i="1"/>
  <c r="AE1111" i="1"/>
  <c r="AF1122" i="1"/>
  <c r="AF1124" i="1"/>
  <c r="AF1128" i="1" s="1"/>
  <c r="B355" i="1" s="1"/>
  <c r="AF1098" i="1"/>
  <c r="AF1102" i="1" s="1"/>
  <c r="B354" i="1" s="1"/>
  <c r="AF1096" i="1"/>
  <c r="AC1061" i="1"/>
  <c r="AG1060" i="1"/>
  <c r="AE1060" i="1"/>
  <c r="AC1036" i="1"/>
  <c r="AC1037" i="1" s="1"/>
  <c r="AG1035" i="1"/>
  <c r="AE1035" i="1"/>
  <c r="AF1046" i="1"/>
  <c r="AF1050" i="1" s="1"/>
  <c r="B352" i="1" s="1"/>
  <c r="AF1044" i="1"/>
  <c r="AC1008" i="1"/>
  <c r="AG1007" i="1"/>
  <c r="AE1007" i="1"/>
  <c r="AC985" i="1"/>
  <c r="AG984" i="1"/>
  <c r="AE984" i="1"/>
  <c r="AF1020" i="1"/>
  <c r="AF1018" i="1"/>
  <c r="AF1024" i="1"/>
  <c r="B351" i="1" s="1"/>
  <c r="AF992" i="1"/>
  <c r="AF994" i="1"/>
  <c r="AF998" i="1" s="1"/>
  <c r="B350" i="1" s="1"/>
  <c r="AC957" i="1"/>
  <c r="AE956" i="1"/>
  <c r="AG956" i="1"/>
  <c r="AG955" i="1"/>
  <c r="AE955" i="1"/>
  <c r="AC933" i="1"/>
  <c r="AG932" i="1"/>
  <c r="AE932" i="1"/>
  <c r="AF942" i="1"/>
  <c r="AF946" i="1" s="1"/>
  <c r="B348" i="1" s="1"/>
  <c r="AF940" i="1"/>
  <c r="AE881" i="1"/>
  <c r="AF890" i="1"/>
  <c r="AF888" i="1"/>
  <c r="AG852" i="1"/>
  <c r="AE852" i="1"/>
  <c r="AC853" i="1"/>
  <c r="A212" i="1"/>
  <c r="A230" i="1" s="1"/>
  <c r="A213" i="1"/>
  <c r="A231" i="1" s="1"/>
  <c r="A214" i="1"/>
  <c r="A232" i="1" s="1"/>
  <c r="A215" i="1"/>
  <c r="A233" i="1" s="1"/>
  <c r="A216" i="1"/>
  <c r="A234" i="1" s="1"/>
  <c r="A217" i="1"/>
  <c r="A235" i="1" s="1"/>
  <c r="A218" i="1"/>
  <c r="A236" i="1" s="1"/>
  <c r="A219" i="1"/>
  <c r="A237" i="1" s="1"/>
  <c r="A220" i="1"/>
  <c r="A238" i="1" s="1"/>
  <c r="A221" i="1"/>
  <c r="A239" i="1" s="1"/>
  <c r="A222" i="1"/>
  <c r="A240" i="1" s="1"/>
  <c r="A211" i="1"/>
  <c r="A229" i="1" s="1"/>
  <c r="AG881" i="1" l="1"/>
  <c r="AC1113" i="1"/>
  <c r="AG1112" i="1"/>
  <c r="AE1112" i="1"/>
  <c r="AC1038" i="1"/>
  <c r="AG1037" i="1"/>
  <c r="AE1037" i="1"/>
  <c r="AC1062" i="1"/>
  <c r="AG1061" i="1"/>
  <c r="AE1061" i="1"/>
  <c r="AG1036" i="1"/>
  <c r="AE1036" i="1"/>
  <c r="AC986" i="1"/>
  <c r="AG985" i="1"/>
  <c r="AE985" i="1"/>
  <c r="AC1009" i="1"/>
  <c r="AC1010" i="1" s="1"/>
  <c r="AG1008" i="1"/>
  <c r="AE1008" i="1"/>
  <c r="AC958" i="1"/>
  <c r="AE957" i="1"/>
  <c r="AG957" i="1"/>
  <c r="AC934" i="1"/>
  <c r="AG933" i="1"/>
  <c r="AE933" i="1"/>
  <c r="AC883" i="1"/>
  <c r="AG882" i="1"/>
  <c r="AE882" i="1"/>
  <c r="AG853" i="1"/>
  <c r="AE853" i="1"/>
  <c r="AF894" i="1"/>
  <c r="B346" i="1" s="1"/>
  <c r="AC854" i="1"/>
  <c r="C536" i="1"/>
  <c r="C535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488" i="1"/>
  <c r="C490" i="1"/>
  <c r="D490" i="1"/>
  <c r="C491" i="1"/>
  <c r="D491" i="1"/>
  <c r="C492" i="1"/>
  <c r="D492" i="1"/>
  <c r="C493" i="1"/>
  <c r="D493" i="1"/>
  <c r="C494" i="1"/>
  <c r="D494" i="1"/>
  <c r="C495" i="1"/>
  <c r="D495" i="1"/>
  <c r="C496" i="1"/>
  <c r="D496" i="1"/>
  <c r="C497" i="1"/>
  <c r="D497" i="1"/>
  <c r="C498" i="1"/>
  <c r="D498" i="1"/>
  <c r="C499" i="1"/>
  <c r="D499" i="1"/>
  <c r="C500" i="1"/>
  <c r="D500" i="1"/>
  <c r="D29" i="1"/>
  <c r="D30" i="1"/>
  <c r="D25" i="1"/>
  <c r="D26" i="1"/>
  <c r="C30" i="1"/>
  <c r="C29" i="1"/>
  <c r="C26" i="1"/>
  <c r="C25" i="1"/>
  <c r="AE1113" i="1" l="1"/>
  <c r="AC1114" i="1"/>
  <c r="AG1113" i="1"/>
  <c r="AC1063" i="1"/>
  <c r="AC1064" i="1" s="1"/>
  <c r="AG1062" i="1"/>
  <c r="AE1062" i="1"/>
  <c r="AC1039" i="1"/>
  <c r="AG1038" i="1"/>
  <c r="AE1038" i="1"/>
  <c r="AC1011" i="1"/>
  <c r="AG1010" i="1"/>
  <c r="AE1010" i="1"/>
  <c r="AG1009" i="1"/>
  <c r="AE1009" i="1"/>
  <c r="AC987" i="1"/>
  <c r="AG986" i="1"/>
  <c r="AE986" i="1"/>
  <c r="AC959" i="1"/>
  <c r="AG958" i="1"/>
  <c r="AE958" i="1"/>
  <c r="AC935" i="1"/>
  <c r="AG934" i="1"/>
  <c r="AE934" i="1"/>
  <c r="AC884" i="1"/>
  <c r="AG883" i="1"/>
  <c r="AE883" i="1"/>
  <c r="AG854" i="1"/>
  <c r="AE854" i="1"/>
  <c r="AC855" i="1"/>
  <c r="V614" i="1"/>
  <c r="W614" i="1"/>
  <c r="V615" i="1"/>
  <c r="W615" i="1"/>
  <c r="V616" i="1"/>
  <c r="W616" i="1"/>
  <c r="V617" i="1"/>
  <c r="W617" i="1"/>
  <c r="V618" i="1"/>
  <c r="W618" i="1"/>
  <c r="V619" i="1"/>
  <c r="W619" i="1"/>
  <c r="V620" i="1"/>
  <c r="W620" i="1"/>
  <c r="V621" i="1"/>
  <c r="W621" i="1"/>
  <c r="V622" i="1"/>
  <c r="W622" i="1"/>
  <c r="V623" i="1"/>
  <c r="W623" i="1"/>
  <c r="V624" i="1"/>
  <c r="W624" i="1"/>
  <c r="W613" i="1"/>
  <c r="V613" i="1"/>
  <c r="Y613" i="1"/>
  <c r="AA613" i="1" l="1" a="1"/>
  <c r="AA613" i="1" s="1"/>
  <c r="Y687" i="1" a="1"/>
  <c r="Y687" i="1" s="1"/>
  <c r="AG1146" i="1"/>
  <c r="AE1146" i="1"/>
  <c r="AE1114" i="1"/>
  <c r="AC1115" i="1"/>
  <c r="AG1114" i="1"/>
  <c r="AC1065" i="1"/>
  <c r="AG1064" i="1"/>
  <c r="AE1064" i="1"/>
  <c r="AC1040" i="1"/>
  <c r="AG1039" i="1"/>
  <c r="AE1039" i="1"/>
  <c r="AG1063" i="1"/>
  <c r="AE1063" i="1"/>
  <c r="AC1012" i="1"/>
  <c r="AG1011" i="1"/>
  <c r="AE1011" i="1"/>
  <c r="AC988" i="1"/>
  <c r="AG987" i="1"/>
  <c r="AE987" i="1"/>
  <c r="AC960" i="1"/>
  <c r="AG959" i="1"/>
  <c r="AE959" i="1"/>
  <c r="AC936" i="1"/>
  <c r="AG935" i="1"/>
  <c r="AE935" i="1"/>
  <c r="AG884" i="1"/>
  <c r="AE884" i="1"/>
  <c r="AG855" i="1"/>
  <c r="AE855" i="1"/>
  <c r="AC856" i="1"/>
  <c r="Y624" i="1"/>
  <c r="Y619" i="1"/>
  <c r="Y615" i="1"/>
  <c r="Y616" i="1"/>
  <c r="Y621" i="1"/>
  <c r="Y618" i="1"/>
  <c r="Y623" i="1"/>
  <c r="Y620" i="1"/>
  <c r="Y617" i="1"/>
  <c r="Y614" i="1"/>
  <c r="Y622" i="1"/>
  <c r="H26" i="1"/>
  <c r="H29" i="1"/>
  <c r="H25" i="1"/>
  <c r="H30" i="1"/>
  <c r="C521" i="1"/>
  <c r="C520" i="1"/>
  <c r="D512" i="1"/>
  <c r="C512" i="1"/>
  <c r="AC1116" i="1" l="1"/>
  <c r="AG1115" i="1"/>
  <c r="AE1115" i="1"/>
  <c r="AC1066" i="1"/>
  <c r="AG1065" i="1"/>
  <c r="AE1065" i="1"/>
  <c r="AG1040" i="1"/>
  <c r="AE1040" i="1"/>
  <c r="AC1013" i="1"/>
  <c r="AG1012" i="1"/>
  <c r="AE1012" i="1"/>
  <c r="AG988" i="1"/>
  <c r="AE988" i="1"/>
  <c r="AC961" i="1"/>
  <c r="AG960" i="1"/>
  <c r="AE960" i="1"/>
  <c r="AG936" i="1"/>
  <c r="AE936" i="1"/>
  <c r="AG835" i="1"/>
  <c r="AE835" i="1"/>
  <c r="AG856" i="1"/>
  <c r="AE856" i="1"/>
  <c r="AC857" i="1"/>
  <c r="AB690" i="1"/>
  <c r="AF690" i="1" s="1"/>
  <c r="AB695" i="1"/>
  <c r="AF695" i="1" s="1"/>
  <c r="AB689" i="1"/>
  <c r="AF689" i="1" s="1"/>
  <c r="AB694" i="1"/>
  <c r="AF694" i="1" s="1"/>
  <c r="AE694" i="1"/>
  <c r="AE687" i="1"/>
  <c r="AE691" i="1"/>
  <c r="AB696" i="1"/>
  <c r="AF696" i="1" s="1"/>
  <c r="AB692" i="1"/>
  <c r="AF692" i="1" s="1"/>
  <c r="AE693" i="1"/>
  <c r="AE692" i="1"/>
  <c r="AB698" i="1"/>
  <c r="AF698" i="1" s="1"/>
  <c r="AB691" i="1"/>
  <c r="AF691" i="1" s="1"/>
  <c r="AB693" i="1"/>
  <c r="AF693" i="1" s="1"/>
  <c r="AE690" i="1"/>
  <c r="AE695" i="1"/>
  <c r="AB697" i="1"/>
  <c r="AF697" i="1" s="1"/>
  <c r="AE696" i="1"/>
  <c r="AE698" i="1"/>
  <c r="AE688" i="1"/>
  <c r="AE697" i="1"/>
  <c r="AE689" i="1"/>
  <c r="AB688" i="1"/>
  <c r="AF688" i="1" s="1"/>
  <c r="Y707" i="1" l="1" a="1"/>
  <c r="Y707" i="1" s="1"/>
  <c r="AG1094" i="1"/>
  <c r="AE1094" i="1"/>
  <c r="AC1117" i="1"/>
  <c r="AC1118" i="1" s="1"/>
  <c r="AG1116" i="1"/>
  <c r="AE1116" i="1"/>
  <c r="AG1066" i="1"/>
  <c r="AE1066" i="1"/>
  <c r="AC1014" i="1"/>
  <c r="AG1013" i="1"/>
  <c r="AE1013" i="1"/>
  <c r="AC962" i="1"/>
  <c r="AG961" i="1"/>
  <c r="AE961" i="1"/>
  <c r="AG857" i="1"/>
  <c r="AE857" i="1"/>
  <c r="AB687" i="1"/>
  <c r="AF687" i="1" s="1"/>
  <c r="AL693" i="1" s="1"/>
  <c r="AC858" i="1"/>
  <c r="J12" i="1"/>
  <c r="J13" i="1"/>
  <c r="J14" i="1"/>
  <c r="J15" i="1"/>
  <c r="J16" i="1"/>
  <c r="J17" i="1"/>
  <c r="J18" i="1"/>
  <c r="J19" i="1"/>
  <c r="J20" i="1"/>
  <c r="J21" i="1"/>
  <c r="J22" i="1"/>
  <c r="J11" i="1"/>
  <c r="J9" i="1"/>
  <c r="E83" i="1"/>
  <c r="E82" i="1"/>
  <c r="E81" i="1"/>
  <c r="B86" i="1"/>
  <c r="Y710" i="1" l="1" a="1"/>
  <c r="Y710" i="1" s="1"/>
  <c r="AH687" i="1" a="1"/>
  <c r="AH687" i="1" s="1"/>
  <c r="AG1118" i="1"/>
  <c r="AE1118" i="1"/>
  <c r="AG1117" i="1"/>
  <c r="AE1117" i="1"/>
  <c r="AG1014" i="1"/>
  <c r="AE1014" i="1"/>
  <c r="AL690" i="1"/>
  <c r="AL698" i="1"/>
  <c r="AL688" i="1"/>
  <c r="AE962" i="1"/>
  <c r="AG962" i="1"/>
  <c r="AL689" i="1"/>
  <c r="AL697" i="1"/>
  <c r="AL692" i="1"/>
  <c r="AL691" i="1"/>
  <c r="AL694" i="1"/>
  <c r="AL687" i="1"/>
  <c r="AL695" i="1"/>
  <c r="AL696" i="1"/>
  <c r="AG858" i="1"/>
  <c r="AE858" i="1"/>
  <c r="AC859" i="1"/>
  <c r="F160" i="1"/>
  <c r="F161" i="1" s="1"/>
  <c r="B67" i="1"/>
  <c r="F182" i="1"/>
  <c r="F200" i="1"/>
  <c r="D86" i="1" a="1"/>
  <c r="D86" i="1" s="1"/>
  <c r="AP687" i="1" l="1"/>
  <c r="AK692" i="1"/>
  <c r="AK695" i="1"/>
  <c r="AJ690" i="1"/>
  <c r="AK697" i="1"/>
  <c r="AK696" i="1"/>
  <c r="AJ698" i="1"/>
  <c r="AJ694" i="1"/>
  <c r="AK688" i="1"/>
  <c r="AJ695" i="1"/>
  <c r="AK691" i="1"/>
  <c r="AK693" i="1"/>
  <c r="AJ697" i="1"/>
  <c r="AJ689" i="1"/>
  <c r="AK694" i="1"/>
  <c r="AJ688" i="1"/>
  <c r="AJ696" i="1"/>
  <c r="AK687" i="1"/>
  <c r="AJ691" i="1"/>
  <c r="AK689" i="1"/>
  <c r="AJ693" i="1"/>
  <c r="AJ692" i="1"/>
  <c r="AK690" i="1"/>
  <c r="AK698" i="1"/>
  <c r="AG859" i="1"/>
  <c r="AE859" i="1"/>
  <c r="B69" i="1"/>
  <c r="B74" i="1"/>
  <c r="D72" i="1" s="1"/>
  <c r="C74" i="1"/>
  <c r="D73" i="1" s="1"/>
  <c r="B73" i="1"/>
  <c r="C72" i="1" s="1"/>
  <c r="F201" i="1"/>
  <c r="F183" i="1"/>
  <c r="AO687" i="1" l="1"/>
  <c r="AB708" i="1" s="1"/>
  <c r="AB710" i="1" s="1"/>
  <c r="AB712" i="1" s="1"/>
  <c r="AP691" i="1" s="1"/>
  <c r="B417" i="1" s="1"/>
  <c r="AJ687" i="1"/>
  <c r="H31" i="1"/>
  <c r="D31" i="1"/>
  <c r="C31" i="1"/>
  <c r="D27" i="1"/>
  <c r="C27" i="1"/>
  <c r="H27" i="1"/>
  <c r="AN687" i="1" l="1"/>
  <c r="AO690" i="1" s="1"/>
  <c r="AO689" i="1" s="1"/>
  <c r="B418" i="1" s="1"/>
  <c r="AG886" i="1"/>
  <c r="AE886" i="1"/>
  <c r="U642" i="1"/>
  <c r="U641" i="1"/>
  <c r="D489" i="1"/>
  <c r="B94" i="1"/>
  <c r="B93" i="1"/>
  <c r="AG1042" i="1" l="1"/>
  <c r="AE1042" i="1"/>
  <c r="AG990" i="1"/>
  <c r="AE990" i="1"/>
  <c r="V639" i="1" a="1"/>
  <c r="V639" i="1" s="1"/>
  <c r="AG938" i="1"/>
  <c r="AE938" i="1"/>
  <c r="B551" i="1"/>
  <c r="B552" i="1" s="1"/>
  <c r="D506" i="1"/>
  <c r="D505" i="1"/>
  <c r="D535" i="1"/>
  <c r="F536" i="1"/>
  <c r="E536" i="1"/>
  <c r="D536" i="1"/>
  <c r="B95" i="1"/>
  <c r="AG1068" i="1" l="1"/>
  <c r="AE1068" i="1"/>
  <c r="D514" i="1"/>
  <c r="D513" i="1"/>
  <c r="AG1120" i="1" l="1"/>
  <c r="AE1120" i="1"/>
  <c r="D40" i="1"/>
  <c r="C40" i="1"/>
  <c r="AG1016" i="1"/>
  <c r="AE1016" i="1"/>
  <c r="AE964" i="1"/>
  <c r="AG964" i="1"/>
  <c r="D260" i="1"/>
  <c r="C95" i="1" s="1"/>
  <c r="AG861" i="1" l="1"/>
  <c r="AE861" i="1"/>
  <c r="C489" i="1"/>
  <c r="C506" i="1" l="1"/>
  <c r="C505" i="1" l="1"/>
  <c r="C513" i="1"/>
  <c r="C39" i="1" l="1"/>
  <c r="AA623" i="1" a="1"/>
  <c r="AA623" i="1" s="1"/>
  <c r="C514" i="1"/>
  <c r="AA633" i="1" l="1" a="1"/>
  <c r="AA633" i="1" s="1"/>
  <c r="AA639" i="1" s="1" a="1"/>
  <c r="AA639" i="1" s="1"/>
  <c r="D39" i="1"/>
  <c r="V642" i="1" a="1"/>
  <c r="V642" i="1" s="1"/>
  <c r="V644" i="1" s="1" a="1"/>
  <c r="V644" i="1" s="1"/>
  <c r="V646" i="1" l="1"/>
  <c r="Z670" i="1"/>
  <c r="Z669" i="1"/>
  <c r="Z668" i="1"/>
  <c r="Z667" i="1"/>
  <c r="Z666" i="1"/>
  <c r="Z675" i="1"/>
  <c r="Z674" i="1"/>
  <c r="Z676" i="1"/>
  <c r="Z673" i="1"/>
  <c r="Z672" i="1"/>
  <c r="Z671" i="1"/>
  <c r="AA674" i="1" l="1"/>
  <c r="F313" i="1"/>
  <c r="AF1104" i="1" s="1"/>
  <c r="C354" i="1" s="1"/>
  <c r="AA673" i="1"/>
  <c r="F312" i="1"/>
  <c r="AF1078" i="1" s="1"/>
  <c r="C353" i="1" s="1"/>
  <c r="AA667" i="1"/>
  <c r="F306" i="1"/>
  <c r="AF922" i="1" s="1"/>
  <c r="C347" i="1" s="1"/>
  <c r="AA670" i="1"/>
  <c r="F309" i="1"/>
  <c r="AF1000" i="1" s="1"/>
  <c r="C350" i="1" s="1"/>
  <c r="AA672" i="1"/>
  <c r="F311" i="1"/>
  <c r="AF1052" i="1" s="1"/>
  <c r="C352" i="1" s="1"/>
  <c r="AA676" i="1"/>
  <c r="F315" i="1"/>
  <c r="AF1156" i="1" s="1"/>
  <c r="C356" i="1" s="1"/>
  <c r="AA675" i="1"/>
  <c r="F314" i="1"/>
  <c r="AF1130" i="1" s="1"/>
  <c r="C355" i="1" s="1"/>
  <c r="AA666" i="1"/>
  <c r="F305" i="1"/>
  <c r="AF896" i="1" s="1"/>
  <c r="C346" i="1" s="1"/>
  <c r="AA668" i="1"/>
  <c r="F307" i="1"/>
  <c r="AF948" i="1" s="1"/>
  <c r="C348" i="1" s="1"/>
  <c r="AA669" i="1"/>
  <c r="F308" i="1"/>
  <c r="AF974" i="1" s="1"/>
  <c r="C349" i="1" s="1"/>
  <c r="AA671" i="1"/>
  <c r="F310" i="1"/>
  <c r="AF1026" i="1" s="1"/>
  <c r="C351" i="1" s="1"/>
  <c r="B103" i="1"/>
  <c r="C109" i="1"/>
  <c r="B212" i="1"/>
  <c r="B213" i="1"/>
  <c r="B216" i="1"/>
  <c r="B218" i="1"/>
  <c r="B220" i="1"/>
  <c r="B221" i="1"/>
  <c r="B214" i="1"/>
  <c r="B215" i="1"/>
  <c r="B217" i="1"/>
  <c r="B211" i="1"/>
  <c r="B219" i="1"/>
  <c r="B222" i="1"/>
  <c r="D520" i="1"/>
  <c r="F520" i="1" s="1"/>
  <c r="C108" i="1"/>
  <c r="B191" i="1"/>
  <c r="D521" i="1"/>
  <c r="F521" i="1" s="1"/>
  <c r="F526" i="1"/>
  <c r="B173" i="1"/>
  <c r="Y763" i="1" l="1"/>
  <c r="Z786" i="1"/>
  <c r="AA786" i="1" s="1"/>
  <c r="Y762" i="1"/>
  <c r="Z785" i="1"/>
  <c r="AA785" i="1" s="1"/>
  <c r="Y768" i="1"/>
  <c r="Z791" i="1"/>
  <c r="AA791" i="1" s="1"/>
  <c r="Y760" i="1"/>
  <c r="Z783" i="1"/>
  <c r="AA783" i="1" s="1"/>
  <c r="Y769" i="1"/>
  <c r="Z792" i="1"/>
  <c r="AA792" i="1" s="1"/>
  <c r="Y767" i="1"/>
  <c r="Z790" i="1"/>
  <c r="AA790" i="1" s="1"/>
  <c r="Y766" i="1"/>
  <c r="Z789" i="1"/>
  <c r="AA789" i="1" s="1"/>
  <c r="Y764" i="1"/>
  <c r="Z787" i="1"/>
  <c r="AA787" i="1" s="1"/>
  <c r="Y770" i="1"/>
  <c r="Z793" i="1"/>
  <c r="AA793" i="1" s="1"/>
  <c r="Y759" i="1"/>
  <c r="Z782" i="1"/>
  <c r="AA782" i="1" s="1"/>
  <c r="Y761" i="1"/>
  <c r="Z784" i="1"/>
  <c r="AA784" i="1" s="1"/>
  <c r="Y765" i="1"/>
  <c r="Z788" i="1"/>
  <c r="AA788" i="1" s="1"/>
  <c r="F524" i="1"/>
  <c r="F528" i="1" s="1"/>
  <c r="C238" i="1"/>
  <c r="D220" i="1"/>
  <c r="C230" i="1"/>
  <c r="D212" i="1"/>
  <c r="C236" i="1"/>
  <c r="D218" i="1"/>
  <c r="D211" i="1"/>
  <c r="C229" i="1"/>
  <c r="D216" i="1"/>
  <c r="C234" i="1"/>
  <c r="D214" i="1"/>
  <c r="C232" i="1"/>
  <c r="D213" i="1"/>
  <c r="C231" i="1"/>
  <c r="D215" i="1"/>
  <c r="C233" i="1"/>
  <c r="C237" i="1"/>
  <c r="D219" i="1"/>
  <c r="D222" i="1"/>
  <c r="C240" i="1"/>
  <c r="D221" i="1"/>
  <c r="C239" i="1"/>
  <c r="D217" i="1"/>
  <c r="C235" i="1"/>
  <c r="Y771" i="1" l="1"/>
  <c r="AB784" i="1"/>
  <c r="AC784" i="1" s="1"/>
  <c r="AD784" i="1" s="1"/>
  <c r="AE783" i="1"/>
  <c r="AE788" i="1"/>
  <c r="AB789" i="1"/>
  <c r="AC789" i="1" s="1"/>
  <c r="AD789" i="1" s="1"/>
  <c r="AE789" i="1"/>
  <c r="AB790" i="1"/>
  <c r="AC790" i="1" s="1"/>
  <c r="AD790" i="1" s="1"/>
  <c r="AB792" i="1"/>
  <c r="AC792" i="1" s="1"/>
  <c r="AD792" i="1" s="1"/>
  <c r="AE791" i="1"/>
  <c r="AE782" i="1"/>
  <c r="AB783" i="1"/>
  <c r="AC783" i="1" s="1"/>
  <c r="AD783" i="1" s="1"/>
  <c r="AC782" i="1"/>
  <c r="AD782" i="1" s="1"/>
  <c r="AE785" i="1"/>
  <c r="AB786" i="1"/>
  <c r="AC786" i="1" s="1"/>
  <c r="AD786" i="1" s="1"/>
  <c r="AE787" i="1"/>
  <c r="AB788" i="1"/>
  <c r="AC788" i="1" s="1"/>
  <c r="AD788" i="1" s="1"/>
  <c r="AB785" i="1"/>
  <c r="AC785" i="1" s="1"/>
  <c r="AD785" i="1" s="1"/>
  <c r="AE784" i="1"/>
  <c r="AB791" i="1"/>
  <c r="AC791" i="1" s="1"/>
  <c r="AD791" i="1" s="1"/>
  <c r="AE790" i="1"/>
  <c r="AE793" i="1"/>
  <c r="AB793" i="1"/>
  <c r="AC793" i="1" s="1"/>
  <c r="AD793" i="1" s="1"/>
  <c r="AE792" i="1"/>
  <c r="AB787" i="1"/>
  <c r="AC787" i="1" s="1"/>
  <c r="AD787" i="1" s="1"/>
  <c r="AE786" i="1"/>
  <c r="D234" i="1"/>
  <c r="B309" i="1" s="1"/>
  <c r="D239" i="1"/>
  <c r="B314" i="1" s="1"/>
  <c r="D237" i="1"/>
  <c r="B312" i="1" s="1"/>
  <c r="D229" i="1"/>
  <c r="B304" i="1" s="1"/>
  <c r="D235" i="1"/>
  <c r="B310" i="1" s="1"/>
  <c r="D240" i="1"/>
  <c r="B315" i="1" s="1"/>
  <c r="D231" i="1"/>
  <c r="B306" i="1" s="1"/>
  <c r="D230" i="1"/>
  <c r="B305" i="1" s="1"/>
  <c r="D233" i="1"/>
  <c r="B308" i="1" s="1"/>
  <c r="D236" i="1"/>
  <c r="B311" i="1" s="1"/>
  <c r="D238" i="1"/>
  <c r="B313" i="1" s="1"/>
  <c r="D232" i="1"/>
  <c r="B307" i="1" s="1"/>
  <c r="D224" i="1"/>
  <c r="F592" i="1"/>
  <c r="F588" i="1" s="1"/>
  <c r="F589" i="1" s="1"/>
  <c r="I587" i="1" s="1"/>
  <c r="E550" i="1"/>
  <c r="D538" i="1"/>
  <c r="E538" i="1"/>
  <c r="F538" i="1"/>
  <c r="AE801" i="1" l="1"/>
  <c r="AD801" i="1"/>
  <c r="G231" i="1"/>
  <c r="G235" i="1"/>
  <c r="G236" i="1"/>
  <c r="G238" i="1"/>
  <c r="G229" i="1"/>
  <c r="D242" i="1"/>
  <c r="C94" i="1" s="1"/>
  <c r="B87" i="1" s="1"/>
  <c r="B554" i="1" s="1"/>
  <c r="B555" i="1" s="1"/>
  <c r="B556" i="1" s="1"/>
  <c r="G234" i="1"/>
  <c r="G237" i="1"/>
  <c r="G233" i="1"/>
  <c r="G240" i="1"/>
  <c r="G239" i="1"/>
  <c r="G232" i="1"/>
  <c r="G230" i="1"/>
  <c r="C93" i="1"/>
  <c r="D565" i="1"/>
  <c r="D566" i="1"/>
  <c r="AE803" i="1" l="1"/>
  <c r="B451" i="1" s="1"/>
  <c r="E93" i="1"/>
  <c r="D100" i="1"/>
  <c r="D98" i="1"/>
  <c r="F238" i="1"/>
  <c r="C313" i="1" s="1"/>
  <c r="D313" i="1" s="1"/>
  <c r="F233" i="1"/>
  <c r="C308" i="1" s="1"/>
  <c r="D308" i="1" s="1"/>
  <c r="F236" i="1"/>
  <c r="C311" i="1" s="1"/>
  <c r="D311" i="1" s="1"/>
  <c r="F235" i="1"/>
  <c r="C310" i="1" s="1"/>
  <c r="D310" i="1" s="1"/>
  <c r="F230" i="1"/>
  <c r="C305" i="1" s="1"/>
  <c r="D305" i="1" s="1"/>
  <c r="F232" i="1"/>
  <c r="C307" i="1" s="1"/>
  <c r="D307" i="1" s="1"/>
  <c r="F234" i="1"/>
  <c r="C309" i="1" s="1"/>
  <c r="D309" i="1" s="1"/>
  <c r="F240" i="1"/>
  <c r="C315" i="1" s="1"/>
  <c r="D315" i="1" s="1"/>
  <c r="F239" i="1"/>
  <c r="C314" i="1" s="1"/>
  <c r="D314" i="1" s="1"/>
  <c r="F231" i="1"/>
  <c r="C306" i="1" s="1"/>
  <c r="D306" i="1" s="1"/>
  <c r="F237" i="1"/>
  <c r="C312" i="1" s="1"/>
  <c r="D312" i="1" s="1"/>
  <c r="F229" i="1"/>
  <c r="C304" i="1" s="1"/>
  <c r="D304" i="1" s="1"/>
  <c r="D99" i="1"/>
  <c r="E99" i="1" s="1"/>
  <c r="F184" i="1" s="1"/>
  <c r="E552" i="1"/>
  <c r="E553" i="1"/>
  <c r="E98" i="1" l="1"/>
  <c r="C191" i="1"/>
  <c r="E100" i="1"/>
  <c r="F202" i="1" s="1"/>
  <c r="E205" i="1" s="1"/>
  <c r="F99" i="1"/>
  <c r="M28" i="1" s="1"/>
  <c r="N28" i="1" s="1"/>
  <c r="K14" i="1"/>
  <c r="K12" i="1"/>
  <c r="K17" i="1"/>
  <c r="C173" i="1"/>
  <c r="E187" i="1" s="1"/>
  <c r="K20" i="1"/>
  <c r="K13" i="1"/>
  <c r="K21" i="1"/>
  <c r="K19" i="1"/>
  <c r="K22" i="1"/>
  <c r="K16" i="1"/>
  <c r="K18" i="1"/>
  <c r="K11" i="1"/>
  <c r="K15" i="1"/>
  <c r="E555" i="1"/>
  <c r="B566" i="1"/>
  <c r="F566" i="1" s="1"/>
  <c r="B565" i="1"/>
  <c r="F100" i="1" l="1"/>
  <c r="J100" i="1" s="1"/>
  <c r="E204" i="1"/>
  <c r="J99" i="1"/>
  <c r="M32" i="1"/>
  <c r="N32" i="1" s="1"/>
  <c r="E186" i="1"/>
  <c r="A559" i="1" a="1"/>
  <c r="A559" i="1" s="1"/>
  <c r="M34" i="1"/>
  <c r="N34" i="1" s="1"/>
  <c r="F565" i="1"/>
  <c r="U576" i="1"/>
  <c r="D94" i="1"/>
  <c r="M30" i="1" l="1"/>
  <c r="N30" i="1" s="1"/>
  <c r="AB675" i="1"/>
  <c r="G314" i="1" s="1"/>
  <c r="AB672" i="1"/>
  <c r="G311" i="1" s="1"/>
  <c r="AB666" i="1"/>
  <c r="G305" i="1" s="1"/>
  <c r="AB668" i="1"/>
  <c r="G307" i="1" s="1"/>
  <c r="AB669" i="1"/>
  <c r="G308" i="1" s="1"/>
  <c r="AB676" i="1"/>
  <c r="G315" i="1" s="1"/>
  <c r="AB673" i="1"/>
  <c r="G312" i="1" s="1"/>
  <c r="AB670" i="1"/>
  <c r="G309" i="1" s="1"/>
  <c r="AB674" i="1"/>
  <c r="G313" i="1" s="1"/>
  <c r="AB667" i="1"/>
  <c r="G306" i="1" s="1"/>
  <c r="AB671" i="1"/>
  <c r="G310" i="1" s="1"/>
  <c r="E305" i="1"/>
  <c r="E306" i="1"/>
  <c r="E307" i="1"/>
  <c r="E308" i="1"/>
  <c r="E309" i="1"/>
  <c r="E310" i="1"/>
  <c r="E311" i="1"/>
  <c r="E312" i="1"/>
  <c r="E313" i="1"/>
  <c r="E314" i="1"/>
  <c r="E315" i="1"/>
  <c r="V576" i="1"/>
  <c r="B80" i="1"/>
  <c r="F98" i="1"/>
  <c r="D93" i="1"/>
  <c r="F162" i="1" l="1"/>
  <c r="E165" i="1" s="1"/>
  <c r="B81" i="1"/>
  <c r="B79" i="1"/>
  <c r="D173" i="1"/>
  <c r="J98" i="1"/>
  <c r="D191" i="1"/>
  <c r="F93" i="1"/>
  <c r="J154" i="1" l="1"/>
  <c r="J153" i="1"/>
  <c r="E164" i="1"/>
  <c r="L19" i="1"/>
  <c r="L20" i="1"/>
  <c r="L18" i="1"/>
  <c r="J608" i="1"/>
  <c r="L15" i="1"/>
  <c r="L16" i="1"/>
  <c r="L17" i="1"/>
  <c r="L22" i="1"/>
  <c r="L13" i="1"/>
  <c r="J610" i="1"/>
  <c r="F156" i="1"/>
  <c r="M26" i="1"/>
  <c r="N26" i="1" s="1"/>
  <c r="A193" i="1"/>
  <c r="F196" i="1"/>
  <c r="A175" i="1"/>
  <c r="F178" i="1"/>
  <c r="J93" i="1"/>
  <c r="L14" i="1" l="1"/>
  <c r="L21" i="1"/>
  <c r="L12" i="1"/>
  <c r="A153" i="1"/>
  <c r="M13" i="1" l="1"/>
  <c r="M14" i="1"/>
  <c r="M15" i="1"/>
  <c r="M16" i="1"/>
  <c r="M17" i="1"/>
  <c r="M22" i="1"/>
  <c r="M18" i="1"/>
  <c r="M12" i="1"/>
  <c r="M20" i="1"/>
  <c r="M21" i="1"/>
  <c r="M19" i="1"/>
  <c r="Z665" i="1" l="1"/>
  <c r="F304" i="1" l="1"/>
  <c r="AB665" i="1"/>
  <c r="G304" i="1" s="1"/>
  <c r="AA665" i="1"/>
  <c r="AF871" i="1" l="1"/>
  <c r="C345" i="1" s="1"/>
  <c r="AF845" i="1"/>
  <c r="E304" i="1"/>
  <c r="L11" i="1"/>
  <c r="M11" i="1" s="1"/>
  <c r="J60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<sst xmlns="http://schemas.openxmlformats.org/spreadsheetml/2006/main" count="602" uniqueCount="278">
  <si>
    <t>Item</t>
  </si>
  <si>
    <t>Erro padrão</t>
  </si>
  <si>
    <t>Regressão</t>
  </si>
  <si>
    <t>Resíduo</t>
  </si>
  <si>
    <t>Total</t>
  </si>
  <si>
    <t>Interseção</t>
  </si>
  <si>
    <t>R²</t>
  </si>
  <si>
    <t>r</t>
  </si>
  <si>
    <t>Ponto crítico</t>
  </si>
  <si>
    <t>RESULTADOS DA REGRESSÃO</t>
  </si>
  <si>
    <t>ANÁLISE DOS RESÍDUOS</t>
  </si>
  <si>
    <t>Estatística t</t>
  </si>
  <si>
    <t>Nível de significância</t>
  </si>
  <si>
    <t>Graus de liberdade</t>
  </si>
  <si>
    <t>Soma dos quadrados</t>
  </si>
  <si>
    <t>Quadrados médios</t>
  </si>
  <si>
    <t>Estatística F</t>
  </si>
  <si>
    <t>ANÁLISE DE VARIÂNCIA</t>
  </si>
  <si>
    <t>Coeficientes regressores</t>
  </si>
  <si>
    <t>AVALIAÇÃO</t>
  </si>
  <si>
    <t>Item. 9.2.1. Tabela 1 - Grau de fundamentação no caso de utilização de modelos de regressão linear</t>
  </si>
  <si>
    <t>AMOSTRA. CONJUNTO DE DADOS COLETADOS NO MERCADO</t>
  </si>
  <si>
    <t>Limite amostral (Item 9.2.1, Tabela 1, linha 4)</t>
  </si>
  <si>
    <t>Limite inferior</t>
  </si>
  <si>
    <t>Limite superior</t>
  </si>
  <si>
    <t>Estimativa</t>
  </si>
  <si>
    <t>Variável</t>
  </si>
  <si>
    <t>Coeficiente</t>
  </si>
  <si>
    <t>Resultado parcial</t>
  </si>
  <si>
    <t>Resultado</t>
  </si>
  <si>
    <t>Arredondamento</t>
  </si>
  <si>
    <t>Casas decimais</t>
  </si>
  <si>
    <t>Percentual</t>
  </si>
  <si>
    <t>Permite-se arredondar o resultado da avaliação, bem como os limites do intervalo de confiança e do campo de arbítrio, em até 1%. (NBR 14653-1:2019. Item 6.8.1)</t>
  </si>
  <si>
    <t>Limites de extrapolação. NBR 14653-2:2011. Avaliação de bens. Parte 2: Imóveis urbanos.</t>
  </si>
  <si>
    <t>Descrição</t>
  </si>
  <si>
    <t>Caracterização do imóvel avaliando</t>
  </si>
  <si>
    <t>Completa quanto a todas as variáveis analisadas</t>
  </si>
  <si>
    <t>Completa quanto às variáveis utilizadas no modelo</t>
  </si>
  <si>
    <t>Adoção de situação paradigma</t>
  </si>
  <si>
    <t>Quantidade mínima de dados de mercado, efetivamente utilizados</t>
  </si>
  <si>
    <t>6 (k+1), onde k é o número de variáveis  independentes</t>
  </si>
  <si>
    <t>4 (k+1), onde k é o número de variáveis  independentes</t>
  </si>
  <si>
    <t>3 (k+1), onde k é o número de variáveis  independentes</t>
  </si>
  <si>
    <t>Identificação dos dados de mercado</t>
  </si>
  <si>
    <t>Apresentação de informações relativas a todos os dados e variáveis analisados na modelagem, com foto e características conferidas pelo autor do laudo</t>
  </si>
  <si>
    <t>Apresentação de informações relativas a todos os dados e variáveis analisados na modelagem</t>
  </si>
  <si>
    <t>Apresentação de informações relativas aos dados e variáveis efetivamente utilizados no modelo</t>
  </si>
  <si>
    <t>Extrapolação</t>
  </si>
  <si>
    <t>Não admitida</t>
  </si>
  <si>
    <t>Nível de significância máximo admitido para a rejeição da hipótese nula do modelo através do teste F de Snedecor</t>
  </si>
  <si>
    <t>Tabela 1 - Grau de fundamentação no caso de utilização de modelos de regressão linear</t>
  </si>
  <si>
    <t>Grau</t>
  </si>
  <si>
    <t>III</t>
  </si>
  <si>
    <t>II</t>
  </si>
  <si>
    <t>I</t>
  </si>
  <si>
    <t>Admitida para apenas uma variável, desde que:
a) as medidas das características do imóvel avaliando não sejam superiores a 100% do limite amostral superior, nem inferiores à metade do limite amostral inferior, 
b) o valor estimado não ultrapasse 15% do valor calculado no limite da fronteira amostral, para a referida variável, em módulo</t>
  </si>
  <si>
    <t>Nível de significância α (somatório do valor das duas caudas) máximo para a rejeição da hipótese nula de cada regressor (teste bicaudal)</t>
  </si>
  <si>
    <t>Aderência dos valores observados aos valores previstos pelo modelo de regressão linear</t>
  </si>
  <si>
    <t xml:space="preserve">O gráfico acima demonstra visualmente que os valores observados estão próximos da bissetriz do primeiro quadrante. </t>
  </si>
  <si>
    <t>Valores observados</t>
  </si>
  <si>
    <t>Dados do bem avaliando e análise da extrapolação e admissibilidade da avaliação</t>
  </si>
  <si>
    <r>
      <rPr>
        <b/>
        <sz val="11"/>
        <rFont val="Aptos"/>
        <family val="2"/>
      </rPr>
      <t xml:space="preserve">A.2.1.4 Verificação da autocorrelação
</t>
    </r>
    <r>
      <rPr>
        <sz val="11"/>
        <rFont val="Aptos"/>
        <family val="2"/>
      </rPr>
      <t>O exame da autocorrelação deve ser precedido pelo pré-ordenamento dos elementos amostrais, em relação aos valores ajustados e, se for o caso, às variáveis independentes possivelmente causadoras do problema.
Sua verificação pode ser feita, entre outros procedimentos, pela análise do gráfico dos resíduos cote­ jados com os valores ajustados, que deve apresentar pontos dispersos aleatoriamente, sem nenhum padrão definido.</t>
    </r>
  </si>
  <si>
    <t>A autocorrelação pode ocorrer apenas quando os dados coletados não são contemporâneos e, ainda assim, caso eles tenham sido coletados em datas diferentes; presentes essas duas condições, é possível (não necessariamente) que a série temporal cause influência sobre a distribuição dos resíduos.
Essa não é a situação da presente avaliação; portanto rejeita-se a hipótese de autocorrelação.</t>
  </si>
  <si>
    <t>Análise dos resíduos da regressão linear</t>
  </si>
  <si>
    <t>Média</t>
  </si>
  <si>
    <t>Desvio-padrão</t>
  </si>
  <si>
    <t>Amplitude</t>
  </si>
  <si>
    <t>Coeficiente regressor</t>
  </si>
  <si>
    <t>Confiança</t>
  </si>
  <si>
    <t>Nivel de significância máximo admitido para a rejeição da hipótese nula do modelo (Tabela 1, linha 6)</t>
  </si>
  <si>
    <t>Nivel de significância máximo admitido para a rejeição da hipótese nula do coeficiente regressor (Tabela 1, linha 5)</t>
  </si>
  <si>
    <t>Em um teste bicaudal, o nivel de significância para a rejeição da hipótese nula de cada coeficiente regressor não pode ultrapassar 30% (trinta por cento).</t>
  </si>
  <si>
    <t>Limites de extrapaloção dos valores previstos em relação aos valores  observados (NBR 14653-2:2011. Avaliação de bens. Parte 2: Imóveis urbanos. Item 9.2.1, Tabela 1, linha 4)</t>
  </si>
  <si>
    <t>Limites</t>
  </si>
  <si>
    <t>Grau III</t>
  </si>
  <si>
    <t>Grau II</t>
  </si>
  <si>
    <t>Grau I</t>
  </si>
  <si>
    <t>não admitida</t>
  </si>
  <si>
    <t>Mínimo</t>
  </si>
  <si>
    <t>Máximo</t>
  </si>
  <si>
    <t>Soma parcial</t>
  </si>
  <si>
    <t>O gráfico acima demonstra que os resíduos padronizados estão contidos no intervalo [-2;+2].</t>
  </si>
  <si>
    <t>Valor do arredondamento</t>
  </si>
  <si>
    <r>
      <t xml:space="preserve">ABNT NBR 14653-2:2011. Avaliação de bens. Parte 2: Imóveis urbanos
9.2 Métodos comparativo direto de dados de mercado e comparativo direto de custo
9.2.1 O grau de fundamentação, no caso de utilização de modelos de regressão linear, deve ser determinado conforme a Tabela 1, observando o descrito em 9.1 e 9.2
</t>
    </r>
    <r>
      <rPr>
        <b/>
        <sz val="11"/>
        <rFont val="Aptos"/>
        <family val="2"/>
      </rPr>
      <t>Tabela 1 - Grau de fundamentação no caso de utilização de modelos de regressão linear</t>
    </r>
  </si>
  <si>
    <t>Equação da regressão:</t>
  </si>
  <si>
    <t>A inclusão da constante (interseção) na equação é necessária para que a reta da regressão atinja o melhor ajuste dos valores previstos aos valores observados.</t>
  </si>
  <si>
    <r>
      <rPr>
        <b/>
        <sz val="11"/>
        <rFont val="Aptos"/>
        <family val="2"/>
      </rPr>
      <t xml:space="preserve">NBR 14653-2:2011. Avaliação de bens. Parte 2. Imóveis urbanos.
A.2.1.2 Normalidade
</t>
    </r>
    <r>
      <rPr>
        <sz val="11"/>
        <rFont val="Aptos"/>
        <family val="2"/>
      </rPr>
      <t xml:space="preserve">A verificação da normalidade pode ser realizada, entre outras, por uma das seguintes formas:
a)	pelo exame de histograma dos resíduos amostrais padronizados, com o objetivo de verificar se sua forma guarda semelhança com a da curva normal;
b)	pela análise do gráfico de resíduos padronizados versus valores ajustados, que deve apresentar pontos dispostos aleatoriamente, com a </t>
    </r>
    <r>
      <rPr>
        <b/>
        <sz val="11"/>
        <rFont val="Aptos"/>
        <family val="2"/>
      </rPr>
      <t>grande maioria</t>
    </r>
    <r>
      <rPr>
        <sz val="11"/>
        <rFont val="Aptos"/>
        <family val="2"/>
      </rPr>
      <t xml:space="preserve"> situados no intervalo [ - 2; + 2 ].</t>
    </r>
  </si>
  <si>
    <t>Extrapoção</t>
  </si>
  <si>
    <t>Admissibilidade</t>
  </si>
  <si>
    <t>Variável independente</t>
  </si>
  <si>
    <t>Valor da variável</t>
  </si>
  <si>
    <t>Média dos valores observados</t>
  </si>
  <si>
    <t>Menor valor da amostra</t>
  </si>
  <si>
    <t>Maior valor da amostra</t>
  </si>
  <si>
    <t>Limites da extrapolação</t>
  </si>
  <si>
    <t>Tamanho da amostra</t>
  </si>
  <si>
    <t>Parâmetros</t>
  </si>
  <si>
    <t>Intervalo de confiança de 80%: grau de precisão e intervalo de valores admissíveis (NBR 14653-2:2011. Avaliação de bens. Parte 2: Imóveis urbanos. Item 9.2.3, Tabela 5)</t>
  </si>
  <si>
    <t>Amplitude do intervalo de confiança de 80% em torno da estimativa de tendência central</t>
  </si>
  <si>
    <t>≤30%</t>
  </si>
  <si>
    <t>≤ 40%</t>
  </si>
  <si>
    <t>≤ 50%</t>
  </si>
  <si>
    <r>
      <t xml:space="preserve">t </t>
    </r>
    <r>
      <rPr>
        <vertAlign val="subscript"/>
        <sz val="11"/>
        <rFont val="Aptos"/>
        <family val="2"/>
      </rPr>
      <t>crítico</t>
    </r>
  </si>
  <si>
    <t>Semiamplitude</t>
  </si>
  <si>
    <t>Grau de precisão</t>
  </si>
  <si>
    <t>A amplitude do intervalo de confiança de 80% em torno da estimativa de tendência central é inferior a 30%; portanto, o laudo se enquadra no grau de fundamentação III da NBR 14653-2:2011 (Item 9.2.3, tabela 5).</t>
  </si>
  <si>
    <t>A amplitude do intervalo de confiança de 80% em torno da estimativa de tendência central é inferior é superior a 30% e inferior a 40%; portanto, o laudo se enquadra no grau de fundamentação II da NBR 14653-2:2011 (Item 9.2.3, tabela 5).</t>
  </si>
  <si>
    <t>A amplitude do intervalo de confiança de 80% em torno da estimativa de tendência central é superior a 40% e inferior a 50%; portanto, o laudo se enquadra no grau de fundamentação I da NBR 14653-2:2011 (Item 9.2.3, tabela 5).</t>
  </si>
  <si>
    <t>A amplitude do intervalo de confiança de 80% em torno da estimativa de tendência central é superior a 50%; portanto, o laudo não se enquadra em nenhum dos graus de fundamentação previstos na NBR 14653-2:2011 (Item 9.2.3, tabela 5).</t>
  </si>
  <si>
    <t>Erro padrão da estimativa</t>
  </si>
  <si>
    <t>RAIZ</t>
  </si>
  <si>
    <t>Intervalo de confiança</t>
  </si>
  <si>
    <t>Intervalo de valores admissíveis</t>
  </si>
  <si>
    <t>Inferior</t>
  </si>
  <si>
    <t>Superior</t>
  </si>
  <si>
    <t>limite inferior</t>
  </si>
  <si>
    <t>limite superior</t>
  </si>
  <si>
    <t>mínimo</t>
  </si>
  <si>
    <t>máximo</t>
  </si>
  <si>
    <r>
      <t xml:space="preserve">Nos termos do item A.10.1 da NBR 14653-2:2011, a avaliação intervalar, prevista em 7.7.1 b) da ABNT NBR 14653-1:2001, tem como objetivo estabelecer, quando solicitado, um intervalo de valores admissíveis em torno da estimativa de tendência central. Quando for adotada a estimativa de tendência central, o intervalo de valores admissíveis deve estar limitado </t>
    </r>
    <r>
      <rPr>
        <b/>
        <sz val="11"/>
        <rFont val="Aptos"/>
        <family val="2"/>
      </rPr>
      <t>simultaneamente</t>
    </r>
    <r>
      <rPr>
        <sz val="11"/>
        <rFont val="Aptos"/>
        <family val="2"/>
      </rPr>
      <t xml:space="preserve"> : a) ao intervalo de predição ou ao intervalo de confiança de 80% para a estimativa de tendência central; e b) ao campo de arbítrio no intervalo [-15%;+15%]. Observe-se que a primeira parte 1 da NBR 14653 foi atualizada em 2019. Atualmente, o conceito de intervalo de valores admissíveis se encontra no item 6.8.2 da NBR 14653-1:2019 (Avaliação de bens. Parte 1: Procedimentos gerais).</t>
    </r>
  </si>
  <si>
    <t>DEPENDENTE</t>
  </si>
  <si>
    <t>DADOS COLETADOS NO MERCADO</t>
  </si>
  <si>
    <t>VARIÁVEIS INCLUÍDAS NO MODELO DE REGRESSÃO LINEAR MÚLTIPLA</t>
  </si>
  <si>
    <t>Coeficiente de variação</t>
  </si>
  <si>
    <t>Matriz de correlações: multicolinearidade (A.2.1.5 da NBR 14653-2:2011. Avaliação de bens. Parte 2: Imóveis rubanos)</t>
  </si>
  <si>
    <t>Fontes:</t>
  </si>
  <si>
    <t>DANTAS, Rubens Alves. Engenharia de avaliações: uma introdução à metodologia científica. São Paulo: Pini, 1998.</t>
  </si>
  <si>
    <t>GUJARATI, Damodar N. Econometria básica. Tradução de Maria José Cyhlar Monteiro. Rio de Janeiro: Elsevier, 2006.</t>
  </si>
  <si>
    <t>PINDYCK, Robert S.; RUBINFELD, Daniel L. Econometria: modelos e previsões. Rio de Janeiro: Elsevier, 2004.</t>
  </si>
  <si>
    <t>Conclusão</t>
  </si>
  <si>
    <t>Ponto percentual calculado</t>
  </si>
  <si>
    <t>Nível de significância do modelo</t>
  </si>
  <si>
    <t>Nível de significância máximo</t>
  </si>
  <si>
    <t>Nível de significância do coeficiente regressor</t>
  </si>
  <si>
    <r>
      <t xml:space="preserve">Ponto t </t>
    </r>
    <r>
      <rPr>
        <vertAlign val="subscript"/>
        <sz val="11"/>
        <rFont val="Aptos"/>
        <family val="2"/>
      </rPr>
      <t>crítico</t>
    </r>
  </si>
  <si>
    <t>Ponto t calculado</t>
  </si>
  <si>
    <t>Elementos da diagonal principal da matriz de projeção</t>
  </si>
  <si>
    <t>INDEPENDENTES</t>
  </si>
  <si>
    <t>NBR 14653-2:2011. Avaliação de bens. Parte 2: Imóveis urbanos</t>
  </si>
  <si>
    <t>Não atende às exigências mínimas previstas na NBR 14653-2:2011</t>
  </si>
  <si>
    <t>Tamanho mínimo da amostra</t>
  </si>
  <si>
    <t>Atende às exigências para o grau I da NBR 14653-2:2011</t>
  </si>
  <si>
    <t>Atende às exigências para o grau II da NBR 14653-2:2011</t>
  </si>
  <si>
    <t>Atende às exigências para o grau III da NBR 14653-2:2011</t>
  </si>
  <si>
    <t>RESUMO DOS RESULTADOS</t>
  </si>
  <si>
    <t>PRESSUPOSTO DE VALIDADE</t>
  </si>
  <si>
    <t>ATINGIDO</t>
  </si>
  <si>
    <t>CONCLUSÃO</t>
  </si>
  <si>
    <t>Grau de precisão alcançado</t>
  </si>
  <si>
    <t>Amplitude do intervalo de confiança</t>
  </si>
  <si>
    <t>Amplitude do intervalo de valores admissíveis</t>
  </si>
  <si>
    <t>Pontos influenciantes: A.2.1.6 da NBR 14653-2:2011. Avaliação de bens. Parte 2: Imóveis urbanos. Estatística de Cook. Estatística de Mahalanobis.</t>
  </si>
  <si>
    <t>Resíduo padronizado</t>
  </si>
  <si>
    <t>Resíduo studentizado</t>
  </si>
  <si>
    <t>Ponto percentual crítico</t>
  </si>
  <si>
    <t>CHARNET, Reinaldo; FREIRE, Clarice Azevedo de Luna; CHARNET, Eugênia M. Reginato; BONVINO, Heloísa.  Análise de modelos de regressão linear: com aplicações. 2. ed. Campinas,SP: Editora da Unicamp, 2008.</t>
  </si>
  <si>
    <t>LAPPONI, Juan Carlos. Estatística usando Excel. 4. ed. revista e atualizada.  Rio de Janeiro: Elsevier, 2005.</t>
  </si>
  <si>
    <t>Distância de Cook</t>
  </si>
  <si>
    <t>Influência de cada elemento sobre os resultados da regressão</t>
  </si>
  <si>
    <t>Residuo padronizado
[-2;+2]</t>
  </si>
  <si>
    <t>Atributos do bem avaliando</t>
  </si>
  <si>
    <t>Valor observado</t>
  </si>
  <si>
    <t>Valor previsto</t>
  </si>
  <si>
    <t>¹ Nesta pasta de trabalho, foram utilizadas as abreviações recomendadas por Wooldridge (2022, p. 39).</t>
  </si>
  <si>
    <t>CASELLA, George; BERGER, Roger L. Inferência estatística. Tradução de Solange Aparecida Visconte. São Paulo: Cengage Learning, 2018.</t>
  </si>
  <si>
    <t>LATTIN, James; CARROLL, J. Douglas; GREEN, Paul E. Análise de dados multivariados. Tradução de Harue Avritscher. São Paulo: Cengage Learning, 2011.</t>
  </si>
  <si>
    <t>Nível de significância máximo para a rejeição da hipótese nula do modelo</t>
  </si>
  <si>
    <t>Nível de significância máximo para a rejeição da hipótese nula do coeficiente regressor (variável independente x_1)</t>
  </si>
  <si>
    <t>Nível de significância máximo para a rejeição da hipótese nula do coeficiente regressor (variável independente x_2)</t>
  </si>
  <si>
    <t>Nível de significância máximo para a rejeição da hipótese nula do coeficiente regressor (variável independente x_3)</t>
  </si>
  <si>
    <t>Tamanho da amostra (n)</t>
  </si>
  <si>
    <t>Variáveis do modelo (k)</t>
  </si>
  <si>
    <t>Admitida, desde que: 
a) as medidas das características do imóvel avaliando não sejam superiores a 100 % do limite amostral superior, nem inferiores à metade do limite amostral inferior; 
b) o valor estimado não ultrapasse 20 % do valor calculado no limite da fronteira amostral, para as referidas variáveis, de per si e simultaneamente, e em módulo</t>
  </si>
  <si>
    <t>Análise de pontos influenciantes e outliers (item A.2.1.6 Pontos influenciantes e "outliers", NBR 14653-2:2011. Avaliação de bens. Parte 2: Imóveis urbanos)</t>
  </si>
  <si>
    <t>A verificação da homoscedasticidade pode ser feita, entre outros, por meio dos seguintes processos: a) análise gráfica dos resíduos versus valores ajustados, que devem apresentar pontos dispostos aleatoriamente, sem nenhum padrão definido.</t>
  </si>
  <si>
    <r>
      <t xml:space="preserve">NBR 14653-2:2011. Avaliação de bens. Parte 2: Imóveis urbanos.
</t>
    </r>
    <r>
      <rPr>
        <b/>
        <sz val="11"/>
        <rFont val="Aptos"/>
        <family val="2"/>
      </rPr>
      <t>8.2.1.4.1 Preliminares</t>
    </r>
    <r>
      <rPr>
        <sz val="11"/>
        <rFont val="Aptos"/>
        <family val="2"/>
      </rPr>
      <t xml:space="preserve">
Deve-se levar em conta que qualquer modelo é uma representação simplificada do mercado, uma vez que não considera todas as suas informações. Por isso, precisam ser tomados cuidados científicos na sua elaboração, desde a preparação da pesquisa e o trabalho de campo, até o exame final dos resultados.
O poder de predição do modelo deve ser verificado a partir do gráfico de preços observados na abscissa versus valores estimados pelo modelo na ordenada, que deve apresentar pontos próximos da bissetriz do primeiro quadrante.</t>
    </r>
  </si>
  <si>
    <t>Resíduo relativo</t>
  </si>
  <si>
    <t>constante</t>
  </si>
  <si>
    <t>a estimativa será alterada em:</t>
  </si>
  <si>
    <t>Atributo (abreviatura)</t>
  </si>
  <si>
    <r>
      <t>x</t>
    </r>
    <r>
      <rPr>
        <vertAlign val="subscript"/>
        <sz val="11"/>
        <rFont val="Aptos"/>
        <family val="2"/>
      </rPr>
      <t>1</t>
    </r>
  </si>
  <si>
    <r>
      <t>x</t>
    </r>
    <r>
      <rPr>
        <vertAlign val="subscript"/>
        <sz val="11"/>
        <rFont val="Aptos"/>
        <family val="2"/>
      </rPr>
      <t>2</t>
    </r>
  </si>
  <si>
    <t>Explicação sobre o modelo adotado para se fazer a estimativa. A equação da regressão indica que, a cada alteração em uma unidade na variável independente:</t>
  </si>
  <si>
    <t>Residuo</t>
  </si>
  <si>
    <t>Soma total dos resíduos elevados ao quadrado (SQT = SQR + SQE):</t>
  </si>
  <si>
    <t>Resíduo padronizado ajustado aos graus de liberdade²</t>
  </si>
  <si>
    <t>² Os resíduos padronizados apresentados nos resultados da regressão calculada pelo Microsoft Excel® estão ajustados aos graus de liberdade.</t>
  </si>
  <si>
    <t>Campo de arbítrio [-15%;+15%]</t>
  </si>
  <si>
    <t>DIAGONAL</t>
  </si>
  <si>
    <t>MAHALANOBIS</t>
  </si>
  <si>
    <t>COOK</t>
  </si>
  <si>
    <r>
      <t>Soma dos resíduos elevados ao quadrado SQE</t>
    </r>
    <r>
      <rPr>
        <sz val="10"/>
        <rFont val="Aptos"/>
        <family val="2"/>
      </rPr>
      <t>¹</t>
    </r>
    <r>
      <rPr>
        <b/>
        <sz val="10"/>
        <rFont val="Aptos"/>
        <family val="2"/>
      </rPr>
      <t xml:space="preserve"> (explicados pela regressão):</t>
    </r>
  </si>
  <si>
    <t>Em relação às variáveis dicotômicas, não se admite nem extrapolação nem interpolação (item A.5 da NBR 14653-2:2011. Avaliação de bens. Parte 2: Imóveis urbanos;  item A.5 da NBR 14653-3:2019. Avaliação de bens. Parte 3: Imóveis rurais e seus componentes). Em relação às variáveis expressas por códigos alocados, não se admite a extrapolação (item A.6 da NBR 14653-2:2011. Avaliação de bens. Parte 2: Imóveis urbanos;  item A.6 da NBR 14653-3:2019. Avaliação de bens. Parte 3: Imóveis rurais e seus componentes).</t>
  </si>
  <si>
    <t>R² ajustado</t>
  </si>
  <si>
    <t>Avaliação</t>
  </si>
  <si>
    <t>NASSER JÚNIOR, Radegaz. Avaliação de bens: princípios básicos e aplicações. São Paulo: Editora Leud, 2019.</t>
  </si>
  <si>
    <t>Fonte da informação</t>
  </si>
  <si>
    <t>Situação do imóvel no mercado</t>
  </si>
  <si>
    <t>Fator de oferta aplicável</t>
  </si>
  <si>
    <t>Área do terreno</t>
  </si>
  <si>
    <t>MM Imóveis</t>
  </si>
  <si>
    <t>Fator aplicável</t>
  </si>
  <si>
    <t>Imóveis Braga</t>
  </si>
  <si>
    <t>Negociação concluída</t>
  </si>
  <si>
    <t>Habit Imóveis</t>
  </si>
  <si>
    <t>Torrieri Imobiliária</t>
  </si>
  <si>
    <t>Imobiliária Parceria</t>
  </si>
  <si>
    <t>Plaza Imóveis</t>
  </si>
  <si>
    <t>Tonioli Imóveis</t>
  </si>
  <si>
    <t>Imóvel à venda</t>
  </si>
  <si>
    <t>Preço observado no mercado</t>
  </si>
  <si>
    <t>ANDERSON, David Ray; SWEENEY, Dennis James; WILLIAMS, Thomas Arthur. Statistics for business and economics. 7. ed. Cincinatti (Ohio): South-Western College Publishing, 1999.</t>
  </si>
  <si>
    <t>WOOLDRIDGE, Jeffrey M. Introdução à econometria: uma abordagem moderna. Tradução da 6ª edição norte-americana. Tradução de Priscilla Rodrigues da Silva Lopes e Livia Marina Koeppl. São Paulo: Cengage Learning, 2022.</t>
  </si>
  <si>
    <t>Preço</t>
  </si>
  <si>
    <t>Constante</t>
  </si>
  <si>
    <t>Previsto</t>
  </si>
  <si>
    <t>CPI</t>
  </si>
  <si>
    <t>Fator de inflação de variância</t>
  </si>
  <si>
    <t>Entre as variáveis independentes, deve ser atribuída especial atenção às correlações superiores a 80% (oitenta por cento), conforme item A.2.1.5.1 da NBR 14653-2:2011. Avaliação de bens. Parte 2: Imóveis urbanos. Porém, ainda que assim não fosse, o imóvel avaliando segue os padrões estruturais do modelo; portanto a existência de multicolinearidade não invalida o modelo (A.2.1.5.4 da NBR 14653-2:2011. Avaliação de bens. Parte 2: Imóveis urbanos).</t>
  </si>
  <si>
    <t>Matriz de correlação parcial com influência</t>
  </si>
  <si>
    <t>- - -</t>
  </si>
  <si>
    <t>SQ Regressão</t>
  </si>
  <si>
    <t>SQ Total</t>
  </si>
  <si>
    <t>SQ Resíduo</t>
  </si>
  <si>
    <t>FIV</t>
  </si>
  <si>
    <t>TESTE DE KOENKER-BASSETT</t>
  </si>
  <si>
    <t>PREVISTO</t>
  </si>
  <si>
    <t>OBSERVADO</t>
  </si>
  <si>
    <t>RESÍDUO</t>
  </si>
  <si>
    <t>REGRESSÃO</t>
  </si>
  <si>
    <t>TOTAL</t>
  </si>
  <si>
    <t>SQ REG</t>
  </si>
  <si>
    <t>SQ RES</t>
  </si>
  <si>
    <t>SQ TOTAL</t>
  </si>
  <si>
    <t>Erro padrão CR</t>
  </si>
  <si>
    <t>A partir da análise do gráfico acima, não se verifica padrão de dispersão dos resíduos contra os valores ajustados.</t>
  </si>
  <si>
    <r>
      <t xml:space="preserve">Por outro lado, o teste estatístico de Koenker-Basset indica uma </t>
    </r>
    <r>
      <rPr>
        <u/>
        <sz val="11"/>
        <rFont val="Aptos"/>
        <family val="2"/>
      </rPr>
      <t>baixa correlação</t>
    </r>
    <r>
      <rPr>
        <sz val="11"/>
        <rFont val="Aptos"/>
        <family val="2"/>
      </rPr>
      <t xml:space="preserve"> entre os resíduos elevados ao quadrado contra os valores previstos também elevados aos quadrados. Os resultados desse teste foram:</t>
    </r>
  </si>
  <si>
    <t>Nível de correlação</t>
  </si>
  <si>
    <t>O nivel de significância ultrapassou o limite de 10% (dez por cento) previsto no item A.3.1 da NBR 14653-2:2011 (Avaliação de bens. Parte 2: Imóveis urbanos).</t>
  </si>
  <si>
    <t>Portanto, rejeita-se a hipótese de heteroscedasticidade, afirmando-se, por consequência que os resíduos são homoscedásticos.</t>
  </si>
  <si>
    <t>Soma dos resíduos elevados ao quadrado SQR (não explicados):</t>
  </si>
  <si>
    <r>
      <t>Distância de Cook</t>
    </r>
    <r>
      <rPr>
        <vertAlign val="superscript"/>
        <sz val="11"/>
        <rFont val="Aptos"/>
        <family val="2"/>
      </rPr>
      <t>3</t>
    </r>
  </si>
  <si>
    <r>
      <t>Distância de Mahalanobis</t>
    </r>
    <r>
      <rPr>
        <vertAlign val="superscript"/>
        <sz val="11"/>
        <rFont val="Aptos"/>
        <family val="2"/>
      </rPr>
      <t>4</t>
    </r>
    <r>
      <rPr>
        <sz val="11"/>
        <rFont val="Aptos"/>
        <family val="2"/>
      </rPr>
      <t xml:space="preserve">
D²</t>
    </r>
  </si>
  <si>
    <t>³ Medida que informa o quanto um ponto ou um dado se afasta da média da amostra ou centróide no espaço das variáveis independentes utilizadas no ajuste de um modelo de regressão linear múltipla.</t>
  </si>
  <si>
    <r>
      <rPr>
        <vertAlign val="superscript"/>
        <sz val="11"/>
        <rFont val="Aptos"/>
        <family val="2"/>
      </rPr>
      <t>4</t>
    </r>
    <r>
      <rPr>
        <sz val="11"/>
        <rFont val="Aptos"/>
        <family val="2"/>
      </rPr>
      <t xml:space="preserve"> A distância de Cook corresponde à variação máxima sofrida pelos coeficientes do modelo quando se retira o elemento da amostra.</t>
    </r>
  </si>
  <si>
    <r>
      <rPr>
        <vertAlign val="superscript"/>
        <sz val="11"/>
        <rFont val="Aptos"/>
        <family val="2"/>
      </rPr>
      <t>5</t>
    </r>
    <r>
      <rPr>
        <sz val="11"/>
        <rFont val="Aptos"/>
        <family val="2"/>
      </rPr>
      <t xml:space="preserve"> Encontramos na doutrina especializada na área de econometria (Anderson; Sweeney; Williams, 1999, p. 661), orientação de ordem prática no sentido de que sejam analisados com especial atenção aqueles elementos cujo resultado da estatística de Cook sejam maiores do que 1 (um).	</t>
    </r>
  </si>
  <si>
    <t>Bissetriz do primeiro quadrante</t>
  </si>
  <si>
    <t>ANÁLISE DE PONTOS ATÍPICOS: "OUTLIERS"  - PONTOS INFLUENCIANTES - DISTÂNCIA DO ELEMENTOS ATÉ O CENTRÓIDE</t>
  </si>
  <si>
    <t>Distância de Mahalanobis</t>
  </si>
  <si>
    <t>TESTE DE DURBIN-WATSON</t>
  </si>
  <si>
    <t>RESÍDUO ANTERIOR</t>
  </si>
  <si>
    <t>DIFERENÇA</t>
  </si>
  <si>
    <t>DIFERENÇA AO QUADRADO</t>
  </si>
  <si>
    <t>RESÍDUO AO QUADRADO</t>
  </si>
  <si>
    <t>ESTATÍSTICA d</t>
  </si>
  <si>
    <t>Estatística d</t>
  </si>
  <si>
    <t>Verificação de autocorrelação (A.2.1.4, NBR 14653-2:2011. Avaliação de bens. Parte 2: Imóveis urbanos). Teste de Durbin-Watson</t>
  </si>
  <si>
    <t>Verificação de homoscedasticidade (A.2.1.3, NBR 14653-2:2011. Avaliação de bens. Parte 2: Imóveis urbanos.) Teste de Koenker-Bassett</t>
  </si>
  <si>
    <t>Teste t das correlações parciais</t>
  </si>
  <si>
    <r>
      <t xml:space="preserve">Valor </t>
    </r>
    <r>
      <rPr>
        <i/>
        <sz val="11"/>
        <rFont val="Aptos"/>
        <family val="2"/>
      </rPr>
      <t xml:space="preserve">t </t>
    </r>
    <r>
      <rPr>
        <sz val="11"/>
        <rFont val="Aptos"/>
        <family val="2"/>
      </rPr>
      <t>crítico</t>
    </r>
  </si>
  <si>
    <t>MÉDIA</t>
  </si>
  <si>
    <t>SQE</t>
  </si>
  <si>
    <t>SQRES</t>
  </si>
  <si>
    <t>SQT</t>
  </si>
  <si>
    <t>n</t>
  </si>
  <si>
    <t>k</t>
  </si>
  <si>
    <t>p</t>
  </si>
  <si>
    <t>gl</t>
  </si>
  <si>
    <t>MSQRES (MSE)</t>
  </si>
  <si>
    <t>ERRO PADRÃO</t>
  </si>
  <si>
    <t>RESÍDUO ORIGINAL</t>
  </si>
  <si>
    <t>RES. NORMAL. DELETADO</t>
  </si>
  <si>
    <t>RES. STUDENT. DELETADO</t>
  </si>
  <si>
    <t>Resíduo normalizado deletado</t>
  </si>
  <si>
    <t>Resíduo studentizado deletado</t>
  </si>
  <si>
    <t>Área construída</t>
  </si>
  <si>
    <t>CÁLCULO DA DISTÃNCIA DE MAHALANOBIS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</si>
</sst>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0_ ;[Red]\-#,##0.00\ "/>
    <numFmt numFmtId="165" formatCode="#,##0.00_ ;\-#,##0.00\ "/>
    <numFmt numFmtId="166" formatCode="#,##0_ ;\-#,##0\ "/>
    <numFmt numFmtId="167" formatCode="#,##0.000000_ ;\-#,##0.000000\ "/>
    <numFmt numFmtId="168" formatCode="#,##0.000000000_ ;\-#,##0.000000000\ "/>
    <numFmt numFmtId="169" formatCode="0.000%"/>
    <numFmt numFmtId="170" formatCode="0.0000%"/>
    <numFmt numFmtId="171" formatCode="#,##0.0000_ ;\-#,##0.0000\ "/>
    <numFmt numFmtId="172" formatCode="#,##0.000_ ;[Red]\-#,##0.000\ "/>
    <numFmt numFmtId="173" formatCode="#,##0.0000000_ ;\-#,##0.0000000\ "/>
    <numFmt numFmtId="174" formatCode="#,##0.00000_ ;\-#,##0.00000\ "/>
  </numFmts>
  <fonts count="17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sz val="10"/>
      <name val="Aptos"/>
      <family val="2"/>
    </font>
    <font>
      <vertAlign val="subscript"/>
      <sz val="11"/>
      <name val="Aptos"/>
      <family val="2"/>
    </font>
    <font>
      <sz val="11"/>
      <name val="Aptos Display"/>
      <family val="2"/>
    </font>
    <font>
      <b/>
      <sz val="11"/>
      <name val="Aptos Display"/>
      <family val="2"/>
    </font>
    <font>
      <vertAlign val="superscript"/>
      <sz val="11"/>
      <name val="Aptos"/>
      <family val="2"/>
    </font>
    <font>
      <b/>
      <sz val="10"/>
      <name val="Aptos"/>
      <family val="2"/>
    </font>
    <font>
      <u/>
      <sz val="11"/>
      <name val="Aptos"/>
      <family val="2"/>
    </font>
    <font>
      <i/>
      <sz val="11"/>
      <name val="Aptos"/>
      <family val="2"/>
    </font>
    <font>
      <b/>
      <sz val="11"/>
      <color theme="0"/>
      <name val="Aptos"/>
      <family val="2"/>
    </font>
    <font>
      <sz val="11"/>
      <color theme="0"/>
      <name val="Aptos"/>
      <family val="2"/>
    </font>
    <font>
      <sz val="11"/>
      <color rgb="FF000000"/>
      <name val="Aptos"/>
      <family val="2"/>
    </font>
    <font>
      <sz val="11"/>
      <color theme="0"/>
      <name val="Arial Nova"/>
      <family val="2"/>
    </font>
    <font>
      <sz val="11"/>
      <color theme="0"/>
      <name val="Aptos Display"/>
      <family val="2"/>
    </font>
  </fonts>
  <fills count="6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B9CF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174C4C"/>
        <bgColor indexed="64"/>
      </patternFill>
    </fill>
    <fill>
      <patternFill patternType="solid">
        <fgColor rgb="FF165B5B"/>
        <bgColor indexed="64"/>
      </patternFill>
    </fill>
    <fill>
      <patternFill patternType="solid">
        <fgColor rgb="FF427574"/>
        <bgColor indexed="64"/>
      </patternFill>
    </fill>
    <fill>
      <patternFill patternType="solid">
        <fgColor rgb="FF688F8E"/>
        <bgColor indexed="64"/>
      </patternFill>
    </fill>
    <fill>
      <patternFill patternType="solid">
        <fgColor rgb="FF8CAAA9"/>
        <bgColor indexed="64"/>
      </patternFill>
    </fill>
    <fill>
      <patternFill patternType="solid">
        <fgColor rgb="FF13293B"/>
        <bgColor indexed="64"/>
      </patternFill>
    </fill>
    <fill>
      <patternFill patternType="solid">
        <fgColor rgb="FF12354F"/>
        <bgColor indexed="64"/>
      </patternFill>
    </fill>
    <fill>
      <patternFill patternType="solid">
        <fgColor rgb="FF054F77"/>
        <bgColor indexed="64"/>
      </patternFill>
    </fill>
    <fill>
      <patternFill patternType="solid">
        <fgColor rgb="FF40698D"/>
        <bgColor indexed="64"/>
      </patternFill>
    </fill>
    <fill>
      <patternFill patternType="solid">
        <fgColor rgb="FF8DA2B9"/>
        <bgColor indexed="64"/>
      </patternFill>
    </fill>
    <fill>
      <patternFill patternType="solid">
        <fgColor rgb="FFF5FAFF"/>
        <bgColor indexed="64"/>
      </patternFill>
    </fill>
    <fill>
      <patternFill patternType="solid">
        <fgColor rgb="FFFFED00"/>
        <bgColor indexed="64"/>
      </patternFill>
    </fill>
    <fill>
      <patternFill patternType="solid">
        <fgColor rgb="FFFFF04F"/>
        <bgColor indexed="64"/>
      </patternFill>
    </fill>
    <fill>
      <patternFill patternType="solid">
        <fgColor rgb="FFFFF277"/>
        <bgColor indexed="64"/>
      </patternFill>
    </fill>
    <fill>
      <patternFill patternType="solid">
        <fgColor rgb="FFFFF59B"/>
        <bgColor indexed="64"/>
      </patternFill>
    </fill>
    <fill>
      <patternFill patternType="solid">
        <fgColor rgb="FFFFF8BD"/>
        <bgColor indexed="64"/>
      </patternFill>
    </fill>
    <fill>
      <patternFill patternType="solid">
        <fgColor rgb="FF2A356A"/>
        <bgColor indexed="64"/>
      </patternFill>
    </fill>
    <fill>
      <patternFill patternType="solid">
        <fgColor rgb="FF3D7882"/>
        <bgColor indexed="64"/>
      </patternFill>
    </fill>
    <fill>
      <patternFill patternType="solid">
        <fgColor rgb="FF4998A5"/>
        <bgColor indexed="64"/>
      </patternFill>
    </fill>
    <fill>
      <patternFill patternType="solid">
        <fgColor rgb="FF56BACA"/>
        <bgColor indexed="64"/>
      </patternFill>
    </fill>
    <fill>
      <patternFill patternType="solid">
        <fgColor rgb="FF78C5D3"/>
        <bgColor indexed="64"/>
      </patternFill>
    </fill>
    <fill>
      <patternFill patternType="solid">
        <fgColor rgb="FF96D1DB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FBDB65"/>
        <bgColor indexed="64"/>
      </patternFill>
    </fill>
    <fill>
      <patternFill patternType="solid">
        <fgColor rgb="FF01426A"/>
        <bgColor indexed="64"/>
      </patternFill>
    </fill>
    <fill>
      <patternFill patternType="solid">
        <fgColor rgb="FF0067A0"/>
        <bgColor indexed="64"/>
      </patternFill>
    </fill>
    <fill>
      <patternFill patternType="solid">
        <fgColor rgb="FF007B5F"/>
        <bgColor indexed="64"/>
      </patternFill>
    </fill>
    <fill>
      <patternFill patternType="solid">
        <fgColor rgb="FF00B388"/>
        <bgColor indexed="64"/>
      </patternFill>
    </fill>
    <fill>
      <patternFill patternType="solid">
        <fgColor rgb="FF026842"/>
        <bgColor indexed="64"/>
      </patternFill>
    </fill>
    <fill>
      <patternFill patternType="solid">
        <fgColor rgb="FF3D805E"/>
        <bgColor indexed="64"/>
      </patternFill>
    </fill>
    <fill>
      <patternFill patternType="solid">
        <fgColor rgb="FF64997C"/>
        <bgColor indexed="64"/>
      </patternFill>
    </fill>
    <fill>
      <patternFill patternType="solid">
        <fgColor rgb="FF8BB29B"/>
        <bgColor indexed="64"/>
      </patternFill>
    </fill>
    <fill>
      <patternFill patternType="solid">
        <fgColor rgb="FFB1CBBC"/>
        <bgColor indexed="64"/>
      </patternFill>
    </fill>
    <fill>
      <patternFill patternType="solid">
        <fgColor rgb="FF293126"/>
        <bgColor indexed="64"/>
      </patternFill>
    </fill>
    <fill>
      <patternFill patternType="solid">
        <fgColor rgb="FF3B4836"/>
        <bgColor indexed="64"/>
      </patternFill>
    </fill>
    <fill>
      <patternFill patternType="solid">
        <fgColor rgb="FF4D6047"/>
        <bgColor indexed="64"/>
      </patternFill>
    </fill>
    <fill>
      <patternFill patternType="solid">
        <fgColor rgb="FF617A59"/>
        <bgColor indexed="64"/>
      </patternFill>
    </fill>
    <fill>
      <patternFill patternType="solid">
        <fgColor rgb="FF75946B"/>
        <bgColor indexed="64"/>
      </patternFill>
    </fill>
    <fill>
      <patternFill patternType="solid">
        <fgColor rgb="FF8BA582"/>
        <bgColor indexed="64"/>
      </patternFill>
    </fill>
    <fill>
      <patternFill patternType="solid">
        <fgColor rgb="FFA2B79A"/>
        <bgColor indexed="64"/>
      </patternFill>
    </fill>
    <fill>
      <patternFill patternType="solid">
        <fgColor rgb="FF292929"/>
        <bgColor indexed="64"/>
      </patternFill>
    </fill>
    <fill>
      <patternFill patternType="solid">
        <fgColor rgb="FF4E4E4E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A2A2A2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21372B"/>
        <bgColor indexed="64"/>
      </patternFill>
    </fill>
    <fill>
      <patternFill patternType="solid">
        <fgColor rgb="FF294837"/>
        <bgColor indexed="64"/>
      </patternFill>
    </fill>
    <fill>
      <patternFill patternType="solid">
        <fgColor rgb="FF325A45"/>
        <bgColor indexed="64"/>
      </patternFill>
    </fill>
    <fill>
      <patternFill patternType="solid">
        <fgColor rgb="FF3A6D52"/>
        <bgColor indexed="64"/>
      </patternFill>
    </fill>
    <fill>
      <patternFill patternType="solid">
        <fgColor rgb="FF5A846C"/>
        <bgColor indexed="64"/>
      </patternFill>
    </fill>
    <fill>
      <patternFill patternType="solid">
        <fgColor rgb="FF242721"/>
        <bgColor indexed="64"/>
      </patternFill>
    </fill>
    <fill>
      <patternFill patternType="solid">
        <fgColor rgb="FF3C4236"/>
        <bgColor indexed="64"/>
      </patternFill>
    </fill>
    <fill>
      <patternFill patternType="solid">
        <fgColor rgb="FF4F5847"/>
        <bgColor indexed="64"/>
      </patternFill>
    </fill>
    <fill>
      <patternFill patternType="solid">
        <fgColor rgb="FF636E59"/>
        <bgColor indexed="64"/>
      </patternFill>
    </fill>
    <fill>
      <patternFill patternType="solid">
        <fgColor rgb="FF8D9982"/>
        <bgColor indexed="64"/>
      </patternFill>
    </fill>
    <fill>
      <patternFill patternType="solid">
        <fgColor rgb="FFB9C1B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66">
    <xf numFmtId="165" fontId="0" fillId="0" borderId="0">
      <alignment vertical="center"/>
      <protection hidden="1"/>
    </xf>
    <xf numFmtId="9" fontId="1" fillId="0" borderId="0" applyFont="0" applyFill="0" applyBorder="0" applyAlignment="0" applyProtection="0"/>
    <xf numFmtId="164" fontId="13" fillId="7" borderId="0">
      <protection hidden="1"/>
    </xf>
    <xf numFmtId="165" fontId="1" fillId="8" borderId="0" applyBorder="0" applyProtection="0">
      <alignment vertical="center"/>
    </xf>
    <xf numFmtId="164" fontId="13" fillId="9" borderId="0">
      <alignment horizontal="justify" vertical="center" wrapText="1"/>
      <protection hidden="1"/>
    </xf>
    <xf numFmtId="164" fontId="13" fillId="10" borderId="0">
      <alignment horizontal="justify" vertical="center" wrapText="1"/>
      <protection hidden="1"/>
    </xf>
    <xf numFmtId="164" fontId="13" fillId="11" borderId="0">
      <alignment horizontal="justify" vertical="center" wrapText="1"/>
      <protection locked="0" hidden="1"/>
    </xf>
    <xf numFmtId="165" fontId="2" fillId="12" borderId="0">
      <alignment horizontal="left" vertical="center"/>
      <protection locked="0" hidden="1"/>
    </xf>
    <xf numFmtId="165" fontId="2" fillId="13" borderId="0">
      <alignment horizontal="center" vertical="center" wrapText="1"/>
      <protection hidden="1"/>
    </xf>
    <xf numFmtId="165" fontId="13" fillId="14" borderId="0">
      <alignment vertical="center"/>
      <protection hidden="1"/>
    </xf>
    <xf numFmtId="165" fontId="13" fillId="15" borderId="0">
      <alignment vertical="center"/>
      <protection hidden="1"/>
    </xf>
    <xf numFmtId="165" fontId="13" fillId="16" borderId="0">
      <alignment vertical="center"/>
      <protection hidden="1"/>
    </xf>
    <xf numFmtId="165" fontId="13" fillId="17" borderId="0">
      <alignment vertical="center"/>
      <protection hidden="1"/>
    </xf>
    <xf numFmtId="165" fontId="2" fillId="18" borderId="0">
      <alignment horizontal="center" vertical="center"/>
      <protection hidden="1"/>
    </xf>
    <xf numFmtId="165" fontId="14" fillId="19" borderId="2">
      <alignment horizontal="justify" vertical="center" wrapText="1"/>
      <protection hidden="1"/>
    </xf>
    <xf numFmtId="164" fontId="2" fillId="20" borderId="0">
      <alignment horizontal="justify" vertical="center" wrapText="1"/>
      <protection hidden="1"/>
    </xf>
    <xf numFmtId="164" fontId="2" fillId="21" borderId="0">
      <alignment horizontal="justify" vertical="center" wrapText="1"/>
      <protection hidden="1"/>
    </xf>
    <xf numFmtId="164" fontId="2" fillId="22" borderId="0">
      <alignment horizontal="justify" vertical="center" wrapText="1"/>
      <protection locked="0" hidden="1"/>
    </xf>
    <xf numFmtId="165" fontId="2" fillId="23" borderId="0">
      <alignment horizontal="left" vertical="center"/>
      <protection locked="0" hidden="1"/>
    </xf>
    <xf numFmtId="165" fontId="2" fillId="24" borderId="0">
      <alignment horizontal="center" vertical="center" wrapText="1"/>
      <protection locked="0" hidden="1"/>
    </xf>
    <xf numFmtId="165" fontId="12" fillId="25" borderId="0">
      <alignment horizontal="center" vertical="center"/>
      <protection hidden="1"/>
    </xf>
    <xf numFmtId="164" fontId="13" fillId="26" borderId="0">
      <alignment horizontal="justify" vertical="center" wrapText="1"/>
      <protection hidden="1"/>
    </xf>
    <xf numFmtId="164" fontId="13" fillId="27" borderId="0">
      <alignment horizontal="justify" vertical="center" wrapText="1"/>
      <protection locked="0" hidden="1"/>
    </xf>
    <xf numFmtId="164" fontId="13" fillId="28" borderId="0">
      <alignment horizontal="justify" vertical="center" wrapText="1"/>
      <protection hidden="1"/>
    </xf>
    <xf numFmtId="165" fontId="2" fillId="29" borderId="0">
      <alignment horizontal="left" vertical="center"/>
      <protection locked="0" hidden="1"/>
    </xf>
    <xf numFmtId="165" fontId="2" fillId="30" borderId="0">
      <alignment horizontal="left" vertical="center" wrapText="1"/>
      <protection locked="0" hidden="1"/>
    </xf>
    <xf numFmtId="165" fontId="13" fillId="14" borderId="0">
      <alignment horizontal="justify" vertical="center" wrapText="1"/>
      <protection hidden="1"/>
    </xf>
    <xf numFmtId="165" fontId="13" fillId="15" borderId="0">
      <alignment horizontal="justify" vertical="center" wrapText="1"/>
      <protection locked="0" hidden="1"/>
    </xf>
    <xf numFmtId="165" fontId="13" fillId="16" borderId="0">
      <alignment horizontal="justify" vertical="center" wrapText="1"/>
      <protection hidden="1"/>
    </xf>
    <xf numFmtId="165" fontId="13" fillId="17" borderId="0">
      <alignment horizontal="left" vertical="center"/>
      <protection hidden="1"/>
    </xf>
    <xf numFmtId="165" fontId="2" fillId="18" borderId="0">
      <alignment horizontal="center" vertical="center" wrapText="1"/>
      <protection locked="0" hidden="1"/>
    </xf>
    <xf numFmtId="164" fontId="13" fillId="31" borderId="0">
      <alignment horizontal="justify" vertical="center"/>
      <protection hidden="1"/>
    </xf>
    <xf numFmtId="165" fontId="2" fillId="32" borderId="0">
      <alignment horizontal="justify" vertical="center" wrapText="1"/>
      <protection hidden="1"/>
    </xf>
    <xf numFmtId="165" fontId="2" fillId="33" borderId="0">
      <alignment horizontal="justify" vertical="center" wrapText="1"/>
      <protection hidden="1"/>
    </xf>
    <xf numFmtId="165" fontId="13" fillId="34" borderId="0">
      <alignment horizontal="justify" vertical="center" wrapText="1"/>
      <protection hidden="1"/>
    </xf>
    <xf numFmtId="165" fontId="13" fillId="35" borderId="0">
      <alignment horizontal="justify" vertical="center" wrapText="1"/>
      <protection hidden="1"/>
    </xf>
    <xf numFmtId="165" fontId="13" fillId="36" borderId="0">
      <alignment horizontal="justify" vertical="center" wrapText="1"/>
      <protection hidden="1"/>
    </xf>
    <xf numFmtId="165" fontId="13" fillId="37" borderId="0">
      <alignment horizontal="justify" vertical="center" wrapText="1"/>
      <protection hidden="1"/>
    </xf>
    <xf numFmtId="164" fontId="13" fillId="38" borderId="0">
      <alignment horizontal="justify" vertical="center" wrapText="1"/>
      <protection hidden="1"/>
    </xf>
    <xf numFmtId="164" fontId="13" fillId="39" borderId="0">
      <alignment horizontal="justify" vertical="center" wrapText="1"/>
      <protection hidden="1"/>
    </xf>
    <xf numFmtId="164" fontId="13" fillId="40" borderId="0">
      <alignment horizontal="justify" vertical="center" wrapText="1"/>
      <protection locked="0" hidden="1"/>
    </xf>
    <xf numFmtId="165" fontId="2" fillId="41" borderId="0">
      <alignment horizontal="left" vertical="center"/>
      <protection locked="0" hidden="1"/>
    </xf>
    <xf numFmtId="165" fontId="2" fillId="42" borderId="0">
      <alignment horizontal="left" vertical="center" wrapText="1"/>
      <protection locked="0" hidden="1"/>
    </xf>
    <xf numFmtId="165" fontId="13" fillId="43" borderId="0">
      <alignment horizontal="justify" vertical="center" wrapText="1"/>
      <protection hidden="1"/>
    </xf>
    <xf numFmtId="165" fontId="13" fillId="44" borderId="0">
      <alignment horizontal="justify" vertical="center" wrapText="1"/>
      <protection hidden="1"/>
    </xf>
    <xf numFmtId="165" fontId="13" fillId="45" borderId="0">
      <alignment horizontal="justify" vertical="center" wrapText="1"/>
      <protection hidden="1"/>
    </xf>
    <xf numFmtId="165" fontId="13" fillId="46" borderId="0">
      <alignment horizontal="justify" vertical="center" wrapText="1"/>
      <protection hidden="1"/>
    </xf>
    <xf numFmtId="165" fontId="2" fillId="47" borderId="0">
      <alignment horizontal="justify" vertical="center"/>
      <protection hidden="1"/>
    </xf>
    <xf numFmtId="165" fontId="2" fillId="48" borderId="0">
      <alignment horizontal="center" vertical="center" wrapText="1"/>
      <protection hidden="1"/>
    </xf>
    <xf numFmtId="165" fontId="2" fillId="49" borderId="0">
      <alignment horizontal="center" vertical="center" wrapText="1"/>
      <protection hidden="1"/>
    </xf>
    <xf numFmtId="164" fontId="13" fillId="50" borderId="0">
      <alignment horizontal="justify" vertical="center" wrapText="1"/>
      <protection hidden="1"/>
    </xf>
    <xf numFmtId="164" fontId="13" fillId="51" borderId="0">
      <alignment horizontal="justify" vertical="center" wrapText="1"/>
      <protection locked="0" hidden="1"/>
    </xf>
    <xf numFmtId="164" fontId="13" fillId="52" borderId="0">
      <alignment horizontal="justify" vertical="center" wrapText="1"/>
      <protection hidden="1"/>
    </xf>
    <xf numFmtId="165" fontId="1" fillId="53" borderId="0">
      <alignment horizontal="left" vertical="center"/>
      <protection locked="0" hidden="1"/>
    </xf>
    <xf numFmtId="165" fontId="2" fillId="54" borderId="0">
      <alignment horizontal="left" vertical="center" wrapText="1"/>
      <protection locked="0" hidden="1"/>
    </xf>
    <xf numFmtId="165" fontId="13" fillId="55" borderId="0">
      <alignment horizontal="justify" vertical="center" wrapText="1"/>
      <protection hidden="1"/>
    </xf>
    <xf numFmtId="165" fontId="13" fillId="56" borderId="0">
      <alignment horizontal="justify" vertical="center" wrapText="1"/>
      <protection hidden="1"/>
    </xf>
    <xf numFmtId="165" fontId="13" fillId="57" borderId="0">
      <alignment horizontal="justify" vertical="center" wrapText="1"/>
      <protection hidden="1"/>
    </xf>
    <xf numFmtId="165" fontId="13" fillId="58" borderId="0">
      <alignment horizontal="justify" vertical="center"/>
      <protection hidden="1"/>
    </xf>
    <xf numFmtId="165" fontId="13" fillId="59" borderId="0">
      <alignment horizontal="center" vertical="center" wrapText="1"/>
      <protection hidden="1"/>
    </xf>
    <xf numFmtId="165" fontId="13" fillId="60" borderId="0">
      <alignment horizontal="justify" vertical="center" wrapText="1"/>
      <protection hidden="1"/>
    </xf>
    <xf numFmtId="165" fontId="13" fillId="61" borderId="0">
      <alignment horizontal="justify" vertical="center" wrapText="1"/>
      <protection hidden="1"/>
    </xf>
    <xf numFmtId="165" fontId="13" fillId="62" borderId="0">
      <alignment horizontal="justify" vertical="center" wrapText="1"/>
      <protection hidden="1"/>
    </xf>
    <xf numFmtId="165" fontId="13" fillId="63" borderId="0">
      <alignment horizontal="justify" vertical="center" wrapText="1"/>
      <protection hidden="1"/>
    </xf>
    <xf numFmtId="165" fontId="2" fillId="64" borderId="0">
      <alignment horizontal="justify" vertical="center"/>
      <protection hidden="1"/>
    </xf>
    <xf numFmtId="165" fontId="2" fillId="65" borderId="0">
      <alignment horizontal="center" vertical="center" wrapText="1"/>
      <protection hidden="1"/>
    </xf>
  </cellStyleXfs>
  <cellXfs count="182">
    <xf numFmtId="165" fontId="0" fillId="0" borderId="0" xfId="0">
      <alignment vertical="center"/>
      <protection hidden="1"/>
    </xf>
    <xf numFmtId="165" fontId="2" fillId="0" borderId="0" xfId="0" applyNumberFormat="1" applyFo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wrapText="1"/>
      <protection hidden="1"/>
    </xf>
    <xf numFmtId="165" fontId="2" fillId="0" borderId="2" xfId="0" applyNumberFormat="1" applyFont="1" applyBorder="1" applyProtection="1">
      <alignment vertical="center"/>
      <protection hidden="1"/>
    </xf>
    <xf numFmtId="165" fontId="2" fillId="0" borderId="1" xfId="0" applyNumberFormat="1" applyFont="1" applyBorder="1" applyProtection="1">
      <alignment vertical="center"/>
      <protection hidden="1"/>
    </xf>
    <xf numFmtId="10" fontId="2" fillId="0" borderId="1" xfId="1" applyNumberFormat="1" applyFont="1" applyBorder="1" applyProtection="1">
      <protection hidden="1"/>
    </xf>
    <xf numFmtId="165" fontId="2" fillId="0" borderId="0" xfId="0" applyNumberFormat="1" applyFont="1" applyAlignment="1" applyProtection="1">
      <alignment horizontal="center" vertical="center" wrapText="1"/>
      <protection hidden="1"/>
    </xf>
    <xf numFmtId="165" fontId="2" fillId="0" borderId="0" xfId="0" applyFont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vertical="center"/>
      <protection hidden="1"/>
    </xf>
    <xf numFmtId="165" fontId="3" fillId="3" borderId="0" xfId="0" applyNumberFormat="1" applyFont="1" applyFill="1" applyAlignment="1" applyProtection="1">
      <alignment horizontal="center" vertical="center"/>
      <protection hidden="1"/>
    </xf>
    <xf numFmtId="165" fontId="2" fillId="2" borderId="0" xfId="0" applyNumberFormat="1" applyFont="1" applyFill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horizontal="center" vertical="center"/>
      <protection hidden="1"/>
    </xf>
    <xf numFmtId="165" fontId="2" fillId="0" borderId="2" xfId="0" applyNumberFormat="1" applyFont="1" applyBorder="1" applyAlignment="1" applyProtection="1">
      <alignment vertical="center"/>
      <protection hidden="1"/>
    </xf>
    <xf numFmtId="165" fontId="2" fillId="0" borderId="8" xfId="0" applyFont="1" applyBorder="1" applyAlignment="1" applyProtection="1">
      <alignment horizontal="center"/>
      <protection hidden="1"/>
    </xf>
    <xf numFmtId="170" fontId="2" fillId="0" borderId="0" xfId="1" applyNumberFormat="1" applyFont="1" applyAlignment="1" applyProtection="1">
      <alignment vertical="center"/>
      <protection hidden="1"/>
    </xf>
    <xf numFmtId="165" fontId="2" fillId="0" borderId="1" xfId="0" applyNumberFormat="1" applyFont="1" applyBorder="1" applyAlignment="1" applyProtection="1">
      <alignment vertical="center"/>
      <protection hidden="1"/>
    </xf>
    <xf numFmtId="170" fontId="2" fillId="0" borderId="1" xfId="1" applyNumberFormat="1" applyFont="1" applyBorder="1" applyAlignment="1" applyProtection="1">
      <alignment vertical="center"/>
      <protection hidden="1"/>
    </xf>
    <xf numFmtId="166" fontId="2" fillId="0" borderId="1" xfId="0" applyNumberFormat="1" applyFont="1" applyBorder="1" applyAlignment="1" applyProtection="1">
      <alignment vertical="center"/>
      <protection hidden="1"/>
    </xf>
    <xf numFmtId="10" fontId="2" fillId="0" borderId="0" xfId="1" applyNumberFormat="1" applyFont="1" applyAlignment="1" applyProtection="1">
      <alignment vertical="center"/>
      <protection hidden="1"/>
    </xf>
    <xf numFmtId="10" fontId="2" fillId="0" borderId="1" xfId="1" applyNumberFormat="1" applyFont="1" applyBorder="1" applyAlignment="1" applyProtection="1">
      <alignment vertical="center"/>
      <protection hidden="1"/>
    </xf>
    <xf numFmtId="165" fontId="2" fillId="0" borderId="3" xfId="0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 wrapText="1"/>
      <protection hidden="1"/>
    </xf>
    <xf numFmtId="165" fontId="2" fillId="0" borderId="0" xfId="0" applyNumberFormat="1" applyFont="1" applyAlignment="1" applyProtection="1">
      <alignment horizontal="justify" vertical="center"/>
      <protection hidden="1"/>
    </xf>
    <xf numFmtId="165" fontId="3" fillId="0" borderId="4" xfId="0" applyNumberFormat="1" applyFont="1" applyBorder="1" applyAlignment="1" applyProtection="1">
      <alignment horizontal="center" vertical="center" wrapText="1"/>
      <protection hidden="1"/>
    </xf>
    <xf numFmtId="165" fontId="3" fillId="0" borderId="2" xfId="0" applyNumberFormat="1" applyFont="1" applyBorder="1" applyAlignment="1" applyProtection="1">
      <alignment vertical="center"/>
      <protection hidden="1"/>
    </xf>
    <xf numFmtId="10" fontId="2" fillId="0" borderId="2" xfId="1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horizontal="left" vertical="center"/>
      <protection hidden="1"/>
    </xf>
    <xf numFmtId="166" fontId="2" fillId="0" borderId="1" xfId="0" applyNumberFormat="1" applyFont="1" applyBorder="1" applyAlignment="1" applyProtection="1">
      <alignment horizontal="center" vertical="center"/>
      <protection hidden="1"/>
    </xf>
    <xf numFmtId="166" fontId="2" fillId="0" borderId="2" xfId="0" applyNumberFormat="1" applyFont="1" applyBorder="1" applyAlignment="1" applyProtection="1">
      <alignment vertical="center"/>
      <protection hidden="1"/>
    </xf>
    <xf numFmtId="165" fontId="3" fillId="0" borderId="2" xfId="0" applyNumberFormat="1" applyFont="1" applyBorder="1" applyAlignment="1" applyProtection="1">
      <alignment horizontal="center" vertical="center"/>
      <protection hidden="1"/>
    </xf>
    <xf numFmtId="165" fontId="2" fillId="0" borderId="2" xfId="0" applyNumberFormat="1" applyFont="1" applyBorder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vertical="center"/>
      <protection hidden="1"/>
    </xf>
    <xf numFmtId="165" fontId="2" fillId="0" borderId="3" xfId="0" applyNumberFormat="1" applyFont="1" applyBorder="1" applyAlignment="1" applyProtection="1">
      <alignment horizontal="center" vertical="center"/>
      <protection hidden="1"/>
    </xf>
    <xf numFmtId="165" fontId="3" fillId="0" borderId="4" xfId="0" applyNumberFormat="1" applyFont="1" applyBorder="1" applyAlignment="1" applyProtection="1">
      <alignment horizontal="center" vertical="center"/>
      <protection hidden="1"/>
    </xf>
    <xf numFmtId="171" fontId="2" fillId="0" borderId="1" xfId="0" applyNumberFormat="1" applyFont="1" applyBorder="1" applyAlignment="1" applyProtection="1">
      <alignment vertical="center"/>
      <protection hidden="1"/>
    </xf>
    <xf numFmtId="165" fontId="2" fillId="0" borderId="7" xfId="0" applyNumberFormat="1" applyFont="1" applyBorder="1" applyAlignment="1" applyProtection="1">
      <alignment vertical="center"/>
      <protection hidden="1"/>
    </xf>
    <xf numFmtId="166" fontId="2" fillId="0" borderId="2" xfId="0" applyNumberFormat="1" applyFont="1" applyBorder="1" applyAlignment="1" applyProtection="1">
      <alignment vertical="center"/>
      <protection locked="0"/>
    </xf>
    <xf numFmtId="167" fontId="2" fillId="0" borderId="2" xfId="0" applyNumberFormat="1" applyFont="1" applyBorder="1" applyAlignment="1" applyProtection="1">
      <alignment vertical="center"/>
      <protection hidden="1"/>
    </xf>
    <xf numFmtId="165" fontId="2" fillId="4" borderId="2" xfId="0" applyNumberFormat="1" applyFont="1" applyFill="1" applyBorder="1" applyAlignment="1" applyProtection="1">
      <alignment horizontal="center" vertical="center"/>
      <protection hidden="1"/>
    </xf>
    <xf numFmtId="165" fontId="6" fillId="0" borderId="0" xfId="0" applyNumberFormat="1" applyFont="1" applyAlignment="1" applyProtection="1">
      <alignment vertical="center"/>
      <protection hidden="1"/>
    </xf>
    <xf numFmtId="171" fontId="2" fillId="0" borderId="2" xfId="0" applyNumberFormat="1" applyFont="1" applyBorder="1" applyAlignment="1" applyProtection="1">
      <alignment vertical="center"/>
      <protection hidden="1"/>
    </xf>
    <xf numFmtId="165" fontId="7" fillId="4" borderId="0" xfId="0" applyNumberFormat="1" applyFont="1" applyFill="1" applyAlignment="1" applyProtection="1">
      <alignment horizontal="center" vertical="center"/>
      <protection hidden="1"/>
    </xf>
    <xf numFmtId="170" fontId="2" fillId="0" borderId="2" xfId="1" applyNumberFormat="1" applyFont="1" applyBorder="1" applyAlignment="1" applyProtection="1">
      <alignment vertical="center"/>
      <protection hidden="1"/>
    </xf>
    <xf numFmtId="10" fontId="2" fillId="0" borderId="2" xfId="1" applyNumberFormat="1" applyFont="1" applyBorder="1" applyProtection="1">
      <protection hidden="1"/>
    </xf>
    <xf numFmtId="165" fontId="2" fillId="0" borderId="1" xfId="0" applyNumberFormat="1" applyFont="1" applyBorder="1" applyAlignment="1" applyProtection="1">
      <alignment vertical="center"/>
      <protection locked="0"/>
    </xf>
    <xf numFmtId="165" fontId="2" fillId="0" borderId="2" xfId="0" applyNumberFormat="1" applyFont="1" applyBorder="1" applyAlignment="1" applyProtection="1">
      <alignment horizontal="center" vertical="center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165" fontId="2" fillId="0" borderId="0" xfId="0" applyNumberFormat="1" applyFont="1" applyAlignment="1" applyProtection="1">
      <alignment horizontal="justify" vertical="center" wrapText="1"/>
      <protection hidden="1"/>
    </xf>
    <xf numFmtId="10" fontId="2" fillId="0" borderId="0" xfId="1" applyNumberFormat="1" applyFont="1" applyFill="1" applyBorder="1" applyProtection="1">
      <protection hidden="1"/>
    </xf>
    <xf numFmtId="167" fontId="2" fillId="0" borderId="0" xfId="0" applyNumberFormat="1" applyFont="1" applyProtection="1">
      <alignment vertical="center"/>
      <protection hidden="1"/>
    </xf>
    <xf numFmtId="10" fontId="2" fillId="0" borderId="0" xfId="1" applyNumberFormat="1" applyFont="1" applyFill="1" applyBorder="1" applyAlignment="1" applyProtection="1">
      <alignment vertical="center"/>
      <protection hidden="1"/>
    </xf>
    <xf numFmtId="165" fontId="3" fillId="0" borderId="0" xfId="0" applyNumberFormat="1" applyFont="1" applyAlignment="1" applyProtection="1">
      <alignment horizontal="left" vertical="center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165" fontId="3" fillId="0" borderId="0" xfId="0" applyNumberFormat="1" applyFont="1" applyAlignment="1" applyProtection="1">
      <alignment horizontal="center" vertical="center" wrapText="1"/>
      <protection hidden="1"/>
    </xf>
    <xf numFmtId="9" fontId="2" fillId="0" borderId="0" xfId="1" applyFont="1" applyFill="1" applyBorder="1" applyAlignment="1" applyProtection="1">
      <alignment horizontal="center" vertical="center" wrapText="1"/>
      <protection hidden="1"/>
    </xf>
    <xf numFmtId="167" fontId="2" fillId="0" borderId="0" xfId="0" applyNumberFormat="1" applyFont="1" applyAlignment="1" applyProtection="1">
      <alignment vertical="center"/>
      <protection hidden="1"/>
    </xf>
    <xf numFmtId="165" fontId="2" fillId="0" borderId="2" xfId="0" applyNumberFormat="1" applyFont="1" applyBorder="1" applyProtection="1">
      <alignment vertical="center"/>
      <protection locked="0"/>
    </xf>
    <xf numFmtId="165" fontId="3" fillId="0" borderId="2" xfId="0" applyNumberFormat="1" applyFont="1" applyBorder="1" applyAlignment="1" applyProtection="1">
      <alignment horizontal="center"/>
      <protection hidden="1"/>
    </xf>
    <xf numFmtId="165" fontId="2" fillId="0" borderId="1" xfId="0" applyNumberFormat="1" applyFont="1" applyBorder="1" applyAlignment="1" applyProtection="1">
      <alignment horizontal="center"/>
      <protection hidden="1"/>
    </xf>
    <xf numFmtId="165" fontId="3" fillId="3" borderId="0" xfId="0" applyNumberFormat="1" applyFont="1" applyFill="1" applyAlignment="1" applyProtection="1">
      <alignment horizontal="left" vertical="center"/>
      <protection hidden="1"/>
    </xf>
    <xf numFmtId="165" fontId="3" fillId="3" borderId="0" xfId="0" applyNumberFormat="1" applyFont="1" applyFill="1" applyAlignment="1" applyProtection="1">
      <alignment vertical="center"/>
      <protection hidden="1"/>
    </xf>
    <xf numFmtId="165" fontId="4" fillId="0" borderId="1" xfId="0" applyNumberFormat="1" applyFont="1" applyBorder="1" applyAlignment="1" applyProtection="1">
      <alignment horizontal="center" vertical="center"/>
      <protection hidden="1"/>
    </xf>
    <xf numFmtId="166" fontId="2" fillId="2" borderId="0" xfId="0" applyNumberFormat="1" applyFont="1" applyFill="1" applyAlignment="1" applyProtection="1">
      <alignment horizontal="center" vertical="center"/>
      <protection hidden="1"/>
    </xf>
    <xf numFmtId="166" fontId="2" fillId="2" borderId="2" xfId="0" applyNumberFormat="1" applyFont="1" applyFill="1" applyBorder="1" applyAlignment="1" applyProtection="1">
      <alignment horizontal="center" vertical="center"/>
      <protection hidden="1"/>
    </xf>
    <xf numFmtId="165" fontId="2" fillId="2" borderId="2" xfId="0" applyNumberFormat="1" applyFont="1" applyFill="1" applyBorder="1" applyAlignment="1" applyProtection="1">
      <alignment vertical="center"/>
      <protection hidden="1"/>
    </xf>
    <xf numFmtId="9" fontId="2" fillId="0" borderId="3" xfId="1" applyFont="1" applyBorder="1" applyAlignment="1" applyProtection="1">
      <alignment horizontal="center" vertical="center"/>
      <protection hidden="1"/>
    </xf>
    <xf numFmtId="165" fontId="2" fillId="0" borderId="1" xfId="0" applyNumberFormat="1" applyFont="1" applyBorder="1" applyProtection="1">
      <alignment vertical="center"/>
      <protection locked="0"/>
    </xf>
    <xf numFmtId="165" fontId="2" fillId="3" borderId="0" xfId="0" applyNumberFormat="1" applyFont="1" applyFill="1" applyAlignment="1" applyProtection="1">
      <alignment vertical="center"/>
      <protection hidden="1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165" fontId="3" fillId="3" borderId="0" xfId="0" applyNumberFormat="1" applyFont="1" applyFill="1" applyAlignment="1" applyProtection="1">
      <alignment horizontal="center"/>
      <protection hidden="1"/>
    </xf>
    <xf numFmtId="165" fontId="2" fillId="0" borderId="2" xfId="0" applyNumberFormat="1" applyFont="1" applyBorder="1" applyAlignment="1" applyProtection="1">
      <alignment horizontal="center"/>
      <protection hidden="1"/>
    </xf>
    <xf numFmtId="166" fontId="6" fillId="0" borderId="0" xfId="0" applyNumberFormat="1" applyFont="1" applyAlignment="1" applyProtection="1">
      <alignment vertical="center"/>
      <protection hidden="1"/>
    </xf>
    <xf numFmtId="165" fontId="2" fillId="0" borderId="2" xfId="0" applyNumberFormat="1" applyFont="1" applyBorder="1" applyAlignment="1" applyProtection="1">
      <alignment horizontal="left"/>
      <protection hidden="1"/>
    </xf>
    <xf numFmtId="165" fontId="2" fillId="0" borderId="1" xfId="0" applyNumberFormat="1" applyFont="1" applyBorder="1" applyAlignment="1" applyProtection="1">
      <alignment horizontal="left"/>
      <protection hidden="1"/>
    </xf>
    <xf numFmtId="165" fontId="2" fillId="2" borderId="0" xfId="0" applyNumberFormat="1" applyFont="1" applyFill="1" applyAlignment="1" applyProtection="1">
      <alignment horizontal="left"/>
      <protection hidden="1"/>
    </xf>
    <xf numFmtId="165" fontId="3" fillId="0" borderId="2" xfId="0" applyNumberFormat="1" applyFont="1" applyBorder="1" applyAlignment="1" applyProtection="1">
      <alignment vertical="center" wrapText="1"/>
      <protection hidden="1"/>
    </xf>
    <xf numFmtId="165" fontId="3" fillId="5" borderId="0" xfId="0" applyNumberFormat="1" applyFont="1" applyFill="1" applyAlignment="1" applyProtection="1">
      <alignment vertical="center"/>
      <protection hidden="1"/>
    </xf>
    <xf numFmtId="165" fontId="3" fillId="5" borderId="0" xfId="0" applyNumberFormat="1" applyFont="1" applyFill="1" applyAlignment="1" applyProtection="1">
      <alignment horizontal="center" vertical="center"/>
      <protection hidden="1"/>
    </xf>
    <xf numFmtId="165" fontId="3" fillId="4" borderId="0" xfId="0" applyNumberFormat="1" applyFont="1" applyFill="1" applyAlignment="1" applyProtection="1">
      <alignment horizontal="center" vertical="center"/>
      <protection hidden="1"/>
    </xf>
    <xf numFmtId="165" fontId="3" fillId="3" borderId="0" xfId="0" applyNumberFormat="1" applyFont="1" applyFill="1" applyAlignment="1" applyProtection="1">
      <alignment horizontal="center" vertical="center" wrapText="1"/>
      <protection hidden="1"/>
    </xf>
    <xf numFmtId="165" fontId="2" fillId="6" borderId="0" xfId="0" applyNumberFormat="1" applyFont="1" applyFill="1" applyAlignment="1" applyProtection="1">
      <alignment horizontal="left"/>
      <protection hidden="1"/>
    </xf>
    <xf numFmtId="165" fontId="2" fillId="2" borderId="5" xfId="0" applyNumberFormat="1" applyFont="1" applyFill="1" applyBorder="1" applyAlignment="1" applyProtection="1">
      <alignment horizontal="left"/>
      <protection hidden="1"/>
    </xf>
    <xf numFmtId="172" fontId="2" fillId="2" borderId="0" xfId="0" applyNumberFormat="1" applyFont="1" applyFill="1" applyProtection="1">
      <alignment vertical="center"/>
      <protection hidden="1"/>
    </xf>
    <xf numFmtId="172" fontId="2" fillId="6" borderId="0" xfId="0" applyNumberFormat="1" applyFont="1" applyFill="1" applyProtection="1">
      <alignment vertical="center"/>
      <protection hidden="1"/>
    </xf>
    <xf numFmtId="172" fontId="2" fillId="2" borderId="5" xfId="0" applyNumberFormat="1" applyFont="1" applyFill="1" applyBorder="1" applyProtection="1">
      <alignment vertical="center"/>
      <protection hidden="1"/>
    </xf>
    <xf numFmtId="172" fontId="2" fillId="2" borderId="0" xfId="0" quotePrefix="1" applyNumberFormat="1" applyFont="1" applyFill="1" applyAlignment="1" applyProtection="1">
      <alignment horizontal="center"/>
      <protection hidden="1"/>
    </xf>
    <xf numFmtId="172" fontId="2" fillId="6" borderId="0" xfId="0" applyNumberFormat="1" applyFont="1" applyFill="1" applyAlignment="1" applyProtection="1">
      <alignment horizontal="center"/>
      <protection hidden="1"/>
    </xf>
    <xf numFmtId="172" fontId="2" fillId="2" borderId="5" xfId="0" applyNumberFormat="1" applyFont="1" applyFill="1" applyBorder="1" applyAlignment="1" applyProtection="1">
      <alignment horizontal="center"/>
      <protection hidden="1"/>
    </xf>
    <xf numFmtId="165" fontId="6" fillId="0" borderId="2" xfId="0" applyNumberFormat="1" applyFont="1" applyBorder="1" applyAlignment="1" applyProtection="1">
      <alignment vertical="center"/>
      <protection hidden="1"/>
    </xf>
    <xf numFmtId="165" fontId="6" fillId="0" borderId="1" xfId="0" applyNumberFormat="1" applyFont="1" applyBorder="1" applyAlignment="1" applyProtection="1">
      <alignment vertical="center"/>
      <protection hidden="1"/>
    </xf>
    <xf numFmtId="165" fontId="3" fillId="2" borderId="3" xfId="0" applyNumberFormat="1" applyFont="1" applyFill="1" applyBorder="1" applyProtection="1">
      <alignment vertical="center"/>
      <protection hidden="1"/>
    </xf>
    <xf numFmtId="9" fontId="2" fillId="2" borderId="3" xfId="1" applyFont="1" applyFill="1" applyBorder="1" applyProtection="1">
      <protection hidden="1"/>
    </xf>
    <xf numFmtId="165" fontId="3" fillId="2" borderId="2" xfId="0" applyNumberFormat="1" applyFont="1" applyFill="1" applyBorder="1" applyProtection="1">
      <alignment vertical="center"/>
      <protection hidden="1"/>
    </xf>
    <xf numFmtId="165" fontId="2" fillId="2" borderId="2" xfId="0" applyNumberFormat="1" applyFont="1" applyFill="1" applyBorder="1" applyProtection="1">
      <alignment vertical="center"/>
      <protection hidden="1"/>
    </xf>
    <xf numFmtId="165" fontId="2" fillId="0" borderId="2" xfId="0" applyNumberFormat="1" applyFont="1" applyBorder="1" applyAlignment="1" applyProtection="1">
      <alignment vertical="center" wrapText="1"/>
      <protection hidden="1"/>
    </xf>
    <xf numFmtId="166" fontId="2" fillId="0" borderId="2" xfId="0" applyNumberFormat="1" applyFont="1" applyBorder="1" applyAlignment="1" applyProtection="1">
      <alignment vertical="center" wrapText="1"/>
      <protection hidden="1"/>
    </xf>
    <xf numFmtId="165" fontId="2" fillId="0" borderId="1" xfId="0" applyNumberFormat="1" applyFont="1" applyBorder="1" applyAlignment="1" applyProtection="1">
      <alignment vertical="center" wrapText="1"/>
      <protection hidden="1"/>
    </xf>
    <xf numFmtId="9" fontId="2" fillId="0" borderId="1" xfId="1" applyFont="1" applyBorder="1" applyAlignment="1" applyProtection="1">
      <alignment vertical="center" wrapText="1"/>
      <protection hidden="1"/>
    </xf>
    <xf numFmtId="174" fontId="2" fillId="0" borderId="1" xfId="0" applyNumberFormat="1" applyFont="1" applyBorder="1" applyAlignment="1" applyProtection="1">
      <alignment vertical="center"/>
      <protection hidden="1"/>
    </xf>
    <xf numFmtId="165" fontId="2" fillId="4" borderId="0" xfId="0" applyNumberFormat="1" applyFont="1" applyFill="1" applyAlignment="1" applyProtection="1">
      <alignment horizontal="center"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165" fontId="3" fillId="3" borderId="0" xfId="0" applyNumberFormat="1" applyFont="1" applyFill="1" applyAlignment="1" applyProtection="1">
      <alignment vertical="center"/>
      <protection hidden="1"/>
    </xf>
    <xf numFmtId="165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165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65" fontId="3" fillId="4" borderId="2" xfId="0" applyNumberFormat="1" applyFont="1" applyFill="1" applyBorder="1" applyAlignment="1" applyProtection="1">
      <alignment horizontal="center" vertical="center"/>
      <protection hidden="1"/>
    </xf>
    <xf numFmtId="165" fontId="2" fillId="0" borderId="1" xfId="0" applyNumberFormat="1" applyFont="1" applyBorder="1" applyAlignment="1" applyProtection="1">
      <alignment horizontal="left"/>
      <protection hidden="1"/>
    </xf>
    <xf numFmtId="165" fontId="6" fillId="0" borderId="2" xfId="0" applyNumberFormat="1" applyFont="1" applyBorder="1" applyAlignment="1" applyProtection="1">
      <alignment vertical="center"/>
      <protection hidden="1"/>
    </xf>
    <xf numFmtId="165" fontId="2" fillId="0" borderId="2" xfId="0" applyNumberFormat="1" applyFont="1" applyBorder="1" applyAlignment="1" applyProtection="1">
      <alignment vertical="center"/>
      <protection hidden="1"/>
    </xf>
    <xf numFmtId="165" fontId="3" fillId="3" borderId="0" xfId="0" applyNumberFormat="1" applyFont="1" applyFill="1" applyAlignment="1" applyProtection="1">
      <alignment horizontal="left" vertical="center"/>
      <protection hidden="1"/>
    </xf>
    <xf numFmtId="165" fontId="2" fillId="0" borderId="0" xfId="0" applyNumberFormat="1" applyFont="1" applyAlignment="1" applyProtection="1">
      <alignment horizontal="justify" vertical="center" wrapText="1"/>
      <protection hidden="1"/>
    </xf>
    <xf numFmtId="166" fontId="2" fillId="0" borderId="4" xfId="0" applyNumberFormat="1" applyFont="1" applyBorder="1" applyAlignment="1" applyProtection="1">
      <alignment horizontal="center" vertical="center" wrapText="1"/>
      <protection hidden="1"/>
    </xf>
    <xf numFmtId="165" fontId="6" fillId="0" borderId="3" xfId="0" applyNumberFormat="1" applyFont="1" applyBorder="1" applyAlignment="1" applyProtection="1">
      <alignment horizontal="justify" vertical="center" wrapText="1"/>
      <protection hidden="1"/>
    </xf>
    <xf numFmtId="165" fontId="6" fillId="0" borderId="2" xfId="0" applyNumberFormat="1" applyFont="1" applyBorder="1" applyAlignment="1" applyProtection="1">
      <alignment horizontal="justify" vertical="center" wrapText="1"/>
      <protection hidden="1"/>
    </xf>
    <xf numFmtId="165" fontId="2" fillId="0" borderId="4" xfId="0" applyNumberFormat="1" applyFont="1" applyBorder="1" applyAlignment="1" applyProtection="1">
      <alignment horizontal="justify" vertical="center" wrapText="1"/>
      <protection hidden="1"/>
    </xf>
    <xf numFmtId="9" fontId="2" fillId="0" borderId="4" xfId="1" applyFont="1" applyBorder="1" applyAlignment="1" applyProtection="1">
      <alignment horizontal="center" vertical="center" wrapText="1"/>
      <protection hidden="1"/>
    </xf>
    <xf numFmtId="165" fontId="3" fillId="0" borderId="6" xfId="0" applyNumberFormat="1" applyFont="1" applyBorder="1" applyAlignment="1" applyProtection="1">
      <alignment horizontal="right" vertical="center" textRotation="90" wrapText="1"/>
      <protection hidden="1"/>
    </xf>
    <xf numFmtId="165" fontId="2" fillId="2" borderId="0" xfId="0" applyNumberFormat="1" applyFont="1" applyFill="1" applyAlignment="1" applyProtection="1">
      <alignment horizontal="left" vertical="center"/>
      <protection hidden="1"/>
    </xf>
    <xf numFmtId="165" fontId="2" fillId="0" borderId="0" xfId="0" applyNumberFormat="1" applyFont="1" applyAlignment="1" applyProtection="1">
      <alignment horizontal="justify" vertical="center"/>
      <protection hidden="1"/>
    </xf>
    <xf numFmtId="165" fontId="2" fillId="0" borderId="0" xfId="0" applyNumberFormat="1" applyFont="1" applyAlignment="1" applyProtection="1">
      <alignment vertical="center" wrapText="1"/>
      <protection hidden="1"/>
    </xf>
    <xf numFmtId="10" fontId="6" fillId="0" borderId="3" xfId="1" applyNumberFormat="1" applyFont="1" applyBorder="1" applyAlignment="1" applyProtection="1">
      <alignment horizontal="center" vertical="center"/>
      <protection hidden="1"/>
    </xf>
    <xf numFmtId="10" fontId="6" fillId="0" borderId="2" xfId="1" applyNumberFormat="1" applyFont="1" applyBorder="1" applyAlignment="1" applyProtection="1">
      <alignment horizontal="center" vertical="center"/>
      <protection hidden="1"/>
    </xf>
    <xf numFmtId="165" fontId="3" fillId="5" borderId="0" xfId="0" applyNumberFormat="1" applyFont="1" applyFill="1" applyAlignment="1" applyProtection="1">
      <alignment vertical="center"/>
      <protection hidden="1"/>
    </xf>
    <xf numFmtId="165" fontId="3" fillId="5" borderId="0" xfId="0" applyNumberFormat="1" applyFont="1" applyFill="1" applyAlignment="1" applyProtection="1">
      <alignment horizontal="center" vertical="center"/>
      <protection hidden="1"/>
    </xf>
    <xf numFmtId="165" fontId="3" fillId="4" borderId="0" xfId="0" applyNumberFormat="1" applyFont="1" applyFill="1" applyAlignment="1" applyProtection="1">
      <alignment horizontal="center" vertical="center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165" fontId="2" fillId="0" borderId="2" xfId="0" applyNumberFormat="1" applyFont="1" applyBorder="1" applyAlignment="1" applyProtection="1">
      <alignment horizontal="center" vertical="center"/>
      <protection hidden="1"/>
    </xf>
    <xf numFmtId="165" fontId="7" fillId="2" borderId="0" xfId="0" applyNumberFormat="1" applyFont="1" applyFill="1" applyAlignment="1" applyProtection="1">
      <alignment horizontal="center" vertical="center"/>
      <protection hidden="1"/>
    </xf>
    <xf numFmtId="165" fontId="7" fillId="4" borderId="0" xfId="0" applyNumberFormat="1" applyFont="1" applyFill="1" applyAlignment="1" applyProtection="1">
      <alignment horizontal="center" vertical="center"/>
      <protection hidden="1"/>
    </xf>
    <xf numFmtId="165" fontId="6" fillId="0" borderId="3" xfId="0" applyNumberFormat="1" applyFont="1" applyBorder="1" applyAlignment="1" applyProtection="1">
      <alignment horizontal="center" vertical="center" wrapText="1"/>
      <protection hidden="1"/>
    </xf>
    <xf numFmtId="165" fontId="6" fillId="0" borderId="2" xfId="0" applyNumberFormat="1" applyFont="1" applyBorder="1" applyAlignment="1" applyProtection="1">
      <alignment horizontal="center" vertical="center" wrapText="1"/>
      <protection hidden="1"/>
    </xf>
    <xf numFmtId="165" fontId="2" fillId="3" borderId="0" xfId="0" applyNumberFormat="1" applyFont="1" applyFill="1" applyAlignment="1" applyProtection="1">
      <alignment horizontal="center" vertical="center"/>
      <protection hidden="1"/>
    </xf>
    <xf numFmtId="165" fontId="3" fillId="0" borderId="2" xfId="0" applyNumberFormat="1" applyFont="1" applyBorder="1" applyAlignment="1" applyProtection="1">
      <alignment horizontal="center" vertical="center" wrapText="1"/>
      <protection hidden="1"/>
    </xf>
    <xf numFmtId="165" fontId="2" fillId="0" borderId="1" xfId="0" applyNumberFormat="1" applyFont="1" applyBorder="1" applyAlignment="1" applyProtection="1">
      <alignment vertical="center"/>
      <protection hidden="1"/>
    </xf>
    <xf numFmtId="165" fontId="3" fillId="0" borderId="2" xfId="0" applyNumberFormat="1" applyFont="1" applyBorder="1" applyAlignment="1" applyProtection="1">
      <alignment vertical="center"/>
      <protection hidden="1"/>
    </xf>
    <xf numFmtId="165" fontId="3" fillId="0" borderId="2" xfId="0" applyNumberFormat="1" applyFont="1" applyBorder="1" applyAlignment="1" applyProtection="1">
      <alignment horizontal="center" vertical="center"/>
      <protection hidden="1"/>
    </xf>
    <xf numFmtId="165" fontId="3" fillId="0" borderId="2" xfId="0" applyNumberFormat="1" applyFont="1" applyBorder="1" applyAlignment="1" applyProtection="1">
      <alignment horizontal="left" vertical="center"/>
      <protection hidden="1"/>
    </xf>
    <xf numFmtId="165" fontId="3" fillId="0" borderId="4" xfId="0" applyNumberFormat="1" applyFont="1" applyBorder="1" applyAlignment="1" applyProtection="1">
      <alignment horizontal="center" vertical="center"/>
      <protection hidden="1"/>
    </xf>
    <xf numFmtId="165" fontId="2" fillId="0" borderId="4" xfId="0" applyNumberFormat="1" applyFont="1" applyBorder="1" applyAlignment="1" applyProtection="1">
      <alignment horizontal="center" vertical="center"/>
      <protection hidden="1"/>
    </xf>
    <xf numFmtId="165" fontId="2" fillId="0" borderId="0" xfId="0" applyNumberFormat="1" applyFont="1" applyAlignment="1" applyProtection="1">
      <alignment horizontal="center" vertical="center" wrapText="1"/>
      <protection hidden="1"/>
    </xf>
    <xf numFmtId="165" fontId="2" fillId="0" borderId="2" xfId="0" applyNumberFormat="1" applyFont="1" applyBorder="1" applyAlignment="1" applyProtection="1">
      <alignment horizontal="center" vertical="center" wrapText="1"/>
      <protection hidden="1"/>
    </xf>
    <xf numFmtId="171" fontId="2" fillId="0" borderId="1" xfId="0" applyNumberFormat="1" applyFont="1" applyBorder="1" applyAlignment="1" applyProtection="1">
      <alignment horizontal="center" vertical="center"/>
      <protection hidden="1"/>
    </xf>
    <xf numFmtId="165" fontId="3" fillId="0" borderId="4" xfId="0" applyNumberFormat="1" applyFont="1" applyBorder="1" applyAlignment="1" applyProtection="1">
      <alignment horizontal="center" vertical="center" wrapText="1"/>
      <protection hidden="1"/>
    </xf>
    <xf numFmtId="165" fontId="2" fillId="0" borderId="2" xfId="0" applyNumberFormat="1" applyFont="1" applyBorder="1" applyAlignment="1" applyProtection="1">
      <alignment horizontal="left" vertical="center"/>
      <protection hidden="1"/>
    </xf>
    <xf numFmtId="165" fontId="2" fillId="0" borderId="1" xfId="0" applyNumberFormat="1" applyFont="1" applyBorder="1" applyProtection="1">
      <alignment vertical="center"/>
      <protection hidden="1"/>
    </xf>
    <xf numFmtId="169" fontId="2" fillId="0" borderId="0" xfId="0" applyNumberFormat="1" applyFont="1" applyAlignment="1" applyProtection="1">
      <alignment horizontal="justify" vertical="center" wrapText="1"/>
      <protection hidden="1"/>
    </xf>
    <xf numFmtId="165" fontId="13" fillId="0" borderId="0" xfId="0" applyNumberFormat="1" applyFont="1" applyAlignment="1" applyProtection="1">
      <alignment vertical="center"/>
      <protection hidden="1"/>
    </xf>
    <xf numFmtId="165" fontId="13" fillId="0" borderId="0" xfId="0" applyNumberFormat="1" applyFont="1" applyProtection="1">
      <alignment vertical="center"/>
      <protection hidden="1"/>
    </xf>
    <xf numFmtId="165" fontId="13" fillId="0" borderId="0" xfId="0" applyNumberFormat="1" applyFont="1" applyAlignment="1" applyProtection="1">
      <alignment horizontal="justify" vertical="center"/>
      <protection hidden="1"/>
    </xf>
    <xf numFmtId="165" fontId="13" fillId="0" borderId="0" xfId="0" applyNumberFormat="1" applyFont="1" applyAlignment="1" applyProtection="1">
      <alignment horizontal="right" vertical="center"/>
      <protection hidden="1"/>
    </xf>
    <xf numFmtId="165" fontId="15" fillId="0" borderId="0" xfId="0" applyNumberFormat="1" applyFont="1" applyAlignment="1" applyProtection="1">
      <alignment horizontal="justify" vertical="center"/>
      <protection hidden="1"/>
    </xf>
    <xf numFmtId="165" fontId="15" fillId="0" borderId="0" xfId="0" applyFont="1" applyAlignment="1" applyProtection="1">
      <alignment horizontal="justify" vertical="center"/>
      <protection hidden="1"/>
    </xf>
    <xf numFmtId="165" fontId="12" fillId="0" borderId="0" xfId="0" applyNumberFormat="1" applyFont="1" applyProtection="1">
      <alignment vertical="center"/>
      <protection hidden="1"/>
    </xf>
    <xf numFmtId="165" fontId="16" fillId="0" borderId="0" xfId="0" applyNumberFormat="1" applyFont="1" applyAlignment="1" applyProtection="1">
      <alignment vertical="center"/>
      <protection hidden="1"/>
    </xf>
    <xf numFmtId="165" fontId="13" fillId="0" borderId="0" xfId="0" applyNumberFormat="1" applyFont="1" applyAlignment="1" applyProtection="1">
      <alignment horizontal="justify" vertical="center" wrapText="1"/>
      <protection hidden="1"/>
    </xf>
    <xf numFmtId="165" fontId="12" fillId="0" borderId="0" xfId="0" applyNumberFormat="1" applyFont="1" applyAlignment="1" applyProtection="1">
      <alignment horizontal="left" vertical="center"/>
      <protection hidden="1"/>
    </xf>
    <xf numFmtId="165" fontId="12" fillId="0" borderId="0" xfId="0" applyNumberFormat="1" applyFont="1" applyAlignment="1" applyProtection="1">
      <alignment vertical="center"/>
      <protection hidden="1"/>
    </xf>
    <xf numFmtId="165" fontId="13" fillId="0" borderId="0" xfId="0" applyNumberFormat="1" applyFont="1" applyAlignment="1" applyProtection="1">
      <alignment horizontal="center"/>
      <protection hidden="1"/>
    </xf>
    <xf numFmtId="165" fontId="13" fillId="0" borderId="0" xfId="0" applyNumberFormat="1" applyFont="1" applyAlignment="1" applyProtection="1">
      <alignment horizontal="left" vertical="center" indent="1"/>
      <protection hidden="1"/>
    </xf>
    <xf numFmtId="165" fontId="13" fillId="0" borderId="0" xfId="0" applyNumberFormat="1" applyFont="1" applyAlignment="1" applyProtection="1">
      <alignment horizontal="left" indent="1"/>
      <protection hidden="1"/>
    </xf>
    <xf numFmtId="165" fontId="13" fillId="0" borderId="0" xfId="0" applyNumberFormat="1" applyFont="1" applyAlignment="1" applyProtection="1">
      <alignment wrapText="1"/>
      <protection hidden="1"/>
    </xf>
    <xf numFmtId="169" fontId="13" fillId="0" borderId="0" xfId="0" applyNumberFormat="1" applyFont="1" applyAlignment="1" applyProtection="1">
      <alignment horizontal="justify" vertical="center" wrapText="1"/>
      <protection hidden="1"/>
    </xf>
    <xf numFmtId="10" fontId="13" fillId="0" borderId="0" xfId="1" applyNumberFormat="1" applyFont="1" applyFill="1" applyBorder="1" applyAlignment="1" applyProtection="1">
      <alignment vertical="center"/>
      <protection hidden="1"/>
    </xf>
    <xf numFmtId="10" fontId="13" fillId="0" borderId="0" xfId="1" applyNumberFormat="1" applyFont="1" applyFill="1" applyBorder="1" applyProtection="1">
      <protection hidden="1"/>
    </xf>
    <xf numFmtId="166" fontId="13" fillId="0" borderId="0" xfId="0" applyNumberFormat="1" applyFont="1" applyAlignment="1" applyProtection="1">
      <alignment vertical="center"/>
      <protection hidden="1"/>
    </xf>
    <xf numFmtId="165" fontId="13" fillId="0" borderId="0" xfId="0" applyNumberFormat="1" applyFont="1" applyProtection="1">
      <alignment vertical="center"/>
      <protection hidden="1"/>
    </xf>
    <xf numFmtId="165" fontId="13" fillId="0" borderId="0" xfId="0" applyNumberFormat="1" applyFont="1" applyAlignment="1" applyProtection="1">
      <alignment horizontal="center" vertical="center" wrapText="1"/>
      <protection hidden="1"/>
    </xf>
    <xf numFmtId="168" fontId="13" fillId="0" borderId="0" xfId="0" applyNumberFormat="1" applyFont="1" applyAlignment="1" applyProtection="1">
      <alignment vertical="center"/>
      <protection hidden="1"/>
    </xf>
    <xf numFmtId="165" fontId="13" fillId="0" borderId="0" xfId="1" applyNumberFormat="1" applyFont="1" applyFill="1" applyBorder="1" applyProtection="1">
      <protection hidden="1"/>
    </xf>
    <xf numFmtId="166" fontId="13" fillId="0" borderId="0" xfId="0" applyNumberFormat="1" applyFont="1" applyAlignment="1" applyProtection="1">
      <alignment horizontal="center" wrapText="1"/>
      <protection hidden="1"/>
    </xf>
    <xf numFmtId="171" fontId="13" fillId="0" borderId="0" xfId="0" applyNumberFormat="1" applyFont="1" applyAlignment="1" applyProtection="1">
      <alignment wrapText="1"/>
      <protection hidden="1"/>
    </xf>
    <xf numFmtId="166" fontId="13" fillId="0" borderId="0" xfId="0" applyNumberFormat="1" applyFont="1" applyAlignment="1" applyProtection="1">
      <alignment horizontal="center"/>
      <protection hidden="1"/>
    </xf>
    <xf numFmtId="11" fontId="13" fillId="0" borderId="0" xfId="0" applyNumberFormat="1" applyFont="1" applyProtection="1">
      <alignment vertical="center"/>
      <protection hidden="1"/>
    </xf>
    <xf numFmtId="167" fontId="13" fillId="0" borderId="0" xfId="0" applyNumberFormat="1" applyFont="1" applyProtection="1">
      <alignment vertical="center"/>
      <protection hidden="1"/>
    </xf>
    <xf numFmtId="173" fontId="13" fillId="0" borderId="0" xfId="0" applyNumberFormat="1" applyFont="1" applyProtection="1">
      <alignment vertical="center"/>
      <protection hidden="1"/>
    </xf>
    <xf numFmtId="170" fontId="13" fillId="0" borderId="0" xfId="1" applyNumberFormat="1" applyFont="1" applyProtection="1">
      <protection hidden="1"/>
    </xf>
    <xf numFmtId="11" fontId="13" fillId="0" borderId="0" xfId="0" applyNumberFormat="1" applyFont="1" applyAlignment="1" applyProtection="1">
      <alignment wrapText="1"/>
      <protection hidden="1"/>
    </xf>
    <xf numFmtId="166" fontId="13" fillId="0" borderId="0" xfId="0" applyNumberFormat="1" applyFont="1" applyProtection="1">
      <alignment vertical="center"/>
      <protection hidden="1"/>
    </xf>
    <xf numFmtId="174" fontId="13" fillId="0" borderId="0" xfId="0" applyNumberFormat="1" applyFont="1" applyProtection="1">
      <alignment vertical="center"/>
      <protection hidden="1"/>
    </xf>
    <xf numFmtId="165" fontId="13" fillId="43" borderId="0" xfId="43" applyProtection="1">
      <alignment horizontal="justify" vertical="center" wrapText="1"/>
      <protection hidden="1"/>
    </xf>
    <xf numFmtId="165" fontId="2" fillId="0" borderId="0" xfId="0" applyFont="1" applyProtection="1">
      <alignment vertical="center"/>
      <protection hidden="1"/>
    </xf>
    <xf numFmtId="165" fontId="3" fillId="3" borderId="0" xfId="0" applyNumberFormat="1" applyFont="1" applyFill="1" applyAlignment="1" applyProtection="1">
      <alignment horizontal="center" vertical="center" wrapText="1"/>
      <protection locked="0"/>
    </xf>
  </cellXfs>
  <cellStyles count="66">
    <cellStyle name="40% - Ênfase6" xfId="3" builtinId="51" customBuiltin="1"/>
    <cellStyle name="APT1" xfId="4" xr:uid="{D332CA66-A07B-4965-942D-6A4EB0D81F20}"/>
    <cellStyle name="APT2" xfId="5" xr:uid="{62F18281-2DD5-490D-B01C-05BDDDA440DD}"/>
    <cellStyle name="APT3" xfId="6" xr:uid="{9A7BAADE-DB94-4301-8B56-5BF7BA4F2CCD}"/>
    <cellStyle name="APT4" xfId="7" xr:uid="{F956C33B-DB85-4106-94B6-75442CA4EFD2}"/>
    <cellStyle name="APT5" xfId="8" xr:uid="{580F4524-6DCE-49EA-B01D-80DDDCE29970}"/>
    <cellStyle name="AZUL1" xfId="9" xr:uid="{80047BE5-6535-448F-A5ED-CE142BF6AEEF}"/>
    <cellStyle name="AZUL2" xfId="10" xr:uid="{E1F1B707-6D48-4B61-B703-3C99A4E498F1}"/>
    <cellStyle name="AZUL3" xfId="11" xr:uid="{454F001C-0693-49B2-B471-78B725008365}"/>
    <cellStyle name="AZUL4" xfId="12" xr:uid="{0DCE32AD-6137-4CEB-8A76-0346E64920AB}"/>
    <cellStyle name="AZUL5" xfId="13" xr:uid="{45824FE9-1595-42C3-940A-2C29FBB7553C}"/>
    <cellStyle name="CLARO1" xfId="14" xr:uid="{35B00D99-B62C-4504-A4F4-9A77E8AD45AE}"/>
    <cellStyle name="COMERCIAL1" xfId="15" xr:uid="{5BE9C88B-A420-4E45-9D59-76A04F54CC65}"/>
    <cellStyle name="COMERCIAL2" xfId="16" xr:uid="{7531535A-0F11-48D0-9AF2-3629D44B3AAA}"/>
    <cellStyle name="COMERCIAL3" xfId="17" xr:uid="{C5A968F6-ECB1-47BC-A19A-CD33B157B99D}"/>
    <cellStyle name="COMERCIAL4" xfId="18" xr:uid="{7B58190A-9238-4737-8261-AB3AC12005CD}"/>
    <cellStyle name="COMERCIAL5" xfId="19" xr:uid="{DA214F11-2C69-4B8C-BC9C-067975D40469}"/>
    <cellStyle name="Ênfase6" xfId="2" builtinId="49" customBuiltin="1"/>
    <cellStyle name="ESCURO1" xfId="20" xr:uid="{F0DC9D11-535B-4CA8-B426-394432C1C2F9}"/>
    <cellStyle name="ESTILO1" xfId="21" xr:uid="{E6935615-BFE7-4640-8307-B63F90943DC6}"/>
    <cellStyle name="ESTILO2" xfId="22" xr:uid="{9C0BABF7-E0D5-403E-B745-A7AD6153D9D8}"/>
    <cellStyle name="ESTILO3" xfId="23" xr:uid="{24983CE9-71A0-4B51-93D5-1D87998E8BD1}"/>
    <cellStyle name="ESTILO4" xfId="24" xr:uid="{74E3F6FB-9647-459E-A898-AA7A6FA79027}"/>
    <cellStyle name="ESTILO5" xfId="25" xr:uid="{77FC8898-CABE-431C-8040-6826F266CD3C}"/>
    <cellStyle name="FORTE1" xfId="26" xr:uid="{308006DE-504D-499F-ACEE-5F96C6B7F3B7}"/>
    <cellStyle name="FORTE2" xfId="27" xr:uid="{4DA17306-6719-4266-B85B-9CE427913E41}"/>
    <cellStyle name="FORTE3" xfId="28" xr:uid="{75DDC573-C4D5-4C49-BFE7-D39BEEB6DB61}"/>
    <cellStyle name="FORTE4" xfId="29" xr:uid="{A8E7FE5D-C949-4503-8F54-1EDF5A1BEC7B}"/>
    <cellStyle name="FORTE5" xfId="30" xr:uid="{8739BDD5-3F23-4494-833C-087103125D9A}"/>
    <cellStyle name="Inverso" xfId="31" xr:uid="{EA3DEFF5-C3C9-4396-8C8D-1C068449C671}"/>
    <cellStyle name="JTAMARELO 1" xfId="32" xr:uid="{D21D23E3-E534-43DB-91DE-93709FD6C3D4}"/>
    <cellStyle name="JTAMARELO 2" xfId="33" xr:uid="{090BF1DB-90C9-453F-A39D-6A2C240D939C}"/>
    <cellStyle name="JTAZUL 1" xfId="34" xr:uid="{3D08EA79-C56B-494A-AFB6-6473EE95D77F}"/>
    <cellStyle name="JTAZUL 2" xfId="35" xr:uid="{01272AF2-43A2-4D99-8A67-A42C58079925}"/>
    <cellStyle name="JTVERDE 1" xfId="36" xr:uid="{78D85972-5AAE-4FBC-AA14-5E1E5F88F845}"/>
    <cellStyle name="JTVERDE 2" xfId="37" xr:uid="{7613578A-F0F9-4E44-8289-422FAA8E868C}"/>
    <cellStyle name="LINHA1" xfId="38" xr:uid="{EEEF43E9-1A01-48EA-95E3-64229BEA97C4}"/>
    <cellStyle name="LINHA2" xfId="39" xr:uid="{3D99D885-B3B7-4FD0-A373-DC9AF53AB47F}"/>
    <cellStyle name="LINHA3" xfId="40" xr:uid="{D7C7BF07-1E56-431B-A3EF-CD87FD29AC9A}"/>
    <cellStyle name="LINHA4" xfId="41" xr:uid="{FEA72965-4868-422B-A9A9-DDC191D52080}"/>
    <cellStyle name="LINHA5" xfId="42" xr:uid="{239D6058-7AE8-48A2-A1F4-997DF9B58D3C}"/>
    <cellStyle name="Normal" xfId="0" builtinId="0" customBuiltin="1"/>
    <cellStyle name="Porcentagem" xfId="1" builtinId="5"/>
    <cellStyle name="RESEDA" xfId="43" xr:uid="{73FDBB9E-4961-4F83-868F-1BB69655DDC7}"/>
    <cellStyle name="RESEDA1" xfId="44" xr:uid="{32FED0F1-5BB7-445A-A647-CE7D133DA516}"/>
    <cellStyle name="RESEDA2" xfId="45" xr:uid="{A6FA89F9-1936-46F8-BF14-F05D08288F3C}"/>
    <cellStyle name="RESEDA3" xfId="46" xr:uid="{58B069F2-9E12-452C-B466-5AD663E3ED73}"/>
    <cellStyle name="RESEDA4" xfId="47" xr:uid="{5603EC9F-FE1A-413D-BD19-9D2B2E3A7CC5}"/>
    <cellStyle name="RESEDA5" xfId="48" xr:uid="{D735E3D9-DAA1-44EF-BB42-C1BC493164A1}"/>
    <cellStyle name="RESEDA6" xfId="49" xr:uid="{A446C5A6-EBDD-4C62-AE96-522D4850D5E5}"/>
    <cellStyle name="RESID1" xfId="50" xr:uid="{6E34277B-6501-47C5-841E-06EC23B51848}"/>
    <cellStyle name="RESID2" xfId="51" xr:uid="{6E73BF4E-5CF7-4F20-8F15-7906EDF88E8C}"/>
    <cellStyle name="RESID3" xfId="52" xr:uid="{4D1328F8-4F6C-4C3F-8457-8532C6F6F080}"/>
    <cellStyle name="RESID4" xfId="53" xr:uid="{4D1CCE2E-4962-4EB4-900C-77045E898FDD}"/>
    <cellStyle name="RESID5" xfId="54" xr:uid="{96CBEDE3-DD63-4844-B529-0B16434B32DC}"/>
    <cellStyle name="RURAL1" xfId="55" xr:uid="{5AAB169E-6EA8-4530-8F5B-BAD4195C74A8}"/>
    <cellStyle name="RURAL2" xfId="56" xr:uid="{6B3732BE-2D40-425C-B968-FA9CF2982727}"/>
    <cellStyle name="RURAL3" xfId="57" xr:uid="{F47FE22E-9591-4D03-BBDD-AABC19F3421B}"/>
    <cellStyle name="RURAL4" xfId="58" xr:uid="{C304A455-537B-4647-B4FF-C5CB97760D6D}"/>
    <cellStyle name="RURAL5" xfId="59" xr:uid="{10B18312-CCDE-4E4E-891A-B4D74C9C7121}"/>
    <cellStyle name="VERDE" xfId="60" xr:uid="{F12DACC2-E90D-4835-B6AB-48A53A5482FD}"/>
    <cellStyle name="VERDE1" xfId="61" xr:uid="{488D627C-4C12-442A-A8B1-8ABDE34EB019}"/>
    <cellStyle name="VERDE2" xfId="62" xr:uid="{365EF13A-756F-4E1A-9788-D34F0306E20E}"/>
    <cellStyle name="VERDE3" xfId="63" xr:uid="{4A45710B-4F9D-489A-9ECE-D39D1C244992}"/>
    <cellStyle name="VERDE4" xfId="64" xr:uid="{0CA4FDE1-D357-4C91-8260-90CBD289CE3D}"/>
    <cellStyle name="VERDE5" xfId="65" xr:uid="{C8659601-B5D0-49A9-938D-539343FC8B0B}"/>
  </cellStyles>
  <dxfs count="14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B9CFD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 sz="1050"/>
              <a:t>Dispersão dos resíduos padronizados no intervalo [-2;+2]</a:t>
            </a:r>
          </a:p>
        </c:rich>
      </c:tx>
      <c:layout>
        <c:manualLayout>
          <c:xMode val="edge"/>
          <c:yMode val="edge"/>
          <c:x val="0.34264069810914483"/>
          <c:y val="2.0661776480483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v>Limite superior</c:v>
          </c:tx>
          <c:spPr>
            <a:ln w="12700" cap="sq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2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  <c:pt idx="6">
                <c:v>2</c:v>
              </c:pt>
              <c:pt idx="7">
                <c:v>2</c:v>
              </c:pt>
              <c:pt idx="8">
                <c:v>2</c:v>
              </c:pt>
              <c:pt idx="9">
                <c:v>2</c:v>
              </c:pt>
              <c:pt idx="10">
                <c:v>2</c:v>
              </c:pt>
              <c:pt idx="11">
                <c:v>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3CA-4389-9AEE-7C07545D6E1B}"/>
            </c:ext>
          </c:extLst>
        </c:ser>
        <c:ser>
          <c:idx val="2"/>
          <c:order val="2"/>
          <c:tx>
            <c:v>Limite inferior</c:v>
          </c:tx>
          <c:spPr>
            <a:ln w="12700" cap="sq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2"/>
              <c:pt idx="0">
                <c:v>-2</c:v>
              </c:pt>
              <c:pt idx="1">
                <c:v>-2</c:v>
              </c:pt>
              <c:pt idx="2">
                <c:v>-2</c:v>
              </c:pt>
              <c:pt idx="3">
                <c:v>-2</c:v>
              </c:pt>
              <c:pt idx="4">
                <c:v>-2</c:v>
              </c:pt>
              <c:pt idx="5">
                <c:v>-2</c:v>
              </c:pt>
              <c:pt idx="6">
                <c:v>-2</c:v>
              </c:pt>
              <c:pt idx="7">
                <c:v>-2</c:v>
              </c:pt>
              <c:pt idx="8">
                <c:v>-2</c:v>
              </c:pt>
              <c:pt idx="9">
                <c:v>-2</c:v>
              </c:pt>
              <c:pt idx="10">
                <c:v>-2</c:v>
              </c:pt>
              <c:pt idx="11">
                <c:v>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3CA-4389-9AEE-7C07545D6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477712"/>
        <c:axId val="1113478192"/>
      </c:lineChart>
      <c:scatterChart>
        <c:scatterStyle val="lineMarker"/>
        <c:varyColors val="0"/>
        <c:ser>
          <c:idx val="0"/>
          <c:order val="0"/>
          <c:tx>
            <c:strRef>
              <c:f>'RESULTADOS DA REGRESSÃO'!$F$228</c:f>
              <c:strCache>
                <c:ptCount val="1"/>
                <c:pt idx="0">
                  <c:v>Resíduo padronizado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yVal>
            <c:numRef>
              <c:f>'RESULTADOS DA REGRESSÃO'!$F$229:$F$240</c:f>
              <c:numCache>
                <c:formatCode>#,##0.00_ ;\-#,##0.00\ </c:formatCode>
                <c:ptCount val="12"/>
                <c:pt idx="0">
                  <c:v>-0.96283470866379794</c:v>
                </c:pt>
                <c:pt idx="1">
                  <c:v>-0.96283470866379794</c:v>
                </c:pt>
                <c:pt idx="2">
                  <c:v>-0.31128768669368057</c:v>
                </c:pt>
                <c:pt idx="3">
                  <c:v>-0.18354308500271796</c:v>
                </c:pt>
                <c:pt idx="4">
                  <c:v>1.1195509589375168</c:v>
                </c:pt>
                <c:pt idx="5">
                  <c:v>1.1195509589375168</c:v>
                </c:pt>
                <c:pt idx="6">
                  <c:v>-1.7167458590555089</c:v>
                </c:pt>
                <c:pt idx="7">
                  <c:v>-0.4136518151152741</c:v>
                </c:pt>
                <c:pt idx="8">
                  <c:v>0.39899210272686803</c:v>
                </c:pt>
                <c:pt idx="9">
                  <c:v>0.59358201955813295</c:v>
                </c:pt>
                <c:pt idx="10">
                  <c:v>0.72476561371192871</c:v>
                </c:pt>
                <c:pt idx="11">
                  <c:v>0.59445620931790122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3CA-4389-9AEE-7C07545D6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477712"/>
        <c:axId val="1113478192"/>
      </c:scatterChart>
      <c:catAx>
        <c:axId val="1113477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113478192"/>
        <c:crosses val="autoZero"/>
        <c:auto val="1"/>
        <c:lblAlgn val="ctr"/>
        <c:lblOffset val="100"/>
        <c:tickMarkSkip val="1"/>
        <c:noMultiLvlLbl val="0"/>
      </c:catAx>
      <c:valAx>
        <c:axId val="1113478192"/>
        <c:scaling>
          <c:orientation val="minMax"/>
          <c:min val="-3"/>
        </c:scaling>
        <c:delete val="0"/>
        <c:axPos val="l"/>
        <c:numFmt formatCode="#,##0.0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50000"/>
                <a:lumOff val="50000"/>
              </a:schemeClr>
            </a:solidFill>
            <a:round/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11134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bg1">
          <a:lumMod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000" b="1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Homoscedasticidade: exame do gráfico de dispersão dos resíduos </a:t>
            </a:r>
            <a:r>
              <a:rPr lang="en-US" sz="1000" b="1" i="1"/>
              <a:t>versus</a:t>
            </a:r>
            <a:r>
              <a:rPr lang="en-US" sz="1000" b="1"/>
              <a:t> valores ajustados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'RESULTADOS DA REGRESSÃO'!$D$228</c:f>
              <c:strCache>
                <c:ptCount val="1"/>
                <c:pt idx="0">
                  <c:v>Residuo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'RESULTADOS DA REGRESSÃO'!$C$229:$C$240</c:f>
              <c:numCache>
                <c:formatCode>#,##0.00_ ;\-#,##0.00\ </c:formatCode>
                <c:ptCount val="12"/>
                <c:pt idx="0">
                  <c:v>392042.91639250901</c:v>
                </c:pt>
                <c:pt idx="1">
                  <c:v>392042.91639250901</c:v>
                </c:pt>
                <c:pt idx="2">
                  <c:v>382540.12191181123</c:v>
                </c:pt>
                <c:pt idx="3">
                  <c:v>425676.97058895323</c:v>
                </c:pt>
                <c:pt idx="4">
                  <c:v>406671.38162755768</c:v>
                </c:pt>
                <c:pt idx="5">
                  <c:v>406671.38162755768</c:v>
                </c:pt>
                <c:pt idx="6">
                  <c:v>502038.68872712256</c:v>
                </c:pt>
                <c:pt idx="7">
                  <c:v>483033.09976572701</c:v>
                </c:pt>
                <c:pt idx="8">
                  <c:v>480180.71171567909</c:v>
                </c:pt>
                <c:pt idx="9">
                  <c:v>477342.62340384518</c:v>
                </c:pt>
                <c:pt idx="10">
                  <c:v>475429.31447533017</c:v>
                </c:pt>
                <c:pt idx="11">
                  <c:v>477329.87337146979</c:v>
                </c:pt>
              </c:numCache>
            </c:numRef>
          </c:xVal>
          <c:yVal>
            <c:numRef>
              <c:f>'RESULTADOS DA REGRESSÃO'!$D$229:$D$240</c:f>
              <c:numCache>
                <c:formatCode>#,##0.00_ ;\-#,##0.00\ </c:formatCode>
                <c:ptCount val="12"/>
                <c:pt idx="0">
                  <c:v>-14042.916392509011</c:v>
                </c:pt>
                <c:pt idx="1">
                  <c:v>-14042.916392509011</c:v>
                </c:pt>
                <c:pt idx="2">
                  <c:v>-4540.1219118112349</c:v>
                </c:pt>
                <c:pt idx="3">
                  <c:v>-2676.9705889532343</c:v>
                </c:pt>
                <c:pt idx="4">
                  <c:v>16328.618372442317</c:v>
                </c:pt>
                <c:pt idx="5">
                  <c:v>16328.618372442317</c:v>
                </c:pt>
                <c:pt idx="6">
                  <c:v>-25038.688727122557</c:v>
                </c:pt>
                <c:pt idx="7">
                  <c:v>-6033.0997657270054</c:v>
                </c:pt>
                <c:pt idx="8">
                  <c:v>5819.2882843209081</c:v>
                </c:pt>
                <c:pt idx="9">
                  <c:v>8657.3765961548197</c:v>
                </c:pt>
                <c:pt idx="10">
                  <c:v>10570.685524669825</c:v>
                </c:pt>
                <c:pt idx="11">
                  <c:v>8670.1266285302117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D5-4718-8D08-218192C5D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19008"/>
        <c:axId val="1959149759"/>
      </c:scatterChart>
      <c:valAx>
        <c:axId val="1092519008"/>
        <c:scaling>
          <c:orientation val="minMax"/>
        </c:scaling>
        <c:delete val="0"/>
        <c:axPos val="b"/>
        <c:numFmt formatCode="#,##0_ ;\-#,##0\ 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59149759"/>
        <c:crosses val="autoZero"/>
        <c:crossBetween val="midCat"/>
      </c:valAx>
      <c:valAx>
        <c:axId val="1959149759"/>
        <c:scaling>
          <c:orientation val="minMax"/>
          <c:max val="80000"/>
        </c:scaling>
        <c:delete val="0"/>
        <c:axPos val="l"/>
        <c:numFmt formatCode="#,##0_ ;\-#,##0\ 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65000"/>
                <a:lumOff val="35000"/>
              </a:schemeClr>
            </a:solidFill>
            <a:round/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92519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9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000" b="1"/>
              <a:t>Aderência dos valores observados aos valores previstos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tx>
            <c:strRef>
              <c:f>'RESULTADOS DA REGRESSÃO'!$Y$757</c:f>
              <c:strCache>
                <c:ptCount val="1"/>
                <c:pt idx="0">
                  <c:v>Bissetriz do primeiro quadrante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'RESULTADOS DA REGRESSÃO'!$Y$758:$Y$771</c:f>
              <c:numCache>
                <c:formatCode>#,##0.00_ ;\-#,##0.00\ </c:formatCode>
                <c:ptCount val="14"/>
                <c:pt idx="0">
                  <c:v>0</c:v>
                </c:pt>
                <c:pt idx="1">
                  <c:v>392042.91639250901</c:v>
                </c:pt>
                <c:pt idx="2">
                  <c:v>392042.91639250901</c:v>
                </c:pt>
                <c:pt idx="3">
                  <c:v>382540.12191181123</c:v>
                </c:pt>
                <c:pt idx="4">
                  <c:v>425676.97058895323</c:v>
                </c:pt>
                <c:pt idx="5">
                  <c:v>406671.38162755768</c:v>
                </c:pt>
                <c:pt idx="6">
                  <c:v>406671.38162755768</c:v>
                </c:pt>
                <c:pt idx="7">
                  <c:v>502038.68872712256</c:v>
                </c:pt>
                <c:pt idx="8">
                  <c:v>483033.09976572701</c:v>
                </c:pt>
                <c:pt idx="9">
                  <c:v>480180.71171567909</c:v>
                </c:pt>
                <c:pt idx="10">
                  <c:v>477342.62340384518</c:v>
                </c:pt>
                <c:pt idx="11">
                  <c:v>475429.31447533017</c:v>
                </c:pt>
                <c:pt idx="12">
                  <c:v>477329.87337146979</c:v>
                </c:pt>
                <c:pt idx="13">
                  <c:v>602446.426472547</c:v>
                </c:pt>
              </c:numCache>
            </c:numRef>
          </c:xVal>
          <c:yVal>
            <c:numRef>
              <c:f>'RESULTADOS DA REGRESSÃO'!$Y$758:$Y$771</c:f>
              <c:numCache>
                <c:formatCode>#,##0.00_ ;\-#,##0.00\ </c:formatCode>
                <c:ptCount val="14"/>
                <c:pt idx="0">
                  <c:v>0</c:v>
                </c:pt>
                <c:pt idx="1">
                  <c:v>392042.91639250901</c:v>
                </c:pt>
                <c:pt idx="2">
                  <c:v>392042.91639250901</c:v>
                </c:pt>
                <c:pt idx="3">
                  <c:v>382540.12191181123</c:v>
                </c:pt>
                <c:pt idx="4">
                  <c:v>425676.97058895323</c:v>
                </c:pt>
                <c:pt idx="5">
                  <c:v>406671.38162755768</c:v>
                </c:pt>
                <c:pt idx="6">
                  <c:v>406671.38162755768</c:v>
                </c:pt>
                <c:pt idx="7">
                  <c:v>502038.68872712256</c:v>
                </c:pt>
                <c:pt idx="8">
                  <c:v>483033.09976572701</c:v>
                </c:pt>
                <c:pt idx="9">
                  <c:v>480180.71171567909</c:v>
                </c:pt>
                <c:pt idx="10">
                  <c:v>477342.62340384518</c:v>
                </c:pt>
                <c:pt idx="11">
                  <c:v>475429.31447533017</c:v>
                </c:pt>
                <c:pt idx="12">
                  <c:v>477329.87337146979</c:v>
                </c:pt>
                <c:pt idx="13">
                  <c:v>602446.426472547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3-6EBD-48B0-A12D-9EB139365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7609647"/>
        <c:axId val="1927610127"/>
      </c:scatterChart>
      <c:scatterChart>
        <c:scatterStyle val="lineMarker"/>
        <c:varyColors val="0"/>
        <c:ser>
          <c:idx val="0"/>
          <c:order val="0"/>
          <c:tx>
            <c:strRef>
              <c:f>'RESULTADOS DA REGRESSÃO'!$B$246</c:f>
              <c:strCache>
                <c:ptCount val="1"/>
                <c:pt idx="0">
                  <c:v>Valor observado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2">
                  <a:lumMod val="50000"/>
                  <a:lumOff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'RESULTADOS DA REGRESSÃO'!$B$211:$B$222</c:f>
              <c:numCache>
                <c:formatCode>#,##0.00_ ;\-#,##0.00\ </c:formatCode>
                <c:ptCount val="12"/>
                <c:pt idx="0">
                  <c:v>392042.91639250901</c:v>
                </c:pt>
                <c:pt idx="1">
                  <c:v>392042.91639250901</c:v>
                </c:pt>
                <c:pt idx="2">
                  <c:v>382540.12191181123</c:v>
                </c:pt>
                <c:pt idx="3">
                  <c:v>425676.97058895323</c:v>
                </c:pt>
                <c:pt idx="4">
                  <c:v>406671.38162755768</c:v>
                </c:pt>
                <c:pt idx="5">
                  <c:v>406671.38162755768</c:v>
                </c:pt>
                <c:pt idx="6">
                  <c:v>502038.68872712256</c:v>
                </c:pt>
                <c:pt idx="7">
                  <c:v>483033.09976572701</c:v>
                </c:pt>
                <c:pt idx="8">
                  <c:v>480180.71171567909</c:v>
                </c:pt>
                <c:pt idx="9">
                  <c:v>477342.62340384518</c:v>
                </c:pt>
                <c:pt idx="10">
                  <c:v>475429.31447533017</c:v>
                </c:pt>
                <c:pt idx="11">
                  <c:v>477329.87337146979</c:v>
                </c:pt>
              </c:numCache>
            </c:numRef>
          </c:xVal>
          <c:yVal>
            <c:numRef>
              <c:f>'RESULTADOS DA REGRESSÃO'!$H$11:$H$22</c:f>
              <c:numCache>
                <c:formatCode>#,##0.00_ ;\-#,##0.00\ </c:formatCode>
                <c:ptCount val="12"/>
                <c:pt idx="0">
                  <c:v>378000</c:v>
                </c:pt>
                <c:pt idx="1">
                  <c:v>378000</c:v>
                </c:pt>
                <c:pt idx="2">
                  <c:v>378000</c:v>
                </c:pt>
                <c:pt idx="3">
                  <c:v>423000</c:v>
                </c:pt>
                <c:pt idx="4">
                  <c:v>423000</c:v>
                </c:pt>
                <c:pt idx="5">
                  <c:v>423000</c:v>
                </c:pt>
                <c:pt idx="6">
                  <c:v>477000</c:v>
                </c:pt>
                <c:pt idx="7">
                  <c:v>477000</c:v>
                </c:pt>
                <c:pt idx="8">
                  <c:v>486000</c:v>
                </c:pt>
                <c:pt idx="9">
                  <c:v>486000</c:v>
                </c:pt>
                <c:pt idx="10">
                  <c:v>486000</c:v>
                </c:pt>
                <c:pt idx="11">
                  <c:v>486000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BD-48B0-A12D-9EB139365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7609647"/>
        <c:axId val="1927610127"/>
        <c:extLst/>
      </c:scatterChart>
      <c:valAx>
        <c:axId val="1927609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7610127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valAx>
        <c:axId val="1927610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7609647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9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9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70" baseline="0">
                <a:solidFill>
                  <a:schemeClr val="tx1">
                    <a:lumMod val="85000"/>
                    <a:lumOff val="1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pt-BR" sz="1000" b="1">
                <a:solidFill>
                  <a:schemeClr val="tx1">
                    <a:lumMod val="85000"/>
                    <a:lumOff val="15000"/>
                  </a:schemeClr>
                </a:solidFill>
              </a:rPr>
              <a:t>Estatística de Cook: detecção de pontos influenciantes</a:t>
            </a:r>
            <a:r>
              <a:rPr lang="pt-BR" sz="1000" b="0" baseline="30000">
                <a:solidFill>
                  <a:schemeClr val="tx1">
                    <a:lumMod val="85000"/>
                    <a:lumOff val="15000"/>
                  </a:schemeClr>
                </a:solidFill>
              </a:rPr>
              <a:t>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70" baseline="0">
              <a:solidFill>
                <a:schemeClr val="tx1">
                  <a:lumMod val="85000"/>
                  <a:lumOff val="1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Elementos da amostra</c:v>
          </c:tx>
          <c:spPr>
            <a:ln w="25400">
              <a:noFill/>
            </a:ln>
            <a:effectLst/>
          </c:spPr>
          <c:marker>
            <c:symbol val="diamond"/>
            <c:size val="6"/>
            <c:spPr>
              <a:solidFill>
                <a:srgbClr val="FF0000"/>
              </a:solidFill>
              <a:ln w="9525" cap="flat" cmpd="sng" algn="ctr">
                <a:noFill/>
                <a:round/>
              </a:ln>
              <a:effectLst/>
            </c:spPr>
          </c:marker>
          <c:yVal>
            <c:numRef>
              <c:f>'RESULTADOS DA REGRESSÃO'!$G$304:$G$315</c:f>
              <c:numCache>
                <c:formatCode>#,##0.00_ ;\-#,##0.00\ </c:formatCode>
                <c:ptCount val="12"/>
                <c:pt idx="0">
                  <c:v>9.565194743497972E-2</c:v>
                </c:pt>
                <c:pt idx="1">
                  <c:v>9.565194743497972E-2</c:v>
                </c:pt>
                <c:pt idx="2">
                  <c:v>2.5814752915330627E-2</c:v>
                </c:pt>
                <c:pt idx="3">
                  <c:v>2.1522063347650063E-2</c:v>
                </c:pt>
                <c:pt idx="4">
                  <c:v>8.2830685368785281E-2</c:v>
                </c:pt>
                <c:pt idx="5">
                  <c:v>8.2830685368785281E-2</c:v>
                </c:pt>
                <c:pt idx="6">
                  <c:v>0.46097541963692162</c:v>
                </c:pt>
                <c:pt idx="7">
                  <c:v>0.14707688094862087</c:v>
                </c:pt>
                <c:pt idx="8">
                  <c:v>1.7753423431674634E-2</c:v>
                </c:pt>
                <c:pt idx="9">
                  <c:v>2.8180941645410042E-2</c:v>
                </c:pt>
                <c:pt idx="10">
                  <c:v>3.3137285169517597E-2</c:v>
                </c:pt>
                <c:pt idx="11">
                  <c:v>2.6728664178916884E-2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A0-4A47-927B-321AAB8D8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1746975"/>
        <c:axId val="661747391"/>
      </c:scatterChart>
      <c:valAx>
        <c:axId val="661746975"/>
        <c:scaling>
          <c:orientation val="minMax"/>
          <c:max val="12"/>
          <c:min val="0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95000"/>
                </a:sys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ysClr val="window" lastClr="FFFFFF">
                  <a:lumMod val="95000"/>
                </a:sys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 w="12700">
            <a:solidFill>
              <a:sysClr val="windowText" lastClr="000000">
                <a:lumMod val="50000"/>
                <a:lumOff val="50000"/>
              </a:sysClr>
            </a:solidFill>
            <a:tailEnd type="non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661747391"/>
        <c:crossesAt val="1"/>
        <c:crossBetween val="midCat"/>
        <c:majorUnit val="1"/>
      </c:valAx>
      <c:valAx>
        <c:axId val="661747391"/>
        <c:scaling>
          <c:orientation val="minMax"/>
          <c:max val="2"/>
          <c:min val="0"/>
        </c:scaling>
        <c:delete val="0"/>
        <c:axPos val="l"/>
        <c:minorGridlines>
          <c:spPr>
            <a:ln w="9525" cap="flat" cmpd="sng" algn="ctr">
              <a:solidFill>
                <a:schemeClr val="dk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_ ;[Red]\-#,##0.0\ " sourceLinked="0"/>
        <c:majorTickMark val="none"/>
        <c:minorTickMark val="none"/>
        <c:tickLblPos val="nextTo"/>
        <c:spPr>
          <a:noFill/>
          <a:ln w="12700">
            <a:solidFill>
              <a:sysClr val="windowText" lastClr="000000">
                <a:lumMod val="50000"/>
                <a:lumOff val="50000"/>
              </a:sysClr>
            </a:solidFill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pt-BR"/>
          </a:p>
        </c:txPr>
        <c:crossAx val="661746975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85000"/>
                  <a:lumOff val="1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/>
  </c:chart>
  <c:spPr>
    <a:solidFill>
      <a:sysClr val="window" lastClr="FFFFFF"/>
    </a:solidFill>
    <a:ln w="12700" cap="flat" cmpd="sng" algn="ctr">
      <a:solidFill>
        <a:sysClr val="window" lastClr="FFFFFF">
          <a:lumMod val="85000"/>
        </a:sysClr>
      </a:solidFill>
      <a:round/>
    </a:ln>
    <a:effectLst>
      <a:outerShdw blurRad="50800" dist="63500" dir="2700000" algn="tl" rotWithShape="0">
        <a:prstClr val="black">
          <a:alpha val="40000"/>
        </a:prstClr>
      </a:outerShdw>
    </a:effectLst>
  </c:spPr>
  <c:txPr>
    <a:bodyPr/>
    <a:lstStyle/>
    <a:p>
      <a:pPr>
        <a:defRPr sz="800">
          <a:latin typeface="Aptos" panose="020B00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Autocorrelação: exame do gráfico de dispersão dos</a:t>
            </a:r>
            <a:r>
              <a:rPr lang="en-US" sz="1000" b="1" baseline="0"/>
              <a:t> r</a:t>
            </a:r>
            <a:r>
              <a:rPr lang="en-US" sz="1000" b="1"/>
              <a:t>esíduos </a:t>
            </a:r>
            <a:r>
              <a:rPr lang="en-US" sz="1000" b="1" i="1"/>
              <a:t>versus</a:t>
            </a:r>
            <a:r>
              <a:rPr lang="en-US" sz="1000" b="1"/>
              <a:t> valores ajustados preordenados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'RESULTADOS DA REGRESSÃO'!$D$228</c:f>
              <c:strCache>
                <c:ptCount val="1"/>
                <c:pt idx="0">
                  <c:v>Residuo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'RESULTADOS DA REGRESSÃO'!$C$229:$C$240</c:f>
              <c:numCache>
                <c:formatCode>#,##0.00_ ;\-#,##0.00\ </c:formatCode>
                <c:ptCount val="12"/>
                <c:pt idx="0">
                  <c:v>392042.91639250901</c:v>
                </c:pt>
                <c:pt idx="1">
                  <c:v>392042.91639250901</c:v>
                </c:pt>
                <c:pt idx="2">
                  <c:v>382540.12191181123</c:v>
                </c:pt>
                <c:pt idx="3">
                  <c:v>425676.97058895323</c:v>
                </c:pt>
                <c:pt idx="4">
                  <c:v>406671.38162755768</c:v>
                </c:pt>
                <c:pt idx="5">
                  <c:v>406671.38162755768</c:v>
                </c:pt>
                <c:pt idx="6">
                  <c:v>502038.68872712256</c:v>
                </c:pt>
                <c:pt idx="7">
                  <c:v>483033.09976572701</c:v>
                </c:pt>
                <c:pt idx="8">
                  <c:v>480180.71171567909</c:v>
                </c:pt>
                <c:pt idx="9">
                  <c:v>477342.62340384518</c:v>
                </c:pt>
                <c:pt idx="10">
                  <c:v>475429.31447533017</c:v>
                </c:pt>
                <c:pt idx="11">
                  <c:v>477329.87337146979</c:v>
                </c:pt>
              </c:numCache>
            </c:numRef>
          </c:xVal>
          <c:yVal>
            <c:numRef>
              <c:f>'RESULTADOS DA REGRESSÃO'!$D$229:$D$240</c:f>
              <c:numCache>
                <c:formatCode>#,##0.00_ ;\-#,##0.00\ </c:formatCode>
                <c:ptCount val="12"/>
                <c:pt idx="0">
                  <c:v>-14042.916392509011</c:v>
                </c:pt>
                <c:pt idx="1">
                  <c:v>-14042.916392509011</c:v>
                </c:pt>
                <c:pt idx="2">
                  <c:v>-4540.1219118112349</c:v>
                </c:pt>
                <c:pt idx="3">
                  <c:v>-2676.9705889532343</c:v>
                </c:pt>
                <c:pt idx="4">
                  <c:v>16328.618372442317</c:v>
                </c:pt>
                <c:pt idx="5">
                  <c:v>16328.618372442317</c:v>
                </c:pt>
                <c:pt idx="6">
                  <c:v>-25038.688727122557</c:v>
                </c:pt>
                <c:pt idx="7">
                  <c:v>-6033.0997657270054</c:v>
                </c:pt>
                <c:pt idx="8">
                  <c:v>5819.2882843209081</c:v>
                </c:pt>
                <c:pt idx="9">
                  <c:v>8657.3765961548197</c:v>
                </c:pt>
                <c:pt idx="10">
                  <c:v>10570.685524669825</c:v>
                </c:pt>
                <c:pt idx="11">
                  <c:v>8670.1266285302117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A0-454C-A48C-37AD8BA8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19008"/>
        <c:axId val="1959149759"/>
      </c:scatterChart>
      <c:valAx>
        <c:axId val="1092519008"/>
        <c:scaling>
          <c:orientation val="minMax"/>
        </c:scaling>
        <c:delete val="0"/>
        <c:axPos val="b"/>
        <c:numFmt formatCode="#,##0_ ;\-#,##0\ 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59149759"/>
        <c:crosses val="autoZero"/>
        <c:crossBetween val="midCat"/>
      </c:valAx>
      <c:valAx>
        <c:axId val="1959149759"/>
        <c:scaling>
          <c:orientation val="minMax"/>
          <c:max val="80000"/>
        </c:scaling>
        <c:delete val="0"/>
        <c:axPos val="l"/>
        <c:numFmt formatCode="#,##0_ ;\-#,##0\ 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65000"/>
                <a:lumOff val="35000"/>
              </a:schemeClr>
            </a:solidFill>
            <a:round/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92519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9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Análise de correlação serial entre os resíduos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Resíduos</c:v>
          </c:tx>
          <c:spPr>
            <a:ln w="381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89916C4E-EF14-4280-B4B9-7805744FED6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CA7-4302-A67B-7AC1E7EB840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322ADDA-EF44-4A05-BEDC-76E311A4D7E2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CA7-4302-A67B-7AC1E7EB840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02CC96D-C801-4A18-BBFE-A5AC419F2FA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CA7-4302-A67B-7AC1E7EB840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72CA129-5CC4-487D-B515-F5DE757848C8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CA7-4302-A67B-7AC1E7EB840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5E9CEBF-D06B-4952-8464-33EF2C8FFB20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CA7-4302-A67B-7AC1E7EB840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0196DE7-CB47-4775-B3E7-F25419B600D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CA7-4302-A67B-7AC1E7EB840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784D352-2246-4AE0-91C7-F75B3992A6A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CA7-4302-A67B-7AC1E7EB840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9FA8BA4-4D92-4354-80B1-B23C82AC7B3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CA7-4302-A67B-7AC1E7EB840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C5C8A03-8E0C-45BB-A9A5-A4034AD69D1B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CA7-4302-A67B-7AC1E7EB840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F55A358-6F50-41DB-8550-A98C48410182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CA7-4302-A67B-7AC1E7EB840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A3BA0D4-17AE-4F11-A4CB-38A05960F97B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CA7-4302-A67B-7AC1E7EB84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'RESULTADOS DA REGRESSÃO'!$D$229:$D$240</c:f>
              <c:numCache>
                <c:formatCode>#,##0.00_ ;\-#,##0.00\ </c:formatCode>
                <c:ptCount val="12"/>
                <c:pt idx="0">
                  <c:v>-14042.916392509011</c:v>
                </c:pt>
                <c:pt idx="1">
                  <c:v>-14042.916392509011</c:v>
                </c:pt>
                <c:pt idx="2">
                  <c:v>-4540.1219118112349</c:v>
                </c:pt>
                <c:pt idx="3">
                  <c:v>-2676.9705889532343</c:v>
                </c:pt>
                <c:pt idx="4">
                  <c:v>16328.618372442317</c:v>
                </c:pt>
                <c:pt idx="5">
                  <c:v>16328.618372442317</c:v>
                </c:pt>
                <c:pt idx="6">
                  <c:v>-25038.688727122557</c:v>
                </c:pt>
                <c:pt idx="7">
                  <c:v>-6033.0997657270054</c:v>
                </c:pt>
                <c:pt idx="8">
                  <c:v>5819.2882843209081</c:v>
                </c:pt>
                <c:pt idx="9">
                  <c:v>8657.3765961548197</c:v>
                </c:pt>
                <c:pt idx="10">
                  <c:v>10570.685524669825</c:v>
                </c:pt>
                <c:pt idx="11">
                  <c:v>8670.1266285302117</c:v>
                </c:pt>
              </c:numCache>
            </c:numRef>
          </c:xVal>
          <c:yVal>
            <c:numRef>
              <c:f>'RESULTADOS DA REGRESSÃO'!$D$230:$D$240</c:f>
              <c:numCache>
                <c:formatCode>#,##0.00_ ;\-#,##0.00\ </c:formatCode>
                <c:ptCount val="11"/>
                <c:pt idx="0">
                  <c:v>-14042.916392509011</c:v>
                </c:pt>
                <c:pt idx="1">
                  <c:v>-4540.1219118112349</c:v>
                </c:pt>
                <c:pt idx="2">
                  <c:v>-2676.9705889532343</c:v>
                </c:pt>
                <c:pt idx="3">
                  <c:v>16328.618372442317</c:v>
                </c:pt>
                <c:pt idx="4">
                  <c:v>16328.618372442317</c:v>
                </c:pt>
                <c:pt idx="5">
                  <c:v>-25038.688727122557</c:v>
                </c:pt>
                <c:pt idx="6">
                  <c:v>-6033.0997657270054</c:v>
                </c:pt>
                <c:pt idx="7">
                  <c:v>5819.2882843209081</c:v>
                </c:pt>
                <c:pt idx="8">
                  <c:v>8657.3765961548197</c:v>
                </c:pt>
                <c:pt idx="9">
                  <c:v>10570.685524669825</c:v>
                </c:pt>
                <c:pt idx="10">
                  <c:v>8670.1266285302117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'RESULTADOS DA REGRESSÃO'!$A$230:$A$240</c15:f>
                <c15:dlblRangeCache>
                  <c:ptCount val="11"/>
                  <c:pt idx="0">
                    <c:v>2 </c:v>
                  </c:pt>
                  <c:pt idx="1">
                    <c:v>3 </c:v>
                  </c:pt>
                  <c:pt idx="2">
                    <c:v>4 </c:v>
                  </c:pt>
                  <c:pt idx="3">
                    <c:v>5 </c:v>
                  </c:pt>
                  <c:pt idx="4">
                    <c:v>6 </c:v>
                  </c:pt>
                  <c:pt idx="5">
                    <c:v>7 </c:v>
                  </c:pt>
                  <c:pt idx="6">
                    <c:v>8 </c:v>
                  </c:pt>
                  <c:pt idx="7">
                    <c:v>9 </c:v>
                  </c:pt>
                  <c:pt idx="8">
                    <c:v>10 </c:v>
                  </c:pt>
                  <c:pt idx="9">
                    <c:v>11 </c:v>
                  </c:pt>
                  <c:pt idx="10">
                    <c:v>12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0CA7-4302-A67B-7AC1E7EB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743903"/>
        <c:axId val="434741983"/>
      </c:scatterChart>
      <c:valAx>
        <c:axId val="434743903"/>
        <c:scaling>
          <c:orientation val="minMax"/>
          <c:max val="40000"/>
          <c:min val="-40000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4741983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valAx>
        <c:axId val="434741983"/>
        <c:scaling>
          <c:orientation val="minMax"/>
          <c:max val="40000"/>
          <c:min val="-40000"/>
        </c:scaling>
        <c:delete val="0"/>
        <c:axPos val="l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triangle"/>
            <a:tailEnd type="triangle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4743903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9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9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_xlchart.v2.0</cx:f>
      </cx:strDim>
      <cx:numDim type="val">
        <cx:f dir="row">_xlchart.v2.1</cx:f>
      </cx:numDim>
    </cx:data>
  </cx:chartData>
  <cx:chart>
    <cx:title pos="t" align="ctr" overlay="0">
      <cx:tx>
        <cx:txData>
          <cx:v>Amplitude do intervalo de confiança, e de valores admissíveis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100" b="1"/>
          </a:pPr>
          <a:r>
            <a:rPr lang="pt-BR" sz="11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Amplitude do intervalo de confiança, e de valores admissíveis</a:t>
          </a:r>
        </a:p>
      </cx:txPr>
    </cx:title>
    <cx:plotArea>
      <cx:plotAreaRegion>
        <cx:series layoutId="funnel" uniqueId="{C6B820BE-1757-4D8D-9BA9-E3C04921A721}">
          <cx:dataPt idx="0">
            <cx:spPr>
              <a:solidFill>
                <a:srgbClr val="B9CFD9"/>
              </a:solidFill>
            </cx:spPr>
          </cx:dataPt>
          <cx:dataPt idx="1">
            <cx:spPr>
              <a:solidFill>
                <a:sysClr val="window" lastClr="FFFFFF">
                  <a:lumMod val="85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000">
                    <a:solidFill>
                      <a:sysClr val="windowText" lastClr="000000"/>
                    </a:solidFill>
                  </a:defRPr>
                </a:pPr>
                <a:endParaRPr lang="pt-BR" sz="1000" b="0" i="0" u="none" strike="noStrike" baseline="0">
                  <a:solidFill>
                    <a:sysClr val="windowText" lastClr="000000"/>
                  </a:solidFill>
                  <a:latin typeface="Aptos Narrow" panose="02110004020202020204"/>
                </a:endParaRPr>
              </a:p>
            </cx:txPr>
            <cx:visibility seriesName="0" categoryName="1" value="1"/>
            <cx:separator>
</cx:separator>
          </cx:dataLabels>
          <cx:dataId val="0"/>
        </cx:series>
      </cx:plotAreaRegion>
      <cx:axis id="0" hidden="1">
        <cx:catScaling gapWidth="0.0599999987"/>
        <cx:tickLabels/>
      </cx:axis>
    </cx:plotArea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microsoft.com/office/2014/relationships/chartEx" Target="../charts/chartEx1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276</xdr:row>
      <xdr:rowOff>0</xdr:rowOff>
    </xdr:from>
    <xdr:to>
      <xdr:col>4</xdr:col>
      <xdr:colOff>496125</xdr:colOff>
      <xdr:row>293</xdr:row>
      <xdr:rowOff>109950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E7793075-1376-4748-917A-E622945860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1460539</xdr:colOff>
      <xdr:row>574</xdr:row>
      <xdr:rowOff>4421</xdr:rowOff>
    </xdr:from>
    <xdr:to>
      <xdr:col>5</xdr:col>
      <xdr:colOff>1231061</xdr:colOff>
      <xdr:row>579</xdr:row>
      <xdr:rowOff>206172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DD9F577E-5C55-495F-BE86-B855EE8602CD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08789" y="143298521"/>
              <a:ext cx="7914397" cy="14400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0</xdr:colOff>
      <xdr:row>393</xdr:row>
      <xdr:rowOff>244928</xdr:rowOff>
    </xdr:from>
    <xdr:to>
      <xdr:col>4</xdr:col>
      <xdr:colOff>475715</xdr:colOff>
      <xdr:row>411</xdr:row>
      <xdr:rowOff>156213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14A36C4C-CF18-4535-B518-8B6619B51E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2333623</xdr:colOff>
      <xdr:row>365</xdr:row>
      <xdr:rowOff>0</xdr:rowOff>
    </xdr:from>
    <xdr:to>
      <xdr:col>2</xdr:col>
      <xdr:colOff>2671766</xdr:colOff>
      <xdr:row>386</xdr:row>
      <xdr:rowOff>76500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656C77A3-7D29-4C68-9903-3C3D8D2CC7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317</xdr:row>
      <xdr:rowOff>0</xdr:rowOff>
    </xdr:from>
    <xdr:to>
      <xdr:col>4</xdr:col>
      <xdr:colOff>496125</xdr:colOff>
      <xdr:row>334</xdr:row>
      <xdr:rowOff>109950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512D5E41-EB93-489F-8E8D-4976F8FCBF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2333624</xdr:colOff>
      <xdr:row>429</xdr:row>
      <xdr:rowOff>244927</xdr:rowOff>
    </xdr:from>
    <xdr:to>
      <xdr:col>4</xdr:col>
      <xdr:colOff>468910</xdr:colOff>
      <xdr:row>447</xdr:row>
      <xdr:rowOff>156210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42A73C60-35F8-44C9-AAD0-9265EE97F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453</xdr:row>
      <xdr:rowOff>0</xdr:rowOff>
    </xdr:from>
    <xdr:to>
      <xdr:col>3</xdr:col>
      <xdr:colOff>696353</xdr:colOff>
      <xdr:row>474</xdr:row>
      <xdr:rowOff>222882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97A9BC9-F101-4828-A230-335A1F3EC2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1161752</xdr:colOff>
      <xdr:row>0</xdr:row>
      <xdr:rowOff>1620000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86C01562-2D8B-15FA-6314-C396176A3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10002" cy="162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 2013 - 2022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 2013 - 2022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 2013 - 2022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A3339-6272-475F-A9BE-AC367CACDF3B}">
  <sheetPr codeName="Planilha1">
    <pageSetUpPr fitToPage="1"/>
  </sheetPr>
  <dimension ref="A1:GH1156"/>
  <sheetViews>
    <sheetView tabSelected="1" zoomScale="85" zoomScaleNormal="85" workbookViewId="0"/>
  </sheetViews>
  <sheetFormatPr defaultColWidth="18.625" defaultRowHeight="20.100000000000001" customHeight="1" x14ac:dyDescent="0.25"/>
  <cols>
    <col min="1" max="1" width="30.625" style="2" customWidth="1"/>
    <col min="2" max="5" width="35.625" style="2" customWidth="1"/>
    <col min="6" max="8" width="30.625" style="2" customWidth="1"/>
    <col min="9" max="9" width="10.625" style="146" customWidth="1"/>
    <col min="10" max="12" width="25.625" style="147" customWidth="1"/>
    <col min="13" max="14" width="30.625" style="147" customWidth="1"/>
    <col min="15" max="16" width="25.625" style="147" customWidth="1"/>
    <col min="17" max="18" width="30.625" style="147" customWidth="1"/>
    <col min="19" max="22" width="25.625" style="147" customWidth="1"/>
    <col min="23" max="33" width="20.625" style="147" customWidth="1"/>
    <col min="34" max="40" width="15.625" style="147" customWidth="1"/>
    <col min="41" max="44" width="10.625" style="147" customWidth="1"/>
    <col min="45" max="45" width="16.375" style="147" customWidth="1"/>
    <col min="46" max="91" width="10.625" style="147" customWidth="1"/>
    <col min="92" max="131" width="20.625" style="147" customWidth="1"/>
    <col min="132" max="132" width="20.625" style="148" customWidth="1"/>
    <col min="133" max="133" width="20.625" style="149" customWidth="1"/>
    <col min="134" max="134" width="20.625" style="148" customWidth="1"/>
    <col min="135" max="141" width="20.625" style="150" customWidth="1"/>
    <col min="142" max="142" width="20.625" style="147" customWidth="1"/>
    <col min="143" max="143" width="20.625" style="149" customWidth="1"/>
    <col min="144" max="149" width="20.625" style="148" customWidth="1"/>
    <col min="150" max="151" width="20.625" style="150" customWidth="1"/>
    <col min="152" max="154" width="18.625" style="150"/>
    <col min="155" max="156" width="18.625" style="151"/>
    <col min="157" max="190" width="18.625" style="147"/>
    <col min="191" max="16384" width="18.625" style="1"/>
  </cols>
  <sheetData>
    <row r="1" spans="1:73" ht="140.1" customHeight="1" x14ac:dyDescent="0.25">
      <c r="A1" s="179"/>
      <c r="B1" s="179"/>
      <c r="C1" s="179"/>
      <c r="D1" s="179"/>
      <c r="E1" s="179"/>
      <c r="F1" s="179"/>
      <c r="G1" s="179"/>
      <c r="H1" s="179"/>
      <c r="I1" s="2"/>
      <c r="J1" s="1"/>
      <c r="K1" s="1"/>
      <c r="L1" s="1"/>
      <c r="M1" s="1"/>
      <c r="N1" s="1"/>
      <c r="O1" s="1"/>
      <c r="P1" s="1"/>
      <c r="Q1" s="1"/>
      <c r="R1" s="1"/>
    </row>
    <row r="2" spans="1:73" ht="5.0999999999999996" customHeight="1" x14ac:dyDescent="0.25">
      <c r="I2" s="2"/>
      <c r="J2" s="1"/>
      <c r="K2" s="1"/>
      <c r="L2" s="1"/>
      <c r="M2" s="1"/>
      <c r="N2" s="1"/>
      <c r="O2" s="1"/>
      <c r="P2" s="1"/>
      <c r="Q2" s="1"/>
      <c r="R2" s="1"/>
    </row>
    <row r="3" spans="1:73" ht="5.0999999999999996" customHeight="1" x14ac:dyDescent="0.25">
      <c r="A3" s="179"/>
      <c r="B3" s="179"/>
      <c r="C3" s="179"/>
      <c r="D3" s="179"/>
      <c r="E3" s="179"/>
      <c r="F3" s="179"/>
      <c r="G3" s="179"/>
      <c r="H3" s="179"/>
      <c r="I3" s="2"/>
      <c r="J3" s="1"/>
      <c r="K3" s="1"/>
      <c r="L3" s="1"/>
      <c r="M3" s="1"/>
      <c r="N3" s="1"/>
      <c r="O3" s="1"/>
      <c r="P3" s="1"/>
      <c r="Q3" s="1"/>
      <c r="R3" s="1"/>
    </row>
    <row r="4" spans="1:73" ht="20.100000000000001" customHeight="1" x14ac:dyDescent="0.25">
      <c r="I4" s="2"/>
      <c r="J4" s="1"/>
      <c r="K4" s="1"/>
      <c r="L4" s="1"/>
      <c r="M4" s="1"/>
      <c r="N4" s="1"/>
      <c r="O4" s="1"/>
      <c r="P4" s="1"/>
      <c r="Q4" s="1"/>
      <c r="R4" s="1"/>
    </row>
    <row r="5" spans="1:73" ht="20.100000000000001" customHeight="1" x14ac:dyDescent="0.25">
      <c r="A5" s="122" t="s">
        <v>21</v>
      </c>
      <c r="B5" s="122"/>
      <c r="C5" s="122"/>
      <c r="D5" s="122"/>
      <c r="E5" s="122"/>
      <c r="F5" s="122"/>
      <c r="G5" s="122"/>
      <c r="H5" s="77"/>
      <c r="I5" s="2"/>
      <c r="J5" s="1"/>
      <c r="K5" s="1"/>
      <c r="L5" s="1"/>
      <c r="M5" s="1"/>
      <c r="N5" s="1"/>
      <c r="O5" s="1"/>
      <c r="P5" s="1"/>
      <c r="Q5" s="1"/>
      <c r="R5" s="1"/>
    </row>
    <row r="6" spans="1:73" ht="20.100000000000001" customHeight="1" x14ac:dyDescent="0.25">
      <c r="B6" s="1"/>
      <c r="C6" s="1"/>
      <c r="D6" s="1"/>
      <c r="E6" s="1"/>
      <c r="F6" s="1"/>
      <c r="G6" s="1"/>
      <c r="H6" s="1"/>
      <c r="I6" s="2"/>
      <c r="J6" s="1"/>
      <c r="K6" s="1"/>
      <c r="L6" s="1"/>
      <c r="M6" s="1"/>
      <c r="N6" s="1"/>
      <c r="O6" s="1"/>
      <c r="P6" s="1"/>
      <c r="Q6" s="1"/>
      <c r="R6" s="1"/>
    </row>
    <row r="7" spans="1:73" ht="20.100000000000001" customHeight="1" x14ac:dyDescent="0.25">
      <c r="A7" s="123" t="s">
        <v>122</v>
      </c>
      <c r="B7" s="123"/>
      <c r="C7" s="123"/>
      <c r="D7" s="123"/>
      <c r="E7" s="123"/>
      <c r="F7" s="123"/>
      <c r="G7" s="123"/>
      <c r="H7" s="78"/>
      <c r="I7" s="2"/>
      <c r="J7" s="1"/>
      <c r="K7" s="1"/>
      <c r="L7" s="1"/>
      <c r="M7" s="1"/>
      <c r="N7" s="1"/>
      <c r="O7" s="1"/>
      <c r="P7" s="1"/>
      <c r="Q7" s="1"/>
      <c r="R7" s="1"/>
    </row>
    <row r="8" spans="1:73" ht="20.100000000000001" customHeight="1" x14ac:dyDescent="0.25">
      <c r="A8" s="124" t="s">
        <v>123</v>
      </c>
      <c r="B8" s="124"/>
      <c r="C8" s="124"/>
      <c r="D8" s="124"/>
      <c r="E8" s="124"/>
      <c r="F8" s="124"/>
      <c r="G8" s="124"/>
      <c r="H8" s="79"/>
      <c r="I8" s="2"/>
      <c r="J8" s="105" t="s">
        <v>248</v>
      </c>
      <c r="K8" s="105"/>
      <c r="L8" s="105"/>
      <c r="M8" s="105"/>
      <c r="N8" s="105"/>
      <c r="O8" s="105"/>
      <c r="P8" s="105"/>
      <c r="Q8" s="105"/>
      <c r="R8" s="1"/>
    </row>
    <row r="9" spans="1:73" ht="20.100000000000001" customHeight="1" x14ac:dyDescent="0.25">
      <c r="A9" s="11"/>
      <c r="B9" s="11"/>
      <c r="C9" s="125" t="s">
        <v>138</v>
      </c>
      <c r="D9" s="125"/>
      <c r="E9" s="125"/>
      <c r="F9" s="11"/>
      <c r="G9" s="11"/>
      <c r="H9" s="47" t="s">
        <v>121</v>
      </c>
      <c r="I9" s="2"/>
      <c r="J9" s="103" t="str">
        <f>A10</f>
        <v>Item</v>
      </c>
      <c r="K9" s="103" t="s">
        <v>160</v>
      </c>
      <c r="L9" s="103" t="s">
        <v>158</v>
      </c>
      <c r="M9" s="103" t="s">
        <v>159</v>
      </c>
      <c r="N9" s="103"/>
      <c r="O9" s="103" t="s">
        <v>249</v>
      </c>
      <c r="P9" s="91" t="s">
        <v>12</v>
      </c>
      <c r="Q9" s="92">
        <v>0.1</v>
      </c>
      <c r="R9" s="1"/>
    </row>
    <row r="10" spans="1:73" ht="20.100000000000001" customHeight="1" x14ac:dyDescent="0.25">
      <c r="A10" s="10" t="s">
        <v>0</v>
      </c>
      <c r="B10" s="181" t="s">
        <v>197</v>
      </c>
      <c r="C10" s="181" t="s">
        <v>200</v>
      </c>
      <c r="D10" s="181" t="s">
        <v>276</v>
      </c>
      <c r="E10" s="181" t="s">
        <v>211</v>
      </c>
      <c r="F10" s="181" t="s">
        <v>198</v>
      </c>
      <c r="G10" s="181" t="s">
        <v>199</v>
      </c>
      <c r="H10" s="80" t="s">
        <v>214</v>
      </c>
      <c r="I10" s="2"/>
      <c r="J10" s="104"/>
      <c r="K10" s="104"/>
      <c r="L10" s="104"/>
      <c r="M10" s="104"/>
      <c r="N10" s="104"/>
      <c r="O10" s="104"/>
      <c r="P10" s="93" t="s">
        <v>8</v>
      </c>
      <c r="Q10" s="94">
        <f>_xlfn.CHISQ.INV(Q9,B83-1)</f>
        <v>5.5777847897998516</v>
      </c>
      <c r="R10" s="1"/>
      <c r="AA10" s="147" t="str">
        <f>$C$10</f>
        <v>Área do terreno</v>
      </c>
      <c r="AB10" s="147" t="str">
        <f>$D$10</f>
        <v>Área construída</v>
      </c>
      <c r="AC10" s="147" t="str">
        <f>$H$10</f>
        <v>Preço</v>
      </c>
      <c r="AE10" s="147" t="s">
        <v>215</v>
      </c>
      <c r="AF10" s="147" t="str">
        <f>AA10</f>
        <v>Área do terreno</v>
      </c>
      <c r="AG10" s="152" t="str">
        <f>AC10</f>
        <v>Preço</v>
      </c>
      <c r="AH10" s="147" t="s">
        <v>216</v>
      </c>
      <c r="AI10" s="147" t="s">
        <v>3</v>
      </c>
      <c r="AK10" s="152" t="str">
        <f>AB10</f>
        <v>Área construída</v>
      </c>
      <c r="AL10" s="147" t="s">
        <v>216</v>
      </c>
      <c r="AM10" s="147" t="s">
        <v>3</v>
      </c>
      <c r="AO10" s="152" t="s">
        <v>217</v>
      </c>
      <c r="AQ10" s="147" t="str">
        <f>$C10</f>
        <v>Área do terreno</v>
      </c>
      <c r="AR10" s="147" t="str">
        <f>$D10</f>
        <v>Área construída</v>
      </c>
      <c r="AS10" s="147" t="str">
        <f>$H10</f>
        <v>Preço</v>
      </c>
      <c r="AU10" s="147" t="s">
        <v>215</v>
      </c>
      <c r="AV10" s="147" t="str">
        <f>AR10</f>
        <v>Área construída</v>
      </c>
      <c r="AW10" s="152" t="str">
        <f>AS10</f>
        <v>Preço</v>
      </c>
      <c r="AX10" s="147" t="s">
        <v>216</v>
      </c>
      <c r="AY10" s="147" t="s">
        <v>3</v>
      </c>
      <c r="BA10" s="152" t="str">
        <f>AQ10</f>
        <v>Área do terreno</v>
      </c>
      <c r="BB10" s="147" t="s">
        <v>216</v>
      </c>
      <c r="BC10" s="147" t="s">
        <v>3</v>
      </c>
      <c r="BE10" s="152" t="s">
        <v>217</v>
      </c>
      <c r="BG10" s="147" t="str">
        <f>$C10</f>
        <v>Área do terreno</v>
      </c>
      <c r="BH10" s="147" t="str">
        <f>$D10</f>
        <v>Área construída</v>
      </c>
      <c r="BI10" s="147" t="str">
        <f>$H10</f>
        <v>Preço</v>
      </c>
      <c r="BK10" s="147" t="s">
        <v>215</v>
      </c>
      <c r="BL10" s="147" t="str">
        <f>BI10</f>
        <v>Preço</v>
      </c>
      <c r="BM10" s="152" t="str">
        <f>BG10</f>
        <v>Área do terreno</v>
      </c>
      <c r="BN10" s="147" t="s">
        <v>216</v>
      </c>
      <c r="BO10" s="147" t="s">
        <v>3</v>
      </c>
      <c r="BQ10" s="152" t="str">
        <f>BH10</f>
        <v>Área construída</v>
      </c>
      <c r="BR10" s="147" t="s">
        <v>216</v>
      </c>
      <c r="BS10" s="147" t="s">
        <v>3</v>
      </c>
      <c r="BU10" s="152" t="s">
        <v>217</v>
      </c>
    </row>
    <row r="11" spans="1:73" ht="20.100000000000001" customHeight="1" x14ac:dyDescent="0.25">
      <c r="A11" s="28">
        <v>1</v>
      </c>
      <c r="B11" s="45" t="s">
        <v>203</v>
      </c>
      <c r="C11" s="45">
        <v>223.3</v>
      </c>
      <c r="D11" s="45">
        <v>150</v>
      </c>
      <c r="E11" s="45">
        <v>420000</v>
      </c>
      <c r="F11" s="45" t="s">
        <v>210</v>
      </c>
      <c r="G11" s="45">
        <f t="shared" ref="G11:G22" si="0">VLOOKUP(F11,$U$12:$V$13,2,0)</f>
        <v>0.9</v>
      </c>
      <c r="H11" s="16">
        <f t="shared" ref="H11:H22" si="1">E11*G11</f>
        <v>378000</v>
      </c>
      <c r="I11" s="180"/>
      <c r="J11" s="29">
        <f t="shared" ref="J11:J22" si="2">A11</f>
        <v>1</v>
      </c>
      <c r="K11" s="4">
        <f t="shared" ref="K11:K22" si="3">F229</f>
        <v>-0.96283470866379794</v>
      </c>
      <c r="L11" s="89">
        <f t="shared" ref="L11:L22" si="4">G304</f>
        <v>9.565194743497972E-2</v>
      </c>
      <c r="M11" s="107" t="str">
        <f t="shared" ref="M11:M22" si="5">IF(L11=MAX($L$12:$L$22),"Esse é o elemento com maior influência sobre os resultados da regressão","")</f>
        <v/>
      </c>
      <c r="N11" s="107"/>
      <c r="O11" s="5">
        <f t="shared" ref="O11:O22" si="6">H304</f>
        <v>1.2693832829176566</v>
      </c>
      <c r="P11" s="106" t="str">
        <f>IF(O11&gt;$Q$10,"O elemento ultrapassou o ponto crítico","")</f>
        <v/>
      </c>
      <c r="Q11" s="106"/>
      <c r="R11" s="1"/>
      <c r="T11" s="153" t="s">
        <v>201</v>
      </c>
      <c r="U11" s="153" t="s">
        <v>198</v>
      </c>
      <c r="V11" s="153" t="s">
        <v>202</v>
      </c>
      <c r="AA11" s="147">
        <f>C11</f>
        <v>223.3</v>
      </c>
      <c r="AB11" s="147">
        <f t="shared" ref="AB11:AC11" si="7">D11</f>
        <v>150</v>
      </c>
      <c r="AC11" s="147">
        <f t="shared" si="7"/>
        <v>420000</v>
      </c>
      <c r="AE11" s="147">
        <v>1</v>
      </c>
      <c r="AF11" s="147">
        <f t="shared" ref="AF11:AF22" si="8">AA11</f>
        <v>223.3</v>
      </c>
      <c r="AG11" s="152">
        <f t="shared" ref="AG11:AG22" si="9">AC11</f>
        <v>420000</v>
      </c>
      <c r="AH11" s="147" cm="1">
        <f t="array" ref="AH11:AH22">MMULT(AE11:AF22,MMULT(MINVERSE(MMULT(TRANSPOSE(AE11:AF22),AE11:AF22)),MMULT(TRANSPOSE(AE11:AF22),AG11:AG22)))</f>
        <v>436382.21920751536</v>
      </c>
      <c r="AI11" s="147">
        <f>AG11-AH11</f>
        <v>-16382.219207515358</v>
      </c>
      <c r="AK11" s="152">
        <f t="shared" ref="AK11:AK22" si="10">AB11</f>
        <v>150</v>
      </c>
      <c r="AL11" s="147" cm="1">
        <f t="array" ref="AL11:AL22">MMULT(AE11:AF22,MMULT(MINVERSE(MMULT(TRANSPOSE(AE11:AF22),AE11:AF22)),MMULT(TRANSPOSE(AE11:AF22),AK11:AK22)))</f>
        <v>153.68881435711748</v>
      </c>
      <c r="AM11" s="147">
        <f>AK11-AL11</f>
        <v>-3.6888143571174794</v>
      </c>
      <c r="AO11" s="152">
        <f>ABS(CORREL(AI11:AI22,AM11:AM22))</f>
        <v>0.52106079646515779</v>
      </c>
      <c r="AQ11" s="147">
        <f t="shared" ref="AQ11:AQ22" si="11">$C11</f>
        <v>223.3</v>
      </c>
      <c r="AR11" s="147">
        <f t="shared" ref="AR11:AR22" si="12">$D11</f>
        <v>150</v>
      </c>
      <c r="AS11" s="147">
        <f t="shared" ref="AS11:AS22" si="13">$H11</f>
        <v>378000</v>
      </c>
      <c r="AU11" s="147">
        <v>1</v>
      </c>
      <c r="AV11" s="147">
        <f>AR11</f>
        <v>150</v>
      </c>
      <c r="AW11" s="152">
        <f t="shared" ref="AW11:AW22" si="14">AS11</f>
        <v>378000</v>
      </c>
      <c r="AX11" s="147" cm="1">
        <f t="array" ref="AX11:AX22">MMULT(AU11:AV22,MMULT(MINVERSE(MMULT(TRANSPOSE(AU11:AV22),AU11:AV22)),MMULT(TRANSPOSE(AU11:AV22),AW11:AW22)))</f>
        <v>418210.83838940947</v>
      </c>
      <c r="AY11" s="147">
        <f>AW11-AX11</f>
        <v>-40210.838389409473</v>
      </c>
      <c r="BA11" s="152">
        <f t="shared" ref="BA11:BA22" si="15">AQ11</f>
        <v>223.3</v>
      </c>
      <c r="BB11" s="147" cm="1">
        <f t="array" ref="BB11:BB22">MMULT(AU11:AV22,MMULT(MINVERSE(MMULT(TRANSPOSE(AU11:AV22),AU11:AV22)),MMULT(TRANSPOSE(AU11:AV22),BA11:BA22)))</f>
        <v>246.46542333149483</v>
      </c>
      <c r="BC11" s="147">
        <f>BA11-BB11</f>
        <v>-23.165423331494821</v>
      </c>
      <c r="BE11" s="152">
        <f>ABS(CORREL(AY11:AY22,BC11:BC22))</f>
        <v>0.9179820678336823</v>
      </c>
      <c r="BG11" s="147">
        <f t="shared" ref="BG11:BG22" si="16">$C11</f>
        <v>223.3</v>
      </c>
      <c r="BH11" s="147">
        <f t="shared" ref="BH11:BH22" si="17">$D11</f>
        <v>150</v>
      </c>
      <c r="BI11" s="147">
        <f t="shared" ref="BI11:BI22" si="18">$H11</f>
        <v>378000</v>
      </c>
      <c r="BK11" s="147">
        <v>1</v>
      </c>
      <c r="BL11" s="147">
        <f t="shared" ref="BL11:BL22" si="19">BI11</f>
        <v>378000</v>
      </c>
      <c r="BM11" s="152">
        <f t="shared" ref="BM11:BM22" si="20">BG11</f>
        <v>223.3</v>
      </c>
      <c r="BN11" s="147" cm="1">
        <f t="array" ref="BN11:BN22">MMULT(BK11:BL22,MMULT(MINVERSE(MMULT(TRANSPOSE(BK11:BL22),BK11:BL22)),MMULT(TRANSPOSE(BK11:BL22),BM11:BM22)))</f>
        <v>217.44972787166193</v>
      </c>
      <c r="BO11" s="147">
        <f>BM11-BN11</f>
        <v>5.8502721283380765</v>
      </c>
      <c r="BQ11" s="152">
        <f t="shared" ref="BQ11:BQ22" si="21">BH11</f>
        <v>150</v>
      </c>
      <c r="BR11" s="147" cm="1">
        <f t="array" ref="BR11:BR22">MMULT(BK11:BL22,MMULT(MINVERSE(MMULT(TRANSPOSE(BK11:BL22),BK11:BL22)),MMULT(TRANSPOSE(BK11:BL22),BQ11:BQ22)))</f>
        <v>138.13520481237521</v>
      </c>
      <c r="BS11" s="147">
        <f>BQ11-BR11</f>
        <v>11.864795187624793</v>
      </c>
      <c r="BU11" s="152">
        <f>ABS(CORREL(BO11:BO22,BS11:BS22))</f>
        <v>0.27911888591698736</v>
      </c>
    </row>
    <row r="12" spans="1:73" ht="20.100000000000001" customHeight="1" x14ac:dyDescent="0.25">
      <c r="A12" s="28">
        <v>2</v>
      </c>
      <c r="B12" s="45" t="s">
        <v>203</v>
      </c>
      <c r="C12" s="45">
        <v>223.3</v>
      </c>
      <c r="D12" s="45">
        <v>150</v>
      </c>
      <c r="E12" s="45">
        <v>420000</v>
      </c>
      <c r="F12" s="45" t="s">
        <v>210</v>
      </c>
      <c r="G12" s="45">
        <f t="shared" si="0"/>
        <v>0.9</v>
      </c>
      <c r="H12" s="16">
        <f t="shared" si="1"/>
        <v>378000</v>
      </c>
      <c r="I12" s="180"/>
      <c r="J12" s="18">
        <f t="shared" si="2"/>
        <v>2</v>
      </c>
      <c r="K12" s="5">
        <f t="shared" si="3"/>
        <v>-0.96283470866379794</v>
      </c>
      <c r="L12" s="90">
        <f t="shared" si="4"/>
        <v>9.565194743497972E-2</v>
      </c>
      <c r="M12" s="107" t="str">
        <f t="shared" si="5"/>
        <v/>
      </c>
      <c r="N12" s="107"/>
      <c r="O12" s="5">
        <f t="shared" si="6"/>
        <v>1.2693832829176566</v>
      </c>
      <c r="P12" s="106" t="str">
        <f t="shared" ref="P12:P22" si="22">IF(O12&gt;$Q$10,"O elemento ultrapassou o ponto crítico","")</f>
        <v/>
      </c>
      <c r="Q12" s="106"/>
      <c r="R12" s="1"/>
      <c r="T12" s="153" t="s">
        <v>203</v>
      </c>
      <c r="U12" s="153" t="s">
        <v>204</v>
      </c>
      <c r="V12" s="153">
        <v>1</v>
      </c>
      <c r="AA12" s="147">
        <f t="shared" ref="AA12:AA22" si="23">C12</f>
        <v>223.3</v>
      </c>
      <c r="AB12" s="147">
        <f t="shared" ref="AB12:AB22" si="24">D12</f>
        <v>150</v>
      </c>
      <c r="AC12" s="147">
        <f t="shared" ref="AC12:AC22" si="25">E12</f>
        <v>420000</v>
      </c>
      <c r="AE12" s="147">
        <v>1</v>
      </c>
      <c r="AF12" s="147">
        <f t="shared" si="8"/>
        <v>223.3</v>
      </c>
      <c r="AG12" s="152">
        <f t="shared" si="9"/>
        <v>420000</v>
      </c>
      <c r="AH12" s="147">
        <v>436382.21920751536</v>
      </c>
      <c r="AI12" s="147">
        <f t="shared" ref="AI12:AI22" si="26">AG12-AH12</f>
        <v>-16382.219207515358</v>
      </c>
      <c r="AK12" s="152">
        <f t="shared" si="10"/>
        <v>150</v>
      </c>
      <c r="AL12" s="147">
        <v>153.68881435711748</v>
      </c>
      <c r="AM12" s="147">
        <f t="shared" ref="AM12:AM22" si="27">AK12-AL12</f>
        <v>-3.6888143571174794</v>
      </c>
      <c r="AQ12" s="147">
        <f t="shared" si="11"/>
        <v>223.3</v>
      </c>
      <c r="AR12" s="147">
        <f t="shared" si="12"/>
        <v>150</v>
      </c>
      <c r="AS12" s="147">
        <f t="shared" si="13"/>
        <v>378000</v>
      </c>
      <c r="AU12" s="147">
        <v>1</v>
      </c>
      <c r="AV12" s="147">
        <f t="shared" ref="AV12:AV22" si="28">AR12</f>
        <v>150</v>
      </c>
      <c r="AW12" s="152">
        <f t="shared" si="14"/>
        <v>378000</v>
      </c>
      <c r="AX12" s="147">
        <v>418210.83838940947</v>
      </c>
      <c r="AY12" s="147">
        <f t="shared" ref="AY12:AY22" si="29">AW12-AX12</f>
        <v>-40210.838389409473</v>
      </c>
      <c r="BA12" s="152">
        <f t="shared" si="15"/>
        <v>223.3</v>
      </c>
      <c r="BB12" s="147">
        <v>246.46542333149483</v>
      </c>
      <c r="BC12" s="147">
        <f t="shared" ref="BC12:BC22" si="30">BA12-BB12</f>
        <v>-23.165423331494821</v>
      </c>
      <c r="BG12" s="147">
        <f t="shared" si="16"/>
        <v>223.3</v>
      </c>
      <c r="BH12" s="147">
        <f t="shared" si="17"/>
        <v>150</v>
      </c>
      <c r="BI12" s="147">
        <f t="shared" si="18"/>
        <v>378000</v>
      </c>
      <c r="BK12" s="147">
        <v>1</v>
      </c>
      <c r="BL12" s="147">
        <f t="shared" si="19"/>
        <v>378000</v>
      </c>
      <c r="BM12" s="152">
        <f t="shared" si="20"/>
        <v>223.3</v>
      </c>
      <c r="BN12" s="147">
        <v>217.44972787166193</v>
      </c>
      <c r="BO12" s="147">
        <f t="shared" ref="BO12:BO22" si="31">BM12-BN12</f>
        <v>5.8502721283380765</v>
      </c>
      <c r="BQ12" s="152">
        <f t="shared" si="21"/>
        <v>150</v>
      </c>
      <c r="BR12" s="147">
        <v>138.13520481237521</v>
      </c>
      <c r="BS12" s="147">
        <f t="shared" ref="BS12:BS22" si="32">BQ12-BR12</f>
        <v>11.864795187624793</v>
      </c>
    </row>
    <row r="13" spans="1:73" ht="20.100000000000001" customHeight="1" x14ac:dyDescent="0.25">
      <c r="A13" s="28">
        <v>3</v>
      </c>
      <c r="B13" s="45" t="s">
        <v>203</v>
      </c>
      <c r="C13" s="45">
        <v>223.3</v>
      </c>
      <c r="D13" s="45">
        <v>100</v>
      </c>
      <c r="E13" s="45">
        <v>420000</v>
      </c>
      <c r="F13" s="45" t="s">
        <v>210</v>
      </c>
      <c r="G13" s="45">
        <f t="shared" si="0"/>
        <v>0.9</v>
      </c>
      <c r="H13" s="16">
        <f t="shared" si="1"/>
        <v>378000</v>
      </c>
      <c r="I13" s="180"/>
      <c r="J13" s="18">
        <f t="shared" si="2"/>
        <v>3</v>
      </c>
      <c r="K13" s="5">
        <f t="shared" si="3"/>
        <v>-0.31128768669368057</v>
      </c>
      <c r="L13" s="90">
        <f t="shared" si="4"/>
        <v>2.5814752915330627E-2</v>
      </c>
      <c r="M13" s="107" t="str">
        <f t="shared" si="5"/>
        <v/>
      </c>
      <c r="N13" s="107"/>
      <c r="O13" s="5">
        <f t="shared" si="6"/>
        <v>2.8669700632707507</v>
      </c>
      <c r="P13" s="106" t="str">
        <f t="shared" si="22"/>
        <v/>
      </c>
      <c r="Q13" s="106"/>
      <c r="R13" s="1"/>
      <c r="T13" s="153" t="s">
        <v>205</v>
      </c>
      <c r="U13" s="153" t="s">
        <v>210</v>
      </c>
      <c r="V13" s="153">
        <v>0.9</v>
      </c>
      <c r="AA13" s="147">
        <f t="shared" si="23"/>
        <v>223.3</v>
      </c>
      <c r="AB13" s="147">
        <f t="shared" si="24"/>
        <v>100</v>
      </c>
      <c r="AC13" s="147">
        <f t="shared" si="25"/>
        <v>420000</v>
      </c>
      <c r="AE13" s="147">
        <v>1</v>
      </c>
      <c r="AF13" s="147">
        <f t="shared" si="8"/>
        <v>223.3</v>
      </c>
      <c r="AG13" s="152">
        <f t="shared" si="9"/>
        <v>420000</v>
      </c>
      <c r="AH13" s="147">
        <v>436382.21920751536</v>
      </c>
      <c r="AI13" s="147">
        <f t="shared" si="26"/>
        <v>-16382.219207515358</v>
      </c>
      <c r="AK13" s="152">
        <f t="shared" si="10"/>
        <v>100</v>
      </c>
      <c r="AL13" s="147">
        <v>153.68881435711748</v>
      </c>
      <c r="AM13" s="147">
        <f t="shared" si="27"/>
        <v>-53.688814357117479</v>
      </c>
      <c r="AQ13" s="147">
        <f t="shared" si="11"/>
        <v>223.3</v>
      </c>
      <c r="AR13" s="147">
        <f t="shared" si="12"/>
        <v>100</v>
      </c>
      <c r="AS13" s="147">
        <f t="shared" si="13"/>
        <v>378000</v>
      </c>
      <c r="AU13" s="147">
        <v>1</v>
      </c>
      <c r="AV13" s="147">
        <f t="shared" si="28"/>
        <v>100</v>
      </c>
      <c r="AW13" s="152">
        <f t="shared" si="14"/>
        <v>378000</v>
      </c>
      <c r="AX13" s="147">
        <v>387507.58411472681</v>
      </c>
      <c r="AY13" s="147">
        <f t="shared" si="29"/>
        <v>-9507.5841147268075</v>
      </c>
      <c r="BA13" s="152">
        <f t="shared" si="15"/>
        <v>223.3</v>
      </c>
      <c r="BB13" s="147">
        <v>227.69749724214023</v>
      </c>
      <c r="BC13" s="147">
        <f t="shared" si="30"/>
        <v>-4.3974972421402185</v>
      </c>
      <c r="BG13" s="147">
        <f t="shared" si="16"/>
        <v>223.3</v>
      </c>
      <c r="BH13" s="147">
        <f t="shared" si="17"/>
        <v>100</v>
      </c>
      <c r="BI13" s="147">
        <f t="shared" si="18"/>
        <v>378000</v>
      </c>
      <c r="BK13" s="147">
        <v>1</v>
      </c>
      <c r="BL13" s="147">
        <f t="shared" si="19"/>
        <v>378000</v>
      </c>
      <c r="BM13" s="152">
        <f t="shared" si="20"/>
        <v>223.3</v>
      </c>
      <c r="BN13" s="147">
        <v>217.44972787166193</v>
      </c>
      <c r="BO13" s="147">
        <f t="shared" si="31"/>
        <v>5.8502721283380765</v>
      </c>
      <c r="BQ13" s="152">
        <f t="shared" si="21"/>
        <v>100</v>
      </c>
      <c r="BR13" s="147">
        <v>138.13520481237521</v>
      </c>
      <c r="BS13" s="147">
        <f t="shared" si="32"/>
        <v>-38.135204812375207</v>
      </c>
    </row>
    <row r="14" spans="1:73" ht="20.100000000000001" customHeight="1" x14ac:dyDescent="0.25">
      <c r="A14" s="28">
        <v>4</v>
      </c>
      <c r="B14" s="45" t="s">
        <v>203</v>
      </c>
      <c r="C14" s="45">
        <v>236.25</v>
      </c>
      <c r="D14" s="45">
        <v>250</v>
      </c>
      <c r="E14" s="45">
        <v>470000</v>
      </c>
      <c r="F14" s="45" t="s">
        <v>210</v>
      </c>
      <c r="G14" s="45">
        <f t="shared" si="0"/>
        <v>0.9</v>
      </c>
      <c r="H14" s="16">
        <f t="shared" si="1"/>
        <v>423000</v>
      </c>
      <c r="I14" s="180"/>
      <c r="J14" s="18">
        <f t="shared" si="2"/>
        <v>4</v>
      </c>
      <c r="K14" s="5">
        <f t="shared" si="3"/>
        <v>-0.18354308500271796</v>
      </c>
      <c r="L14" s="90">
        <f t="shared" si="4"/>
        <v>2.1522063347650063E-2</v>
      </c>
      <c r="M14" s="107" t="str">
        <f t="shared" si="5"/>
        <v/>
      </c>
      <c r="N14" s="107"/>
      <c r="O14" s="5">
        <f t="shared" si="6"/>
        <v>4.5050531433663057</v>
      </c>
      <c r="P14" s="106" t="str">
        <f t="shared" si="22"/>
        <v/>
      </c>
      <c r="Q14" s="106"/>
      <c r="R14" s="1"/>
      <c r="T14" s="153" t="s">
        <v>206</v>
      </c>
      <c r="U14" s="153"/>
      <c r="V14" s="153"/>
      <c r="AA14" s="147">
        <f t="shared" si="23"/>
        <v>236.25</v>
      </c>
      <c r="AB14" s="147">
        <f t="shared" si="24"/>
        <v>250</v>
      </c>
      <c r="AC14" s="147">
        <f t="shared" si="25"/>
        <v>470000</v>
      </c>
      <c r="AE14" s="147">
        <v>1</v>
      </c>
      <c r="AF14" s="147">
        <f t="shared" si="8"/>
        <v>236.25</v>
      </c>
      <c r="AG14" s="152">
        <f t="shared" si="9"/>
        <v>470000</v>
      </c>
      <c r="AH14" s="147">
        <v>455158.88210588973</v>
      </c>
      <c r="AI14" s="147">
        <f t="shared" si="26"/>
        <v>14841.11789411027</v>
      </c>
      <c r="AK14" s="152">
        <f t="shared" si="10"/>
        <v>250</v>
      </c>
      <c r="AL14" s="147">
        <v>165.63546530331527</v>
      </c>
      <c r="AM14" s="147">
        <f t="shared" si="27"/>
        <v>84.364534696684728</v>
      </c>
      <c r="AQ14" s="147">
        <f t="shared" si="11"/>
        <v>236.25</v>
      </c>
      <c r="AR14" s="147">
        <f t="shared" si="12"/>
        <v>250</v>
      </c>
      <c r="AS14" s="147">
        <f t="shared" si="13"/>
        <v>423000</v>
      </c>
      <c r="AU14" s="147">
        <v>1</v>
      </c>
      <c r="AV14" s="147">
        <f t="shared" si="28"/>
        <v>250</v>
      </c>
      <c r="AW14" s="152">
        <f t="shared" si="14"/>
        <v>423000</v>
      </c>
      <c r="AX14" s="147">
        <v>479617.34693877492</v>
      </c>
      <c r="AY14" s="147">
        <f t="shared" si="29"/>
        <v>-56617.346938774921</v>
      </c>
      <c r="BA14" s="152">
        <f t="shared" si="15"/>
        <v>236.25</v>
      </c>
      <c r="BB14" s="147">
        <v>284.00127551020404</v>
      </c>
      <c r="BC14" s="147">
        <f t="shared" si="30"/>
        <v>-47.751275510204039</v>
      </c>
      <c r="BG14" s="147">
        <f t="shared" si="16"/>
        <v>236.25</v>
      </c>
      <c r="BH14" s="147">
        <f t="shared" si="17"/>
        <v>250</v>
      </c>
      <c r="BI14" s="147">
        <f t="shared" si="18"/>
        <v>423000</v>
      </c>
      <c r="BK14" s="147">
        <v>1</v>
      </c>
      <c r="BL14" s="147">
        <f t="shared" si="19"/>
        <v>423000</v>
      </c>
      <c r="BM14" s="152">
        <f t="shared" si="20"/>
        <v>236.25</v>
      </c>
      <c r="BN14" s="147">
        <v>248.08815525636555</v>
      </c>
      <c r="BO14" s="147">
        <f t="shared" si="31"/>
        <v>-11.838155256365553</v>
      </c>
      <c r="BQ14" s="152">
        <f t="shared" si="21"/>
        <v>250</v>
      </c>
      <c r="BR14" s="147">
        <v>173.5691778859935</v>
      </c>
      <c r="BS14" s="147">
        <f t="shared" si="32"/>
        <v>76.430822114006503</v>
      </c>
    </row>
    <row r="15" spans="1:73" ht="20.100000000000001" customHeight="1" x14ac:dyDescent="0.25">
      <c r="A15" s="28">
        <v>5</v>
      </c>
      <c r="B15" s="45" t="s">
        <v>203</v>
      </c>
      <c r="C15" s="45">
        <v>236.25</v>
      </c>
      <c r="D15" s="45">
        <v>150</v>
      </c>
      <c r="E15" s="45">
        <v>470000</v>
      </c>
      <c r="F15" s="45" t="s">
        <v>210</v>
      </c>
      <c r="G15" s="45">
        <f t="shared" si="0"/>
        <v>0.9</v>
      </c>
      <c r="H15" s="16">
        <f t="shared" si="1"/>
        <v>423000</v>
      </c>
      <c r="I15" s="180"/>
      <c r="J15" s="18">
        <f t="shared" si="2"/>
        <v>5</v>
      </c>
      <c r="K15" s="5">
        <f t="shared" si="3"/>
        <v>1.1195509589375168</v>
      </c>
      <c r="L15" s="90">
        <f t="shared" si="4"/>
        <v>8.2830685368785281E-2</v>
      </c>
      <c r="M15" s="107" t="str">
        <f t="shared" si="5"/>
        <v/>
      </c>
      <c r="N15" s="107"/>
      <c r="O15" s="5">
        <f t="shared" si="6"/>
        <v>0.67775476421317071</v>
      </c>
      <c r="P15" s="106" t="str">
        <f t="shared" si="22"/>
        <v/>
      </c>
      <c r="Q15" s="106"/>
      <c r="R15" s="1"/>
      <c r="T15" s="153" t="s">
        <v>207</v>
      </c>
      <c r="U15" s="153"/>
      <c r="V15" s="153"/>
      <c r="AA15" s="147">
        <f t="shared" si="23"/>
        <v>236.25</v>
      </c>
      <c r="AB15" s="147">
        <f t="shared" si="24"/>
        <v>150</v>
      </c>
      <c r="AC15" s="147">
        <f t="shared" si="25"/>
        <v>470000</v>
      </c>
      <c r="AE15" s="147">
        <v>1</v>
      </c>
      <c r="AF15" s="147">
        <f t="shared" si="8"/>
        <v>236.25</v>
      </c>
      <c r="AG15" s="152">
        <f t="shared" si="9"/>
        <v>470000</v>
      </c>
      <c r="AH15" s="147">
        <v>455158.88210588973</v>
      </c>
      <c r="AI15" s="147">
        <f t="shared" si="26"/>
        <v>14841.11789411027</v>
      </c>
      <c r="AK15" s="152">
        <f t="shared" si="10"/>
        <v>150</v>
      </c>
      <c r="AL15" s="147">
        <v>165.63546530331527</v>
      </c>
      <c r="AM15" s="147">
        <f t="shared" si="27"/>
        <v>-15.635465303315272</v>
      </c>
      <c r="AQ15" s="147">
        <f t="shared" si="11"/>
        <v>236.25</v>
      </c>
      <c r="AR15" s="147">
        <f t="shared" si="12"/>
        <v>150</v>
      </c>
      <c r="AS15" s="147">
        <f t="shared" si="13"/>
        <v>423000</v>
      </c>
      <c r="AU15" s="147">
        <v>1</v>
      </c>
      <c r="AV15" s="147">
        <f t="shared" si="28"/>
        <v>150</v>
      </c>
      <c r="AW15" s="152">
        <f t="shared" si="14"/>
        <v>423000</v>
      </c>
      <c r="AX15" s="147">
        <v>418210.83838940947</v>
      </c>
      <c r="AY15" s="147">
        <f t="shared" si="29"/>
        <v>4789.1616105905268</v>
      </c>
      <c r="BA15" s="152">
        <f t="shared" si="15"/>
        <v>236.25</v>
      </c>
      <c r="BB15" s="147">
        <v>246.46542333149483</v>
      </c>
      <c r="BC15" s="147">
        <f t="shared" si="30"/>
        <v>-10.215423331494833</v>
      </c>
      <c r="BG15" s="147">
        <f t="shared" si="16"/>
        <v>236.25</v>
      </c>
      <c r="BH15" s="147">
        <f t="shared" si="17"/>
        <v>150</v>
      </c>
      <c r="BI15" s="147">
        <f t="shared" si="18"/>
        <v>423000</v>
      </c>
      <c r="BK15" s="147">
        <v>1</v>
      </c>
      <c r="BL15" s="147">
        <f t="shared" si="19"/>
        <v>423000</v>
      </c>
      <c r="BM15" s="152">
        <f t="shared" si="20"/>
        <v>236.25</v>
      </c>
      <c r="BN15" s="147">
        <v>248.08815525636555</v>
      </c>
      <c r="BO15" s="147">
        <f t="shared" si="31"/>
        <v>-11.838155256365553</v>
      </c>
      <c r="BQ15" s="152">
        <f t="shared" si="21"/>
        <v>150</v>
      </c>
      <c r="BR15" s="147">
        <v>173.5691778859935</v>
      </c>
      <c r="BS15" s="147">
        <f t="shared" si="32"/>
        <v>-23.569177885993497</v>
      </c>
    </row>
    <row r="16" spans="1:73" ht="20.100000000000001" customHeight="1" x14ac:dyDescent="0.25">
      <c r="A16" s="28">
        <v>6</v>
      </c>
      <c r="B16" s="45" t="s">
        <v>203</v>
      </c>
      <c r="C16" s="45">
        <v>236.25</v>
      </c>
      <c r="D16" s="45">
        <v>150</v>
      </c>
      <c r="E16" s="45">
        <v>470000</v>
      </c>
      <c r="F16" s="45" t="s">
        <v>210</v>
      </c>
      <c r="G16" s="45">
        <f t="shared" si="0"/>
        <v>0.9</v>
      </c>
      <c r="H16" s="16">
        <f t="shared" si="1"/>
        <v>423000</v>
      </c>
      <c r="I16" s="180"/>
      <c r="J16" s="18">
        <f t="shared" si="2"/>
        <v>6</v>
      </c>
      <c r="K16" s="5">
        <f t="shared" si="3"/>
        <v>1.1195509589375168</v>
      </c>
      <c r="L16" s="90">
        <f t="shared" si="4"/>
        <v>8.2830685368785281E-2</v>
      </c>
      <c r="M16" s="107" t="str">
        <f t="shared" si="5"/>
        <v/>
      </c>
      <c r="N16" s="107"/>
      <c r="O16" s="5">
        <f t="shared" si="6"/>
        <v>0.67775476421317071</v>
      </c>
      <c r="P16" s="106" t="str">
        <f t="shared" si="22"/>
        <v/>
      </c>
      <c r="Q16" s="106"/>
      <c r="R16" s="1"/>
      <c r="T16" s="153" t="s">
        <v>208</v>
      </c>
      <c r="U16" s="153"/>
      <c r="V16" s="153"/>
      <c r="AA16" s="147">
        <f t="shared" si="23"/>
        <v>236.25</v>
      </c>
      <c r="AB16" s="147">
        <f t="shared" si="24"/>
        <v>150</v>
      </c>
      <c r="AC16" s="147">
        <f t="shared" si="25"/>
        <v>470000</v>
      </c>
      <c r="AE16" s="147">
        <v>1</v>
      </c>
      <c r="AF16" s="147">
        <f t="shared" si="8"/>
        <v>236.25</v>
      </c>
      <c r="AG16" s="152">
        <f t="shared" si="9"/>
        <v>470000</v>
      </c>
      <c r="AH16" s="147">
        <v>455158.88210588973</v>
      </c>
      <c r="AI16" s="147">
        <f t="shared" si="26"/>
        <v>14841.11789411027</v>
      </c>
      <c r="AK16" s="152">
        <f t="shared" si="10"/>
        <v>150</v>
      </c>
      <c r="AL16" s="147">
        <v>165.63546530331527</v>
      </c>
      <c r="AM16" s="147">
        <f t="shared" si="27"/>
        <v>-15.635465303315272</v>
      </c>
      <c r="AQ16" s="147">
        <f t="shared" si="11"/>
        <v>236.25</v>
      </c>
      <c r="AR16" s="147">
        <f t="shared" si="12"/>
        <v>150</v>
      </c>
      <c r="AS16" s="147">
        <f t="shared" si="13"/>
        <v>423000</v>
      </c>
      <c r="AU16" s="147">
        <v>1</v>
      </c>
      <c r="AV16" s="147">
        <f t="shared" si="28"/>
        <v>150</v>
      </c>
      <c r="AW16" s="152">
        <f t="shared" si="14"/>
        <v>423000</v>
      </c>
      <c r="AX16" s="147">
        <v>418210.83838940947</v>
      </c>
      <c r="AY16" s="147">
        <f t="shared" si="29"/>
        <v>4789.1616105905268</v>
      </c>
      <c r="BA16" s="152">
        <f t="shared" si="15"/>
        <v>236.25</v>
      </c>
      <c r="BB16" s="147">
        <v>246.46542333149483</v>
      </c>
      <c r="BC16" s="147">
        <f t="shared" si="30"/>
        <v>-10.215423331494833</v>
      </c>
      <c r="BG16" s="147">
        <f t="shared" si="16"/>
        <v>236.25</v>
      </c>
      <c r="BH16" s="147">
        <f t="shared" si="17"/>
        <v>150</v>
      </c>
      <c r="BI16" s="147">
        <f t="shared" si="18"/>
        <v>423000</v>
      </c>
      <c r="BK16" s="147">
        <v>1</v>
      </c>
      <c r="BL16" s="147">
        <f t="shared" si="19"/>
        <v>423000</v>
      </c>
      <c r="BM16" s="152">
        <f t="shared" si="20"/>
        <v>236.25</v>
      </c>
      <c r="BN16" s="147">
        <v>248.08815525636555</v>
      </c>
      <c r="BO16" s="147">
        <f t="shared" si="31"/>
        <v>-11.838155256365553</v>
      </c>
      <c r="BQ16" s="152">
        <f t="shared" si="21"/>
        <v>150</v>
      </c>
      <c r="BR16" s="147">
        <v>173.5691778859935</v>
      </c>
      <c r="BS16" s="147">
        <f t="shared" si="32"/>
        <v>-23.569177885993497</v>
      </c>
    </row>
    <row r="17" spans="1:71" ht="20.100000000000001" customHeight="1" x14ac:dyDescent="0.25">
      <c r="A17" s="28">
        <v>7</v>
      </c>
      <c r="B17" s="45" t="s">
        <v>203</v>
      </c>
      <c r="C17" s="45">
        <v>303.85000000000002</v>
      </c>
      <c r="D17" s="45">
        <v>250</v>
      </c>
      <c r="E17" s="45">
        <v>530000</v>
      </c>
      <c r="F17" s="45" t="s">
        <v>210</v>
      </c>
      <c r="G17" s="45">
        <f t="shared" si="0"/>
        <v>0.9</v>
      </c>
      <c r="H17" s="16">
        <f t="shared" si="1"/>
        <v>477000</v>
      </c>
      <c r="I17" s="180"/>
      <c r="J17" s="18">
        <f t="shared" si="2"/>
        <v>7</v>
      </c>
      <c r="K17" s="5">
        <f t="shared" si="3"/>
        <v>-1.7167458590555089</v>
      </c>
      <c r="L17" s="90">
        <f t="shared" si="4"/>
        <v>0.46097541963692162</v>
      </c>
      <c r="M17" s="107" t="str">
        <f t="shared" si="5"/>
        <v>Esse é o elemento com maior influência sobre os resultados da regressão</v>
      </c>
      <c r="N17" s="107"/>
      <c r="O17" s="5">
        <f t="shared" si="6"/>
        <v>1.9235503989811946</v>
      </c>
      <c r="P17" s="106" t="str">
        <f t="shared" si="22"/>
        <v/>
      </c>
      <c r="Q17" s="106"/>
      <c r="R17" s="1"/>
      <c r="T17" s="153" t="s">
        <v>209</v>
      </c>
      <c r="U17" s="153"/>
      <c r="V17" s="153"/>
      <c r="AA17" s="147">
        <f t="shared" si="23"/>
        <v>303.85000000000002</v>
      </c>
      <c r="AB17" s="147">
        <f t="shared" si="24"/>
        <v>250</v>
      </c>
      <c r="AC17" s="147">
        <f t="shared" si="25"/>
        <v>530000</v>
      </c>
      <c r="AE17" s="147">
        <v>1</v>
      </c>
      <c r="AF17" s="147">
        <f t="shared" si="8"/>
        <v>303.85000000000002</v>
      </c>
      <c r="AG17" s="152">
        <f t="shared" si="9"/>
        <v>530000</v>
      </c>
      <c r="AH17" s="147">
        <v>553174.51237076288</v>
      </c>
      <c r="AI17" s="147">
        <f t="shared" si="26"/>
        <v>-23174.512370762881</v>
      </c>
      <c r="AK17" s="152">
        <f t="shared" si="10"/>
        <v>250</v>
      </c>
      <c r="AL17" s="147">
        <v>227.99790576377637</v>
      </c>
      <c r="AM17" s="147">
        <f t="shared" si="27"/>
        <v>22.002094236223627</v>
      </c>
      <c r="AQ17" s="147">
        <f t="shared" si="11"/>
        <v>303.85000000000002</v>
      </c>
      <c r="AR17" s="147">
        <f t="shared" si="12"/>
        <v>250</v>
      </c>
      <c r="AS17" s="147">
        <f t="shared" si="13"/>
        <v>477000</v>
      </c>
      <c r="AU17" s="147">
        <v>1</v>
      </c>
      <c r="AV17" s="147">
        <f t="shared" si="28"/>
        <v>250</v>
      </c>
      <c r="AW17" s="152">
        <f t="shared" si="14"/>
        <v>477000</v>
      </c>
      <c r="AX17" s="147">
        <v>479617.34693877492</v>
      </c>
      <c r="AY17" s="147">
        <f t="shared" si="29"/>
        <v>-2617.346938774921</v>
      </c>
      <c r="BA17" s="152">
        <f t="shared" si="15"/>
        <v>303.85000000000002</v>
      </c>
      <c r="BB17" s="147">
        <v>284.00127551020404</v>
      </c>
      <c r="BC17" s="147">
        <f t="shared" si="30"/>
        <v>19.848724489795984</v>
      </c>
      <c r="BG17" s="147">
        <f t="shared" si="16"/>
        <v>303.85000000000002</v>
      </c>
      <c r="BH17" s="147">
        <f t="shared" si="17"/>
        <v>250</v>
      </c>
      <c r="BI17" s="147">
        <f t="shared" si="18"/>
        <v>477000</v>
      </c>
      <c r="BK17" s="147">
        <v>1</v>
      </c>
      <c r="BL17" s="147">
        <f t="shared" si="19"/>
        <v>477000</v>
      </c>
      <c r="BM17" s="152">
        <f t="shared" si="20"/>
        <v>303.85000000000002</v>
      </c>
      <c r="BN17" s="147">
        <v>284.85426811800994</v>
      </c>
      <c r="BO17" s="147">
        <f t="shared" si="31"/>
        <v>18.995731881990082</v>
      </c>
      <c r="BQ17" s="152">
        <f t="shared" si="21"/>
        <v>250</v>
      </c>
      <c r="BR17" s="147">
        <v>216.08994557433545</v>
      </c>
      <c r="BS17" s="147">
        <f t="shared" si="32"/>
        <v>33.910054425664555</v>
      </c>
    </row>
    <row r="18" spans="1:71" ht="20.100000000000001" customHeight="1" x14ac:dyDescent="0.25">
      <c r="A18" s="28">
        <v>8</v>
      </c>
      <c r="B18" s="45" t="s">
        <v>203</v>
      </c>
      <c r="C18" s="45">
        <v>303.85000000000002</v>
      </c>
      <c r="D18" s="45">
        <v>150</v>
      </c>
      <c r="E18" s="45">
        <v>530000</v>
      </c>
      <c r="F18" s="45" t="s">
        <v>210</v>
      </c>
      <c r="G18" s="45">
        <f t="shared" si="0"/>
        <v>0.9</v>
      </c>
      <c r="H18" s="16">
        <f t="shared" si="1"/>
        <v>477000</v>
      </c>
      <c r="I18" s="180"/>
      <c r="J18" s="18">
        <f t="shared" si="2"/>
        <v>8</v>
      </c>
      <c r="K18" s="5">
        <f t="shared" si="3"/>
        <v>-0.4136518151152741</v>
      </c>
      <c r="L18" s="90">
        <f t="shared" si="4"/>
        <v>0.14707688094862087</v>
      </c>
      <c r="M18" s="107" t="str">
        <f t="shared" si="5"/>
        <v/>
      </c>
      <c r="N18" s="107"/>
      <c r="O18" s="5">
        <f t="shared" si="6"/>
        <v>5.0417750539978909</v>
      </c>
      <c r="P18" s="106" t="str">
        <f t="shared" si="22"/>
        <v/>
      </c>
      <c r="Q18" s="106"/>
      <c r="R18" s="1"/>
      <c r="AA18" s="147">
        <f t="shared" si="23"/>
        <v>303.85000000000002</v>
      </c>
      <c r="AB18" s="147">
        <f t="shared" si="24"/>
        <v>150</v>
      </c>
      <c r="AC18" s="147">
        <f t="shared" si="25"/>
        <v>530000</v>
      </c>
      <c r="AE18" s="147">
        <v>1</v>
      </c>
      <c r="AF18" s="147">
        <f t="shared" si="8"/>
        <v>303.85000000000002</v>
      </c>
      <c r="AG18" s="152">
        <f t="shared" si="9"/>
        <v>530000</v>
      </c>
      <c r="AH18" s="147">
        <v>553174.51237076288</v>
      </c>
      <c r="AI18" s="147">
        <f t="shared" si="26"/>
        <v>-23174.512370762881</v>
      </c>
      <c r="AK18" s="152">
        <f t="shared" si="10"/>
        <v>150</v>
      </c>
      <c r="AL18" s="147">
        <v>227.99790576377637</v>
      </c>
      <c r="AM18" s="147">
        <f t="shared" si="27"/>
        <v>-77.997905763776373</v>
      </c>
      <c r="AQ18" s="147">
        <f t="shared" si="11"/>
        <v>303.85000000000002</v>
      </c>
      <c r="AR18" s="147">
        <f t="shared" si="12"/>
        <v>150</v>
      </c>
      <c r="AS18" s="147">
        <f t="shared" si="13"/>
        <v>477000</v>
      </c>
      <c r="AU18" s="147">
        <v>1</v>
      </c>
      <c r="AV18" s="147">
        <f t="shared" si="28"/>
        <v>150</v>
      </c>
      <c r="AW18" s="152">
        <f t="shared" si="14"/>
        <v>477000</v>
      </c>
      <c r="AX18" s="147">
        <v>418210.83838940947</v>
      </c>
      <c r="AY18" s="147">
        <f t="shared" si="29"/>
        <v>58789.161610590527</v>
      </c>
      <c r="BA18" s="152">
        <f t="shared" si="15"/>
        <v>303.85000000000002</v>
      </c>
      <c r="BB18" s="147">
        <v>246.46542333149483</v>
      </c>
      <c r="BC18" s="147">
        <f t="shared" si="30"/>
        <v>57.38457666850519</v>
      </c>
      <c r="BG18" s="147">
        <f t="shared" si="16"/>
        <v>303.85000000000002</v>
      </c>
      <c r="BH18" s="147">
        <f t="shared" si="17"/>
        <v>150</v>
      </c>
      <c r="BI18" s="147">
        <f t="shared" si="18"/>
        <v>477000</v>
      </c>
      <c r="BK18" s="147">
        <v>1</v>
      </c>
      <c r="BL18" s="147">
        <f t="shared" si="19"/>
        <v>477000</v>
      </c>
      <c r="BM18" s="152">
        <f t="shared" si="20"/>
        <v>303.85000000000002</v>
      </c>
      <c r="BN18" s="147">
        <v>284.85426811800994</v>
      </c>
      <c r="BO18" s="147">
        <f t="shared" si="31"/>
        <v>18.995731881990082</v>
      </c>
      <c r="BQ18" s="152">
        <f t="shared" si="21"/>
        <v>150</v>
      </c>
      <c r="BR18" s="147">
        <v>216.08994557433545</v>
      </c>
      <c r="BS18" s="147">
        <f t="shared" si="32"/>
        <v>-66.089945574335445</v>
      </c>
    </row>
    <row r="19" spans="1:71" ht="20.100000000000001" customHeight="1" x14ac:dyDescent="0.25">
      <c r="A19" s="28">
        <v>9</v>
      </c>
      <c r="B19" s="45" t="s">
        <v>203</v>
      </c>
      <c r="C19" s="45">
        <v>284.5</v>
      </c>
      <c r="D19" s="45">
        <v>250</v>
      </c>
      <c r="E19" s="45">
        <v>540000</v>
      </c>
      <c r="F19" s="45" t="s">
        <v>210</v>
      </c>
      <c r="G19" s="45">
        <f t="shared" si="0"/>
        <v>0.9</v>
      </c>
      <c r="H19" s="16">
        <f t="shared" si="1"/>
        <v>486000</v>
      </c>
      <c r="I19" s="180"/>
      <c r="J19" s="18">
        <f t="shared" si="2"/>
        <v>9</v>
      </c>
      <c r="K19" s="5">
        <f t="shared" si="3"/>
        <v>0.39899210272686803</v>
      </c>
      <c r="L19" s="90">
        <f t="shared" si="4"/>
        <v>1.7753423431674634E-2</v>
      </c>
      <c r="M19" s="107" t="str">
        <f t="shared" si="5"/>
        <v/>
      </c>
      <c r="N19" s="107"/>
      <c r="O19" s="5">
        <f t="shared" si="6"/>
        <v>1.3846941523306302</v>
      </c>
      <c r="P19" s="106" t="str">
        <f t="shared" si="22"/>
        <v/>
      </c>
      <c r="Q19" s="106"/>
      <c r="R19" s="1"/>
      <c r="AA19" s="147">
        <f t="shared" si="23"/>
        <v>284.5</v>
      </c>
      <c r="AB19" s="147">
        <f t="shared" si="24"/>
        <v>250</v>
      </c>
      <c r="AC19" s="147">
        <f t="shared" si="25"/>
        <v>540000</v>
      </c>
      <c r="AE19" s="147">
        <v>1</v>
      </c>
      <c r="AF19" s="147">
        <f t="shared" si="8"/>
        <v>284.5</v>
      </c>
      <c r="AG19" s="152">
        <f t="shared" si="9"/>
        <v>540000</v>
      </c>
      <c r="AH19" s="147">
        <v>525118.26317512244</v>
      </c>
      <c r="AI19" s="147">
        <f t="shared" si="26"/>
        <v>14881.73682487756</v>
      </c>
      <c r="AK19" s="152">
        <f t="shared" si="10"/>
        <v>250</v>
      </c>
      <c r="AL19" s="147">
        <v>210.14711844262365</v>
      </c>
      <c r="AM19" s="147">
        <f t="shared" si="27"/>
        <v>39.85288155737635</v>
      </c>
      <c r="AQ19" s="147">
        <f t="shared" si="11"/>
        <v>284.5</v>
      </c>
      <c r="AR19" s="147">
        <f t="shared" si="12"/>
        <v>250</v>
      </c>
      <c r="AS19" s="147">
        <f t="shared" si="13"/>
        <v>486000</v>
      </c>
      <c r="AU19" s="147">
        <v>1</v>
      </c>
      <c r="AV19" s="147">
        <f t="shared" si="28"/>
        <v>250</v>
      </c>
      <c r="AW19" s="152">
        <f t="shared" si="14"/>
        <v>486000</v>
      </c>
      <c r="AX19" s="147">
        <v>479617.34693877492</v>
      </c>
      <c r="AY19" s="147">
        <f t="shared" si="29"/>
        <v>6382.653061225079</v>
      </c>
      <c r="BA19" s="152">
        <f t="shared" si="15"/>
        <v>284.5</v>
      </c>
      <c r="BB19" s="147">
        <v>284.00127551020404</v>
      </c>
      <c r="BC19" s="147">
        <f t="shared" si="30"/>
        <v>0.49872448979596129</v>
      </c>
      <c r="BG19" s="147">
        <f t="shared" si="16"/>
        <v>284.5</v>
      </c>
      <c r="BH19" s="147">
        <f t="shared" si="17"/>
        <v>250</v>
      </c>
      <c r="BI19" s="147">
        <f t="shared" si="18"/>
        <v>486000</v>
      </c>
      <c r="BK19" s="147">
        <v>1</v>
      </c>
      <c r="BL19" s="147">
        <f t="shared" si="19"/>
        <v>486000</v>
      </c>
      <c r="BM19" s="152">
        <f t="shared" si="20"/>
        <v>284.5</v>
      </c>
      <c r="BN19" s="147">
        <v>290.98195359495071</v>
      </c>
      <c r="BO19" s="147">
        <f t="shared" si="31"/>
        <v>-6.4819535949507099</v>
      </c>
      <c r="BQ19" s="152">
        <f t="shared" si="21"/>
        <v>250</v>
      </c>
      <c r="BR19" s="147">
        <v>223.1767401890591</v>
      </c>
      <c r="BS19" s="147">
        <f t="shared" si="32"/>
        <v>26.823259810940897</v>
      </c>
    </row>
    <row r="20" spans="1:71" ht="20.100000000000001" customHeight="1" x14ac:dyDescent="0.25">
      <c r="A20" s="28">
        <v>10</v>
      </c>
      <c r="B20" s="45" t="s">
        <v>203</v>
      </c>
      <c r="C20" s="45">
        <v>290.39999999999998</v>
      </c>
      <c r="D20" s="45">
        <v>200</v>
      </c>
      <c r="E20" s="45">
        <v>540000</v>
      </c>
      <c r="F20" s="45" t="s">
        <v>210</v>
      </c>
      <c r="G20" s="45">
        <f t="shared" si="0"/>
        <v>0.9</v>
      </c>
      <c r="H20" s="16">
        <f t="shared" si="1"/>
        <v>486000</v>
      </c>
      <c r="I20" s="180"/>
      <c r="J20" s="18">
        <f t="shared" si="2"/>
        <v>10</v>
      </c>
      <c r="K20" s="5">
        <f t="shared" si="3"/>
        <v>0.59358201955813295</v>
      </c>
      <c r="L20" s="90">
        <f t="shared" si="4"/>
        <v>2.8180941645410042E-2</v>
      </c>
      <c r="M20" s="107" t="str">
        <f t="shared" si="5"/>
        <v/>
      </c>
      <c r="N20" s="107"/>
      <c r="O20" s="5">
        <f t="shared" si="6"/>
        <v>0.91637733295414281</v>
      </c>
      <c r="P20" s="106" t="str">
        <f t="shared" si="22"/>
        <v/>
      </c>
      <c r="Q20" s="106"/>
      <c r="R20" s="1"/>
      <c r="AA20" s="147">
        <f t="shared" si="23"/>
        <v>290.39999999999998</v>
      </c>
      <c r="AB20" s="147">
        <f t="shared" si="24"/>
        <v>200</v>
      </c>
      <c r="AC20" s="147">
        <f t="shared" si="25"/>
        <v>540000</v>
      </c>
      <c r="AE20" s="147">
        <v>1</v>
      </c>
      <c r="AF20" s="147">
        <f t="shared" si="8"/>
        <v>290.39999999999998</v>
      </c>
      <c r="AG20" s="152">
        <f t="shared" si="9"/>
        <v>540000</v>
      </c>
      <c r="AH20" s="147">
        <v>533672.88179291459</v>
      </c>
      <c r="AI20" s="147">
        <f t="shared" si="26"/>
        <v>6327.118207085412</v>
      </c>
      <c r="AK20" s="152">
        <f t="shared" si="10"/>
        <v>200</v>
      </c>
      <c r="AL20" s="147">
        <v>215.58999416328521</v>
      </c>
      <c r="AM20" s="147">
        <f t="shared" si="27"/>
        <v>-15.589994163285212</v>
      </c>
      <c r="AQ20" s="147">
        <f t="shared" si="11"/>
        <v>290.39999999999998</v>
      </c>
      <c r="AR20" s="147">
        <f t="shared" si="12"/>
        <v>200</v>
      </c>
      <c r="AS20" s="147">
        <f t="shared" si="13"/>
        <v>486000</v>
      </c>
      <c r="AU20" s="147">
        <v>1</v>
      </c>
      <c r="AV20" s="147">
        <f t="shared" si="28"/>
        <v>200</v>
      </c>
      <c r="AW20" s="152">
        <f t="shared" si="14"/>
        <v>486000</v>
      </c>
      <c r="AX20" s="147">
        <v>448914.0926640922</v>
      </c>
      <c r="AY20" s="147">
        <f t="shared" si="29"/>
        <v>37085.907335907803</v>
      </c>
      <c r="BA20" s="152">
        <f t="shared" si="15"/>
        <v>290.39999999999998</v>
      </c>
      <c r="BB20" s="147">
        <v>265.23334942084944</v>
      </c>
      <c r="BC20" s="147">
        <f t="shared" si="30"/>
        <v>25.166650579150541</v>
      </c>
      <c r="BG20" s="147">
        <f t="shared" si="16"/>
        <v>290.39999999999998</v>
      </c>
      <c r="BH20" s="147">
        <f t="shared" si="17"/>
        <v>200</v>
      </c>
      <c r="BI20" s="147">
        <f t="shared" si="18"/>
        <v>486000</v>
      </c>
      <c r="BK20" s="147">
        <v>1</v>
      </c>
      <c r="BL20" s="147">
        <f t="shared" si="19"/>
        <v>486000</v>
      </c>
      <c r="BM20" s="152">
        <f t="shared" si="20"/>
        <v>290.39999999999998</v>
      </c>
      <c r="BN20" s="147">
        <v>290.98195359495071</v>
      </c>
      <c r="BO20" s="147">
        <f t="shared" si="31"/>
        <v>-0.58195359495073262</v>
      </c>
      <c r="BQ20" s="152">
        <f t="shared" si="21"/>
        <v>200</v>
      </c>
      <c r="BR20" s="147">
        <v>223.1767401890591</v>
      </c>
      <c r="BS20" s="147">
        <f t="shared" si="32"/>
        <v>-23.176740189059103</v>
      </c>
    </row>
    <row r="21" spans="1:71" ht="20.100000000000001" customHeight="1" x14ac:dyDescent="0.25">
      <c r="A21" s="28">
        <v>11</v>
      </c>
      <c r="B21" s="45" t="s">
        <v>203</v>
      </c>
      <c r="C21" s="45">
        <v>284.5</v>
      </c>
      <c r="D21" s="45">
        <v>225</v>
      </c>
      <c r="E21" s="45">
        <v>540000</v>
      </c>
      <c r="F21" s="45" t="s">
        <v>210</v>
      </c>
      <c r="G21" s="45">
        <f t="shared" si="0"/>
        <v>0.9</v>
      </c>
      <c r="H21" s="16">
        <f t="shared" si="1"/>
        <v>486000</v>
      </c>
      <c r="I21" s="180"/>
      <c r="J21" s="18">
        <f t="shared" si="2"/>
        <v>11</v>
      </c>
      <c r="K21" s="5">
        <f t="shared" si="3"/>
        <v>0.72476561371192871</v>
      </c>
      <c r="L21" s="90">
        <f t="shared" si="4"/>
        <v>3.3137285169517597E-2</v>
      </c>
      <c r="M21" s="107" t="str">
        <f t="shared" si="5"/>
        <v/>
      </c>
      <c r="N21" s="107"/>
      <c r="O21" s="5">
        <f t="shared" si="6"/>
        <v>0.62309763884855773</v>
      </c>
      <c r="P21" s="106" t="str">
        <f t="shared" si="22"/>
        <v/>
      </c>
      <c r="Q21" s="106"/>
      <c r="R21" s="1"/>
      <c r="AA21" s="147">
        <f t="shared" si="23"/>
        <v>284.5</v>
      </c>
      <c r="AB21" s="147">
        <f t="shared" si="24"/>
        <v>225</v>
      </c>
      <c r="AC21" s="147">
        <f t="shared" si="25"/>
        <v>540000</v>
      </c>
      <c r="AE21" s="147">
        <v>1</v>
      </c>
      <c r="AF21" s="147">
        <f t="shared" si="8"/>
        <v>284.5</v>
      </c>
      <c r="AG21" s="152">
        <f t="shared" si="9"/>
        <v>540000</v>
      </c>
      <c r="AH21" s="147">
        <v>525118.26317512244</v>
      </c>
      <c r="AI21" s="147">
        <f t="shared" si="26"/>
        <v>14881.73682487756</v>
      </c>
      <c r="AK21" s="152">
        <f t="shared" si="10"/>
        <v>225</v>
      </c>
      <c r="AL21" s="147">
        <v>210.14711844262365</v>
      </c>
      <c r="AM21" s="147">
        <f t="shared" si="27"/>
        <v>14.85288155737635</v>
      </c>
      <c r="AQ21" s="147">
        <f t="shared" si="11"/>
        <v>284.5</v>
      </c>
      <c r="AR21" s="147">
        <f t="shared" si="12"/>
        <v>225</v>
      </c>
      <c r="AS21" s="147">
        <f t="shared" si="13"/>
        <v>486000</v>
      </c>
      <c r="AU21" s="147">
        <v>1</v>
      </c>
      <c r="AV21" s="147">
        <f t="shared" si="28"/>
        <v>225</v>
      </c>
      <c r="AW21" s="152">
        <f t="shared" si="14"/>
        <v>486000</v>
      </c>
      <c r="AX21" s="147">
        <v>464265.71980143356</v>
      </c>
      <c r="AY21" s="147">
        <f t="shared" si="29"/>
        <v>21734.280198566441</v>
      </c>
      <c r="BA21" s="152">
        <f t="shared" si="15"/>
        <v>284.5</v>
      </c>
      <c r="BB21" s="147">
        <v>274.61731246552677</v>
      </c>
      <c r="BC21" s="147">
        <f t="shared" si="30"/>
        <v>9.8826875344732343</v>
      </c>
      <c r="BG21" s="147">
        <f t="shared" si="16"/>
        <v>284.5</v>
      </c>
      <c r="BH21" s="147">
        <f t="shared" si="17"/>
        <v>225</v>
      </c>
      <c r="BI21" s="147">
        <f t="shared" si="18"/>
        <v>486000</v>
      </c>
      <c r="BK21" s="147">
        <v>1</v>
      </c>
      <c r="BL21" s="147">
        <f t="shared" si="19"/>
        <v>486000</v>
      </c>
      <c r="BM21" s="152">
        <f t="shared" si="20"/>
        <v>284.5</v>
      </c>
      <c r="BN21" s="147">
        <v>290.98195359495071</v>
      </c>
      <c r="BO21" s="147">
        <f t="shared" si="31"/>
        <v>-6.4819535949507099</v>
      </c>
      <c r="BQ21" s="152">
        <f t="shared" si="21"/>
        <v>225</v>
      </c>
      <c r="BR21" s="147">
        <v>223.1767401890591</v>
      </c>
      <c r="BS21" s="147">
        <f t="shared" si="32"/>
        <v>1.8232598109408968</v>
      </c>
    </row>
    <row r="22" spans="1:71" ht="20.100000000000001" customHeight="1" x14ac:dyDescent="0.25">
      <c r="A22" s="28">
        <v>12</v>
      </c>
      <c r="B22" s="45" t="s">
        <v>203</v>
      </c>
      <c r="C22" s="45">
        <v>284.5</v>
      </c>
      <c r="D22" s="45">
        <v>235</v>
      </c>
      <c r="E22" s="45">
        <v>540000</v>
      </c>
      <c r="F22" s="45" t="s">
        <v>210</v>
      </c>
      <c r="G22" s="45">
        <f t="shared" si="0"/>
        <v>0.9</v>
      </c>
      <c r="H22" s="16">
        <f t="shared" si="1"/>
        <v>486000</v>
      </c>
      <c r="I22" s="180"/>
      <c r="J22" s="18">
        <f t="shared" si="2"/>
        <v>12</v>
      </c>
      <c r="K22" s="5">
        <f t="shared" si="3"/>
        <v>0.59445620931790122</v>
      </c>
      <c r="L22" s="90">
        <f t="shared" si="4"/>
        <v>2.6728664178916884E-2</v>
      </c>
      <c r="M22" s="107" t="str">
        <f t="shared" si="5"/>
        <v/>
      </c>
      <c r="N22" s="107"/>
      <c r="O22" s="5">
        <f t="shared" si="6"/>
        <v>0.84420612198887335</v>
      </c>
      <c r="P22" s="106" t="str">
        <f t="shared" si="22"/>
        <v/>
      </c>
      <c r="Q22" s="106"/>
      <c r="R22" s="1"/>
      <c r="AA22" s="147">
        <f t="shared" si="23"/>
        <v>284.5</v>
      </c>
      <c r="AB22" s="147">
        <f t="shared" si="24"/>
        <v>235</v>
      </c>
      <c r="AC22" s="147">
        <f t="shared" si="25"/>
        <v>540000</v>
      </c>
      <c r="AE22" s="147">
        <v>1</v>
      </c>
      <c r="AF22" s="147">
        <f t="shared" si="8"/>
        <v>284.5</v>
      </c>
      <c r="AG22" s="152">
        <f t="shared" si="9"/>
        <v>540000</v>
      </c>
      <c r="AH22" s="147">
        <v>525118.26317512244</v>
      </c>
      <c r="AI22" s="147">
        <f t="shared" si="26"/>
        <v>14881.73682487756</v>
      </c>
      <c r="AK22" s="152">
        <f t="shared" si="10"/>
        <v>235</v>
      </c>
      <c r="AL22" s="147">
        <v>210.14711844262365</v>
      </c>
      <c r="AM22" s="147">
        <f t="shared" si="27"/>
        <v>24.85288155737635</v>
      </c>
      <c r="AQ22" s="147">
        <f t="shared" si="11"/>
        <v>284.5</v>
      </c>
      <c r="AR22" s="147">
        <f t="shared" si="12"/>
        <v>235</v>
      </c>
      <c r="AS22" s="147">
        <f t="shared" si="13"/>
        <v>486000</v>
      </c>
      <c r="AU22" s="147">
        <v>1</v>
      </c>
      <c r="AV22" s="147">
        <f t="shared" si="28"/>
        <v>235</v>
      </c>
      <c r="AW22" s="152">
        <f t="shared" si="14"/>
        <v>486000</v>
      </c>
      <c r="AX22" s="147">
        <v>470406.37065637007</v>
      </c>
      <c r="AY22" s="147">
        <f t="shared" si="29"/>
        <v>15593.629343629931</v>
      </c>
      <c r="BA22" s="152">
        <f t="shared" si="15"/>
        <v>284.5</v>
      </c>
      <c r="BB22" s="147">
        <v>278.37089768339763</v>
      </c>
      <c r="BC22" s="147">
        <f t="shared" si="30"/>
        <v>6.1291023166023706</v>
      </c>
      <c r="BG22" s="147">
        <f t="shared" si="16"/>
        <v>284.5</v>
      </c>
      <c r="BH22" s="147">
        <f t="shared" si="17"/>
        <v>235</v>
      </c>
      <c r="BI22" s="147">
        <f t="shared" si="18"/>
        <v>486000</v>
      </c>
      <c r="BK22" s="147">
        <v>1</v>
      </c>
      <c r="BL22" s="147">
        <f t="shared" si="19"/>
        <v>486000</v>
      </c>
      <c r="BM22" s="152">
        <f t="shared" si="20"/>
        <v>284.5</v>
      </c>
      <c r="BN22" s="147">
        <v>290.98195359495071</v>
      </c>
      <c r="BO22" s="147">
        <f t="shared" si="31"/>
        <v>-6.4819535949507099</v>
      </c>
      <c r="BQ22" s="152">
        <f t="shared" si="21"/>
        <v>235</v>
      </c>
      <c r="BR22" s="147">
        <v>223.1767401890591</v>
      </c>
      <c r="BS22" s="147">
        <f t="shared" si="32"/>
        <v>11.823259810940897</v>
      </c>
    </row>
    <row r="23" spans="1:71" ht="20.100000000000001" customHeight="1" x14ac:dyDescent="0.25">
      <c r="B23" s="1"/>
      <c r="C23" s="1"/>
      <c r="D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71" ht="20.100000000000001" customHeight="1" x14ac:dyDescent="0.25">
      <c r="I24" s="2"/>
      <c r="J24" s="127" t="s">
        <v>145</v>
      </c>
      <c r="K24" s="127"/>
      <c r="L24" s="127"/>
      <c r="M24" s="127"/>
      <c r="N24" s="127"/>
      <c r="O24" s="1"/>
      <c r="P24" s="1"/>
      <c r="Q24" s="1"/>
      <c r="R24" s="1"/>
    </row>
    <row r="25" spans="1:71" ht="20.100000000000001" customHeight="1" x14ac:dyDescent="0.25">
      <c r="B25" s="4" t="s">
        <v>65</v>
      </c>
      <c r="C25" s="4">
        <f>AVERAGE(C11:C22)</f>
        <v>260.85416666666669</v>
      </c>
      <c r="D25" s="4">
        <f>AVERAGE(D11:D22)</f>
        <v>188.33333333333334</v>
      </c>
      <c r="G25" s="4" t="s">
        <v>65</v>
      </c>
      <c r="H25" s="4">
        <f>AVERAGE(H11:H22)</f>
        <v>441750</v>
      </c>
      <c r="I25" s="2"/>
      <c r="J25" s="128" t="s">
        <v>146</v>
      </c>
      <c r="K25" s="128"/>
      <c r="L25" s="128"/>
      <c r="M25" s="42" t="s">
        <v>147</v>
      </c>
      <c r="N25" s="42" t="s">
        <v>148</v>
      </c>
      <c r="O25" s="1"/>
      <c r="P25" s="1"/>
      <c r="Q25" s="1"/>
      <c r="R25" s="1"/>
    </row>
    <row r="26" spans="1:71" ht="20.100000000000001" customHeight="1" x14ac:dyDescent="0.25">
      <c r="B26" s="5" t="s">
        <v>66</v>
      </c>
      <c r="C26" s="5">
        <f>STDEVA(C11:C22)</f>
        <v>33.431962512306207</v>
      </c>
      <c r="D26" s="5">
        <f>STDEVA(D11:D22)</f>
        <v>52.411541638933869</v>
      </c>
      <c r="G26" s="5" t="s">
        <v>66</v>
      </c>
      <c r="H26" s="5">
        <f>STDEVA(H11:H22)</f>
        <v>46283.955594293642</v>
      </c>
      <c r="I26" s="2"/>
      <c r="J26" s="112" t="s">
        <v>167</v>
      </c>
      <c r="K26" s="112"/>
      <c r="L26" s="112"/>
      <c r="M26" s="120">
        <f>F93</f>
        <v>1.2419386681108966E-5</v>
      </c>
      <c r="N26" s="129" t="str">
        <f>IF(M26&lt;=0.05,"Aprovado","Revisar os elementos da amostra")</f>
        <v>Aprovado</v>
      </c>
      <c r="O26" s="1"/>
      <c r="P26" s="1"/>
      <c r="Q26" s="1"/>
      <c r="R26" s="1"/>
    </row>
    <row r="27" spans="1:71" ht="20.100000000000001" customHeight="1" x14ac:dyDescent="0.25">
      <c r="B27" s="5" t="s">
        <v>124</v>
      </c>
      <c r="C27" s="6">
        <f>C26/C25</f>
        <v>0.12816342149913729</v>
      </c>
      <c r="D27" s="6">
        <f t="shared" ref="D27" si="33">D26/D25</f>
        <v>0.27829137153416211</v>
      </c>
      <c r="G27" s="5" t="s">
        <v>124</v>
      </c>
      <c r="H27" s="6">
        <f>H26/H25</f>
        <v>0.10477409302613162</v>
      </c>
      <c r="I27" s="1"/>
      <c r="J27" s="113"/>
      <c r="K27" s="113"/>
      <c r="L27" s="113"/>
      <c r="M27" s="121"/>
      <c r="N27" s="130"/>
      <c r="O27" s="1"/>
      <c r="P27" s="1"/>
      <c r="Q27" s="1"/>
      <c r="R27" s="1"/>
    </row>
    <row r="28" spans="1:71" ht="20.100000000000001" customHeight="1" x14ac:dyDescent="0.25">
      <c r="I28" s="2"/>
      <c r="J28" s="112" t="s">
        <v>168</v>
      </c>
      <c r="K28" s="112"/>
      <c r="L28" s="112"/>
      <c r="M28" s="120">
        <f>F99</f>
        <v>6.7329631671502274E-5</v>
      </c>
      <c r="N28" s="129" t="str">
        <f>IF(M28&lt;=0.3,"Aprovado","Revisar os elementos da amostra")</f>
        <v>Aprovado</v>
      </c>
      <c r="O28" s="1"/>
      <c r="P28" s="1"/>
      <c r="Q28" s="1"/>
      <c r="R28" s="1"/>
    </row>
    <row r="29" spans="1:71" ht="20.100000000000001" customHeight="1" x14ac:dyDescent="0.25">
      <c r="B29" s="4" t="s">
        <v>79</v>
      </c>
      <c r="C29" s="4">
        <f>MIN(C11:C22)</f>
        <v>223.3</v>
      </c>
      <c r="D29" s="4">
        <f>MIN(D11:D22)</f>
        <v>100</v>
      </c>
      <c r="G29" s="4" t="s">
        <v>79</v>
      </c>
      <c r="H29" s="4">
        <f>MIN(H11:H22)</f>
        <v>378000</v>
      </c>
      <c r="I29" s="2"/>
      <c r="J29" s="113"/>
      <c r="K29" s="113"/>
      <c r="L29" s="113"/>
      <c r="M29" s="121"/>
      <c r="N29" s="130"/>
      <c r="O29" s="1"/>
      <c r="P29" s="1"/>
      <c r="Q29" s="1"/>
      <c r="R29" s="1"/>
    </row>
    <row r="30" spans="1:71" ht="20.100000000000001" customHeight="1" x14ac:dyDescent="0.25">
      <c r="B30" s="5" t="s">
        <v>80</v>
      </c>
      <c r="C30" s="5">
        <f>MAX(C11:C22)</f>
        <v>303.85000000000002</v>
      </c>
      <c r="D30" s="5">
        <f>MAX(D11:D22)</f>
        <v>250</v>
      </c>
      <c r="G30" s="5" t="s">
        <v>80</v>
      </c>
      <c r="H30" s="5">
        <f>MAX(H11:H22)</f>
        <v>486000</v>
      </c>
      <c r="I30" s="2"/>
      <c r="J30" s="112" t="s">
        <v>169</v>
      </c>
      <c r="K30" s="112"/>
      <c r="L30" s="112"/>
      <c r="M30" s="120">
        <f>F100</f>
        <v>0.1002637277608876</v>
      </c>
      <c r="N30" s="129" t="str">
        <f>IF(M30&lt;=0.3,"Aprovado","Revisar os elementos da amostra")</f>
        <v>Aprovado</v>
      </c>
      <c r="O30" s="1"/>
      <c r="P30" s="1"/>
      <c r="Q30" s="1"/>
      <c r="R30" s="1"/>
    </row>
    <row r="31" spans="1:71" ht="20.100000000000001" customHeight="1" x14ac:dyDescent="0.25">
      <c r="B31" s="5" t="s">
        <v>67</v>
      </c>
      <c r="C31" s="5">
        <f>C30-C29</f>
        <v>80.550000000000011</v>
      </c>
      <c r="D31" s="5">
        <f t="shared" ref="D31" si="34">D30-D29</f>
        <v>150</v>
      </c>
      <c r="G31" s="5" t="s">
        <v>67</v>
      </c>
      <c r="H31" s="5">
        <f>H30-H29</f>
        <v>108000</v>
      </c>
      <c r="I31" s="2"/>
      <c r="J31" s="113"/>
      <c r="K31" s="113"/>
      <c r="L31" s="113"/>
      <c r="M31" s="121"/>
      <c r="N31" s="130"/>
      <c r="O31" s="1"/>
      <c r="P31" s="1"/>
      <c r="Q31" s="1"/>
      <c r="R31" s="1"/>
    </row>
    <row r="32" spans="1:71" ht="20.100000000000001" customHeight="1" x14ac:dyDescent="0.25">
      <c r="I32" s="2"/>
      <c r="J32" s="112" t="s">
        <v>170</v>
      </c>
      <c r="K32" s="112"/>
      <c r="L32" s="112"/>
      <c r="M32" s="120">
        <f>F101</f>
        <v>0</v>
      </c>
      <c r="N32" s="129" t="str">
        <f>IF(M32&lt;=0.3,"Aprovado","Revisar os elementos da amostra")</f>
        <v>Aprovado</v>
      </c>
      <c r="O32" s="1"/>
      <c r="P32" s="1"/>
      <c r="Q32" s="1"/>
      <c r="R32" s="1"/>
    </row>
    <row r="33" spans="1:18" ht="20.100000000000001" customHeight="1" x14ac:dyDescent="0.25">
      <c r="B33" s="13" t="s">
        <v>218</v>
      </c>
      <c r="C33" s="13">
        <f>BE618</f>
        <v>1.5296980974121923</v>
      </c>
      <c r="D33" s="13">
        <f>BS618</f>
        <v>9.3819842349772635</v>
      </c>
      <c r="I33" s="2"/>
      <c r="J33" s="113"/>
      <c r="K33" s="113"/>
      <c r="L33" s="113"/>
      <c r="M33" s="121"/>
      <c r="N33" s="130"/>
      <c r="O33" s="1"/>
      <c r="P33" s="1"/>
      <c r="Q33" s="1"/>
      <c r="R33" s="1"/>
    </row>
    <row r="34" spans="1:18" ht="20.100000000000001" customHeight="1" x14ac:dyDescent="0.25">
      <c r="I34" s="2"/>
      <c r="J34" s="112" t="s">
        <v>149</v>
      </c>
      <c r="K34" s="112"/>
      <c r="L34" s="112"/>
      <c r="M34" s="120">
        <f>E555</f>
        <v>7.5559444000900117E-2</v>
      </c>
      <c r="N34" s="129" t="str">
        <f>IF(M34&lt;=0.5,"Aprovado","Revisar os elementos da amostra")</f>
        <v>Aprovado</v>
      </c>
      <c r="O34" s="1"/>
      <c r="P34" s="1"/>
      <c r="Q34" s="1"/>
      <c r="R34" s="1"/>
    </row>
    <row r="35" spans="1:18" ht="20.100000000000001" customHeight="1" x14ac:dyDescent="0.25">
      <c r="I35" s="2"/>
      <c r="J35" s="113"/>
      <c r="K35" s="113"/>
      <c r="L35" s="113"/>
      <c r="M35" s="121"/>
      <c r="N35" s="130"/>
      <c r="O35" s="1"/>
      <c r="P35" s="1"/>
      <c r="Q35" s="1"/>
      <c r="R35" s="1"/>
    </row>
    <row r="36" spans="1:18" ht="20.100000000000001" customHeight="1" x14ac:dyDescent="0.25">
      <c r="A36" s="73" t="s">
        <v>161</v>
      </c>
      <c r="B36" s="73"/>
      <c r="C36" s="73"/>
      <c r="D36" s="73"/>
      <c r="E36" s="73"/>
      <c r="F36" s="73"/>
      <c r="G36" s="31"/>
      <c r="H36" s="31"/>
      <c r="I36" s="2"/>
      <c r="J36" s="1"/>
      <c r="K36" s="1"/>
      <c r="L36" s="1"/>
      <c r="M36" s="1"/>
      <c r="N36" s="1"/>
      <c r="O36" s="1"/>
      <c r="P36" s="1"/>
      <c r="Q36" s="1"/>
      <c r="R36" s="1"/>
    </row>
    <row r="37" spans="1:18" ht="20.100000000000001" customHeight="1" x14ac:dyDescent="0.25">
      <c r="I37" s="2"/>
      <c r="J37" s="1"/>
      <c r="K37" s="1"/>
      <c r="L37" s="1"/>
      <c r="M37" s="1"/>
      <c r="N37" s="1"/>
      <c r="O37" s="1"/>
      <c r="P37" s="1"/>
      <c r="Q37" s="1"/>
      <c r="R37" s="1"/>
    </row>
    <row r="38" spans="1:18" ht="20.100000000000001" customHeight="1" x14ac:dyDescent="0.25">
      <c r="A38" s="30" t="s">
        <v>180</v>
      </c>
      <c r="B38" s="30" t="s">
        <v>26</v>
      </c>
      <c r="C38" s="58" t="s">
        <v>48</v>
      </c>
      <c r="D38" s="58" t="s">
        <v>89</v>
      </c>
      <c r="E38" s="1"/>
      <c r="I38" s="2"/>
      <c r="J38" s="1"/>
      <c r="K38" s="1"/>
      <c r="L38" s="1"/>
      <c r="M38" s="1"/>
      <c r="N38" s="1"/>
      <c r="O38" s="1"/>
      <c r="P38" s="1"/>
      <c r="Q38" s="1"/>
      <c r="R38" s="1"/>
    </row>
    <row r="39" spans="1:18" ht="20.100000000000001" customHeight="1" x14ac:dyDescent="0.25">
      <c r="A39" s="73" t="str">
        <f>C10</f>
        <v>Área do terreno</v>
      </c>
      <c r="B39" s="57">
        <v>360</v>
      </c>
      <c r="C39" s="59" t="str">
        <f>C513</f>
        <v>Extrapolou</v>
      </c>
      <c r="D39" s="59" t="str">
        <f>C514</f>
        <v>Admissível</v>
      </c>
      <c r="E39" s="1"/>
    </row>
    <row r="40" spans="1:18" ht="20.100000000000001" customHeight="1" x14ac:dyDescent="0.25">
      <c r="A40" s="74" t="str">
        <f>D10</f>
        <v>Área construída</v>
      </c>
      <c r="B40" s="67">
        <v>215</v>
      </c>
      <c r="C40" s="59" t="str">
        <f>D513</f>
        <v>Não extrapolou</v>
      </c>
      <c r="D40" s="59" t="str">
        <f>D514</f>
        <v>Admissível</v>
      </c>
      <c r="E40" s="1"/>
    </row>
    <row r="41" spans="1:18" ht="20.100000000000001" customHeight="1" x14ac:dyDescent="0.25">
      <c r="A41" s="1"/>
      <c r="B41" s="1"/>
      <c r="C41" s="1"/>
      <c r="D41" s="1"/>
    </row>
    <row r="42" spans="1:18" ht="20.100000000000001" customHeight="1" x14ac:dyDescent="0.25">
      <c r="A42" s="119" t="s">
        <v>193</v>
      </c>
      <c r="B42" s="119"/>
      <c r="C42" s="119"/>
      <c r="D42" s="119"/>
      <c r="E42" s="119"/>
      <c r="F42" s="119"/>
      <c r="G42" s="119"/>
      <c r="H42" s="119"/>
    </row>
    <row r="43" spans="1:18" ht="20.100000000000001" customHeight="1" x14ac:dyDescent="0.25">
      <c r="A43" s="119"/>
      <c r="B43" s="119"/>
      <c r="C43" s="119"/>
      <c r="D43" s="119"/>
      <c r="E43" s="119"/>
      <c r="F43" s="119"/>
      <c r="G43" s="119"/>
      <c r="H43" s="119"/>
    </row>
    <row r="44" spans="1:18" ht="20.100000000000001" customHeight="1" x14ac:dyDescent="0.25">
      <c r="A44" s="22"/>
      <c r="B44" s="22"/>
      <c r="C44" s="22"/>
      <c r="D44" s="22"/>
      <c r="E44" s="22"/>
      <c r="F44" s="22"/>
    </row>
    <row r="45" spans="1:18" ht="20.100000000000001" customHeight="1" x14ac:dyDescent="0.25">
      <c r="A45" s="1"/>
      <c r="B45" s="1"/>
      <c r="C45" s="1"/>
      <c r="D45" s="1"/>
      <c r="E45" s="1"/>
    </row>
    <row r="46" spans="1:18" ht="20.100000000000001" customHeight="1" x14ac:dyDescent="0.25">
      <c r="A46" s="109" t="s">
        <v>125</v>
      </c>
      <c r="B46" s="109"/>
      <c r="C46" s="109"/>
      <c r="D46" s="109"/>
      <c r="E46" s="109"/>
      <c r="F46" s="109"/>
      <c r="G46" s="109"/>
      <c r="H46" s="109"/>
    </row>
    <row r="47" spans="1:18" ht="20.100000000000001" customHeight="1" thickBot="1" x14ac:dyDescent="0.3"/>
    <row r="48" spans="1:18" ht="20.100000000000001" customHeight="1" x14ac:dyDescent="0.25">
      <c r="A48" s="14"/>
      <c r="B48" s="14" t="str">
        <f>C10</f>
        <v>Área do terreno</v>
      </c>
      <c r="C48" s="14" t="str">
        <f>D10</f>
        <v>Área construída</v>
      </c>
      <c r="D48" s="14" t="str">
        <f>H10</f>
        <v>Preço</v>
      </c>
      <c r="E48" s="1"/>
    </row>
    <row r="49" spans="1:190" ht="20.100000000000001" customHeight="1" x14ac:dyDescent="0.25">
      <c r="A49" s="75" t="str">
        <f>B48</f>
        <v>Área do terreno</v>
      </c>
      <c r="B49" s="86" t="s">
        <v>221</v>
      </c>
      <c r="C49" s="83">
        <f>B50</f>
        <v>0.58845240649367569</v>
      </c>
      <c r="D49" s="83">
        <f>B51</f>
        <v>0.94258940379825285</v>
      </c>
      <c r="E49" s="1"/>
    </row>
    <row r="50" spans="1:190" ht="20.100000000000001" customHeight="1" x14ac:dyDescent="0.25">
      <c r="A50" s="81" t="str">
        <f>C48</f>
        <v>Área construída</v>
      </c>
      <c r="B50" s="84">
        <f>CORREL(C11:C22,D11:D22)</f>
        <v>0.58845240649367569</v>
      </c>
      <c r="C50" s="87" t="str">
        <f>B49</f>
        <v>- - -</v>
      </c>
      <c r="D50" s="84">
        <f>C51</f>
        <v>0.69536186750067364</v>
      </c>
      <c r="E50" s="1"/>
    </row>
    <row r="51" spans="1:190" ht="20.100000000000001" customHeight="1" thickBot="1" x14ac:dyDescent="0.3">
      <c r="A51" s="82" t="str">
        <f>D48</f>
        <v>Preço</v>
      </c>
      <c r="B51" s="85">
        <f>CORREL(C11:C22,H11:H22)</f>
        <v>0.94258940379825285</v>
      </c>
      <c r="C51" s="85">
        <f>CORREL(D11:D22,H11:H22)</f>
        <v>0.69536186750067364</v>
      </c>
      <c r="D51" s="88" t="str">
        <f>B49</f>
        <v>- - -</v>
      </c>
      <c r="E51" s="1"/>
    </row>
    <row r="52" spans="1:190" ht="20.100000000000001" customHeight="1" x14ac:dyDescent="0.25">
      <c r="B52" s="8"/>
      <c r="C52" s="8"/>
    </row>
    <row r="53" spans="1:190" s="2" customFormat="1" ht="20.100000000000001" customHeight="1" x14ac:dyDescent="0.25">
      <c r="A53" s="119" t="s">
        <v>219</v>
      </c>
      <c r="B53" s="119"/>
      <c r="C53" s="119"/>
      <c r="D53" s="119"/>
      <c r="E53" s="119"/>
      <c r="F53" s="119"/>
      <c r="G53" s="119"/>
      <c r="H53" s="119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  <c r="BI53" s="146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  <c r="DO53" s="146"/>
      <c r="DP53" s="146"/>
      <c r="DQ53" s="146"/>
      <c r="DR53" s="146"/>
      <c r="DS53" s="146"/>
      <c r="DT53" s="146"/>
      <c r="DU53" s="146"/>
      <c r="DV53" s="146"/>
      <c r="DW53" s="146"/>
      <c r="DX53" s="146"/>
      <c r="DY53" s="146"/>
      <c r="DZ53" s="146"/>
      <c r="EA53" s="146"/>
      <c r="EB53" s="146"/>
      <c r="EC53" s="146"/>
      <c r="ED53" s="146"/>
      <c r="EE53" s="146"/>
      <c r="EF53" s="146"/>
      <c r="EG53" s="146"/>
      <c r="EH53" s="146"/>
      <c r="EI53" s="146"/>
      <c r="EJ53" s="146"/>
      <c r="EK53" s="146"/>
      <c r="EL53" s="146"/>
      <c r="EM53" s="146"/>
      <c r="EN53" s="146"/>
      <c r="EO53" s="146"/>
      <c r="EP53" s="146"/>
      <c r="EQ53" s="146"/>
      <c r="ER53" s="146"/>
      <c r="ES53" s="146"/>
      <c r="ET53" s="146"/>
      <c r="EU53" s="146"/>
      <c r="EV53" s="146"/>
      <c r="EW53" s="146"/>
      <c r="EX53" s="146"/>
      <c r="EY53" s="146"/>
      <c r="EZ53" s="146"/>
      <c r="FA53" s="146"/>
      <c r="FB53" s="146"/>
      <c r="FC53" s="146"/>
      <c r="FD53" s="146"/>
      <c r="FE53" s="146"/>
      <c r="FF53" s="146"/>
      <c r="FG53" s="146"/>
      <c r="FH53" s="146"/>
      <c r="FI53" s="146"/>
      <c r="FJ53" s="146"/>
      <c r="FK53" s="146"/>
      <c r="FL53" s="146"/>
      <c r="FM53" s="146"/>
      <c r="FN53" s="146"/>
      <c r="FO53" s="146"/>
      <c r="FP53" s="146"/>
      <c r="FQ53" s="146"/>
      <c r="FR53" s="146"/>
      <c r="FS53" s="146"/>
      <c r="FT53" s="146"/>
      <c r="FU53" s="146"/>
      <c r="FV53" s="146"/>
      <c r="FW53" s="146"/>
      <c r="FX53" s="146"/>
      <c r="FY53" s="146"/>
      <c r="FZ53" s="146"/>
      <c r="GA53" s="146"/>
      <c r="GB53" s="146"/>
      <c r="GC53" s="146"/>
      <c r="GD53" s="146"/>
      <c r="GE53" s="146"/>
      <c r="GF53" s="146"/>
      <c r="GG53" s="146"/>
      <c r="GH53" s="146"/>
    </row>
    <row r="54" spans="1:190" ht="20.100000000000001" customHeight="1" x14ac:dyDescent="0.25">
      <c r="A54" s="119"/>
      <c r="B54" s="119"/>
      <c r="C54" s="119"/>
      <c r="D54" s="119"/>
      <c r="E54" s="119"/>
      <c r="F54" s="119"/>
      <c r="G54" s="119"/>
      <c r="H54" s="119"/>
    </row>
    <row r="55" spans="1:190" ht="20.100000000000001" customHeight="1" x14ac:dyDescent="0.25">
      <c r="A55" s="22"/>
      <c r="B55" s="22"/>
      <c r="C55" s="22"/>
      <c r="D55" s="22"/>
      <c r="E55" s="22"/>
      <c r="F55" s="22"/>
      <c r="G55" s="22"/>
      <c r="H55" s="22"/>
    </row>
    <row r="56" spans="1:190" ht="20.100000000000001" customHeight="1" x14ac:dyDescent="0.25">
      <c r="A56" s="22"/>
      <c r="B56" s="22"/>
      <c r="C56" s="22"/>
      <c r="D56" s="22"/>
      <c r="E56" s="22"/>
      <c r="F56" s="22"/>
      <c r="G56" s="22"/>
      <c r="H56" s="22"/>
    </row>
    <row r="57" spans="1:190" ht="20.100000000000001" customHeight="1" x14ac:dyDescent="0.25">
      <c r="A57" s="109" t="s">
        <v>220</v>
      </c>
      <c r="B57" s="109"/>
      <c r="C57" s="109"/>
      <c r="D57" s="109"/>
      <c r="E57" s="109"/>
      <c r="F57" s="109"/>
      <c r="G57" s="109"/>
      <c r="H57" s="109"/>
    </row>
    <row r="58" spans="1:190" ht="20.100000000000001" customHeight="1" thickBot="1" x14ac:dyDescent="0.3"/>
    <row r="59" spans="1:190" ht="20.100000000000001" customHeight="1" x14ac:dyDescent="0.25">
      <c r="A59" s="14"/>
      <c r="B59" s="14" t="str">
        <f>C10</f>
        <v>Área do terreno</v>
      </c>
      <c r="C59" s="14" t="str">
        <f>D10</f>
        <v>Área construída</v>
      </c>
      <c r="D59" s="14" t="str">
        <f>H10</f>
        <v>Preço</v>
      </c>
      <c r="E59" s="1"/>
      <c r="I59" s="154"/>
    </row>
    <row r="60" spans="1:190" ht="20.100000000000001" customHeight="1" x14ac:dyDescent="0.25">
      <c r="A60" s="75" t="str">
        <f>B59</f>
        <v>Área do terreno</v>
      </c>
      <c r="B60" s="86" t="s">
        <v>221</v>
      </c>
      <c r="C60" s="83">
        <f>B61</f>
        <v>0.27911888591698736</v>
      </c>
      <c r="D60" s="83">
        <f>B62</f>
        <v>0.9179820678336823</v>
      </c>
      <c r="E60" s="1"/>
      <c r="I60" s="154"/>
    </row>
    <row r="61" spans="1:190" ht="20.100000000000001" customHeight="1" x14ac:dyDescent="0.25">
      <c r="A61" s="81" t="str">
        <f>C59</f>
        <v>Área construída</v>
      </c>
      <c r="B61" s="84">
        <f>BU11</f>
        <v>0.27911888591698736</v>
      </c>
      <c r="C61" s="87" t="str">
        <f>B60</f>
        <v>- - -</v>
      </c>
      <c r="D61" s="84">
        <f>C62</f>
        <v>0.52106079646515779</v>
      </c>
      <c r="E61" s="1"/>
      <c r="I61" s="154"/>
    </row>
    <row r="62" spans="1:190" ht="20.100000000000001" customHeight="1" thickBot="1" x14ac:dyDescent="0.3">
      <c r="A62" s="82" t="str">
        <f>D59</f>
        <v>Preço</v>
      </c>
      <c r="B62" s="85">
        <f>BE11</f>
        <v>0.9179820678336823</v>
      </c>
      <c r="C62" s="85">
        <f>AO11</f>
        <v>0.52106079646515779</v>
      </c>
      <c r="D62" s="88" t="str">
        <f>B60</f>
        <v>- - -</v>
      </c>
      <c r="E62" s="1"/>
      <c r="I62" s="154"/>
    </row>
    <row r="63" spans="1:190" ht="20.100000000000001" customHeight="1" x14ac:dyDescent="0.25">
      <c r="A63" s="22"/>
      <c r="B63" s="22"/>
      <c r="C63" s="22"/>
      <c r="D63" s="22"/>
      <c r="E63" s="22"/>
      <c r="F63" s="22"/>
      <c r="G63" s="22"/>
      <c r="H63" s="22"/>
      <c r="I63" s="154"/>
    </row>
    <row r="64" spans="1:190" ht="20.100000000000001" customHeight="1" x14ac:dyDescent="0.25">
      <c r="A64" s="22"/>
      <c r="B64" s="22"/>
      <c r="C64" s="22"/>
      <c r="D64" s="22"/>
      <c r="E64" s="22"/>
      <c r="F64" s="22"/>
      <c r="G64" s="22"/>
      <c r="H64" s="22"/>
      <c r="I64" s="154"/>
    </row>
    <row r="65" spans="1:10" ht="20.100000000000001" customHeight="1" x14ac:dyDescent="0.25">
      <c r="A65" s="109" t="s">
        <v>259</v>
      </c>
      <c r="B65" s="109"/>
      <c r="C65" s="109"/>
      <c r="D65" s="109"/>
      <c r="E65" s="109"/>
      <c r="F65" s="109"/>
      <c r="G65" s="109"/>
      <c r="H65" s="109"/>
      <c r="I65" s="154"/>
    </row>
    <row r="66" spans="1:10" ht="20.100000000000001" customHeight="1" x14ac:dyDescent="0.25">
      <c r="A66" s="22"/>
      <c r="B66" s="22"/>
      <c r="C66" s="22"/>
      <c r="D66" s="22"/>
      <c r="E66" s="22"/>
      <c r="F66" s="22"/>
      <c r="G66" s="22"/>
      <c r="H66" s="22"/>
      <c r="I66" s="154"/>
    </row>
    <row r="67" spans="1:10" ht="20.100000000000001" customHeight="1" x14ac:dyDescent="0.25">
      <c r="A67" s="95" t="s">
        <v>13</v>
      </c>
      <c r="B67" s="96">
        <f>B86</f>
        <v>9</v>
      </c>
      <c r="C67" s="22"/>
      <c r="D67" s="22"/>
      <c r="E67" s="22"/>
      <c r="F67" s="22"/>
      <c r="G67" s="22"/>
      <c r="H67" s="22"/>
      <c r="I67" s="154"/>
    </row>
    <row r="68" spans="1:10" ht="20.100000000000001" customHeight="1" x14ac:dyDescent="0.25">
      <c r="A68" s="97" t="s">
        <v>12</v>
      </c>
      <c r="B68" s="98">
        <v>0.1</v>
      </c>
      <c r="C68" s="22"/>
      <c r="D68" s="22"/>
      <c r="E68" s="22"/>
      <c r="F68" s="22"/>
      <c r="G68" s="22"/>
      <c r="H68" s="22"/>
      <c r="I68" s="154"/>
    </row>
    <row r="69" spans="1:10" ht="20.100000000000001" customHeight="1" x14ac:dyDescent="0.25">
      <c r="A69" s="97" t="s">
        <v>260</v>
      </c>
      <c r="B69" s="97">
        <f>_xlfn.T.INV(1-B68,B67)</f>
        <v>1.3830287383966327</v>
      </c>
      <c r="C69" s="22"/>
      <c r="D69" s="22"/>
      <c r="E69" s="22"/>
      <c r="F69" s="22"/>
      <c r="G69" s="22"/>
      <c r="H69" s="22"/>
      <c r="I69" s="154"/>
    </row>
    <row r="70" spans="1:10" ht="20.100000000000001" customHeight="1" thickBot="1" x14ac:dyDescent="0.3">
      <c r="A70" s="22"/>
      <c r="B70" s="22"/>
      <c r="C70" s="22"/>
      <c r="D70" s="22"/>
      <c r="E70" s="22"/>
      <c r="F70" s="22"/>
      <c r="G70" s="22"/>
      <c r="H70" s="22"/>
      <c r="I70" s="154"/>
    </row>
    <row r="71" spans="1:10" ht="20.100000000000001" customHeight="1" x14ac:dyDescent="0.25">
      <c r="A71" s="14"/>
      <c r="B71" s="14" t="str">
        <f>C10</f>
        <v>Área do terreno</v>
      </c>
      <c r="C71" s="14" t="str">
        <f>D10</f>
        <v>Área construída</v>
      </c>
      <c r="D71" s="14" t="str">
        <f>H10</f>
        <v>Preço</v>
      </c>
      <c r="E71" s="22"/>
      <c r="F71" s="22"/>
      <c r="G71" s="22"/>
      <c r="H71" s="22"/>
      <c r="I71" s="154"/>
    </row>
    <row r="72" spans="1:10" ht="20.100000000000001" customHeight="1" x14ac:dyDescent="0.25">
      <c r="A72" s="75" t="str">
        <f>B71</f>
        <v>Área do terreno</v>
      </c>
      <c r="B72" s="86" t="s">
        <v>221</v>
      </c>
      <c r="C72" s="83">
        <f>B73</f>
        <v>2.1834108355299691</v>
      </c>
      <c r="D72" s="83">
        <f>B74</f>
        <v>8.4675402903058448</v>
      </c>
      <c r="E72" s="22"/>
      <c r="F72" s="22"/>
      <c r="G72" s="22"/>
      <c r="H72" s="22"/>
      <c r="I72" s="154"/>
    </row>
    <row r="73" spans="1:10" ht="20.100000000000001" customHeight="1" x14ac:dyDescent="0.25">
      <c r="A73" s="81" t="str">
        <f>C71</f>
        <v>Área construída</v>
      </c>
      <c r="B73" s="84">
        <f>B50*(SQRT(($B$67)/(1-B50^2)))</f>
        <v>2.1834108355299691</v>
      </c>
      <c r="C73" s="87" t="str">
        <f>B72</f>
        <v>- - -</v>
      </c>
      <c r="D73" s="84">
        <f>C74</f>
        <v>2.9027443485843754</v>
      </c>
      <c r="E73" s="22"/>
      <c r="F73" s="22"/>
      <c r="G73" s="22"/>
      <c r="H73" s="22"/>
      <c r="I73" s="154"/>
    </row>
    <row r="74" spans="1:10" ht="20.100000000000001" customHeight="1" thickBot="1" x14ac:dyDescent="0.3">
      <c r="A74" s="82" t="str">
        <f>D71</f>
        <v>Preço</v>
      </c>
      <c r="B74" s="85">
        <f>B51*(SQRT(($B$67)/(1-B51^2)))</f>
        <v>8.4675402903058448</v>
      </c>
      <c r="C74" s="85">
        <f>C51*(SQRT(($B$67)/(1-C51^2)))</f>
        <v>2.9027443485843754</v>
      </c>
      <c r="D74" s="88" t="str">
        <f>B72</f>
        <v>- - -</v>
      </c>
      <c r="E74" s="22"/>
      <c r="F74" s="22"/>
      <c r="G74" s="22"/>
      <c r="H74" s="22"/>
      <c r="I74" s="154"/>
    </row>
    <row r="75" spans="1:10" ht="20.100000000000001" customHeight="1" x14ac:dyDescent="0.25">
      <c r="A75" s="22"/>
      <c r="B75" s="22"/>
      <c r="C75" s="22"/>
      <c r="D75" s="22"/>
      <c r="E75" s="22"/>
      <c r="F75" s="22"/>
      <c r="G75" s="22"/>
      <c r="H75" s="22"/>
      <c r="I75" s="154"/>
    </row>
    <row r="76" spans="1:10" ht="20.100000000000001" customHeight="1" x14ac:dyDescent="0.25">
      <c r="A76" s="1"/>
    </row>
    <row r="77" spans="1:10" ht="20.100000000000001" customHeight="1" x14ac:dyDescent="0.25">
      <c r="A77" s="109" t="s">
        <v>9</v>
      </c>
      <c r="B77" s="109"/>
      <c r="C77" s="109"/>
      <c r="D77" s="109"/>
      <c r="E77" s="109"/>
      <c r="F77" s="109"/>
      <c r="G77" s="109"/>
      <c r="H77" s="60"/>
      <c r="I77" s="147"/>
    </row>
    <row r="78" spans="1:10" ht="20.100000000000001" customHeight="1" x14ac:dyDescent="0.25">
      <c r="I78" s="155"/>
    </row>
    <row r="79" spans="1:10" ht="20.100000000000001" customHeight="1" x14ac:dyDescent="0.25">
      <c r="A79" s="13" t="s">
        <v>7</v>
      </c>
      <c r="B79" s="43">
        <f>B80^(1/2)</f>
        <v>0.95851675300578931</v>
      </c>
      <c r="D79" s="126" t="s">
        <v>139</v>
      </c>
      <c r="E79" s="126"/>
    </row>
    <row r="80" spans="1:10" ht="20.100000000000001" customHeight="1" x14ac:dyDescent="0.25">
      <c r="A80" s="2" t="s">
        <v>6</v>
      </c>
      <c r="B80" s="15">
        <f>C93/C95</f>
        <v>0.91875436579276137</v>
      </c>
      <c r="D80" s="141" t="s">
        <v>141</v>
      </c>
      <c r="E80" s="141"/>
      <c r="F80" s="40"/>
      <c r="G80" s="40"/>
      <c r="H80" s="40"/>
      <c r="I80" s="153"/>
      <c r="J80" s="146" t="s">
        <v>140</v>
      </c>
    </row>
    <row r="81" spans="1:10" ht="20.100000000000001" customHeight="1" x14ac:dyDescent="0.25">
      <c r="A81" s="16" t="s">
        <v>194</v>
      </c>
      <c r="B81" s="17">
        <f>1-(((B83-1)/(B83-B84-1))*(1-B80))</f>
        <v>0.90069978041337495</v>
      </c>
      <c r="D81" s="2" t="s">
        <v>77</v>
      </c>
      <c r="E81" s="9">
        <f>3*(B84+1)</f>
        <v>9</v>
      </c>
      <c r="F81" s="40"/>
      <c r="G81" s="40"/>
      <c r="H81" s="40"/>
      <c r="I81" s="153"/>
      <c r="J81" s="146" t="s">
        <v>142</v>
      </c>
    </row>
    <row r="82" spans="1:10" ht="20.100000000000001" customHeight="1" x14ac:dyDescent="0.25">
      <c r="D82" s="16" t="s">
        <v>76</v>
      </c>
      <c r="E82" s="18">
        <f>4*(B84+1)</f>
        <v>12</v>
      </c>
      <c r="F82" s="72"/>
      <c r="G82" s="40"/>
      <c r="H82" s="40"/>
      <c r="I82" s="153"/>
      <c r="J82" s="146" t="s">
        <v>143</v>
      </c>
    </row>
    <row r="83" spans="1:10" ht="20.100000000000001" customHeight="1" x14ac:dyDescent="0.25">
      <c r="A83" s="13" t="s">
        <v>171</v>
      </c>
      <c r="B83" s="29">
        <v>12</v>
      </c>
      <c r="D83" s="16" t="s">
        <v>75</v>
      </c>
      <c r="E83" s="18">
        <f>6*(B84+1)</f>
        <v>18</v>
      </c>
      <c r="F83" s="9"/>
      <c r="J83" s="146" t="s">
        <v>144</v>
      </c>
    </row>
    <row r="84" spans="1:10" ht="20.100000000000001" customHeight="1" x14ac:dyDescent="0.25">
      <c r="A84" s="13" t="s">
        <v>172</v>
      </c>
      <c r="B84" s="29">
        <v>2</v>
      </c>
      <c r="D84" s="40"/>
      <c r="E84" s="40"/>
      <c r="F84" s="9"/>
    </row>
    <row r="85" spans="1:10" ht="20.100000000000001" customHeight="1" x14ac:dyDescent="0.25">
      <c r="A85" s="13" t="s">
        <v>97</v>
      </c>
      <c r="B85" s="29">
        <f>B84+1</f>
        <v>3</v>
      </c>
      <c r="D85" s="41" t="s">
        <v>130</v>
      </c>
      <c r="J85" s="146"/>
    </row>
    <row r="86" spans="1:10" ht="20.100000000000001" customHeight="1" x14ac:dyDescent="0.25">
      <c r="A86" s="13" t="s">
        <v>13</v>
      </c>
      <c r="B86" s="29">
        <f>B83-B85</f>
        <v>9</v>
      </c>
      <c r="D86" s="143" t="str" cm="1">
        <f t="array" ref="D86">_xlfn.IFS(B83&lt;E81,J80,AND(B83&gt;=E81,B83&lt;E82),J81,AND(B83&gt;=E82,B83&lt;E83),J82,B83&gt;=E83,J83)</f>
        <v>Atende às exigências para o grau II da NBR 14653-2:2011</v>
      </c>
      <c r="E86" s="143"/>
      <c r="J86" s="153"/>
    </row>
    <row r="87" spans="1:10" ht="20.100000000000001" customHeight="1" x14ac:dyDescent="0.25">
      <c r="A87" s="13" t="s">
        <v>1</v>
      </c>
      <c r="B87" s="13">
        <f>((C94/(B83-B84-1))^(1/2))</f>
        <v>14584.971092283824</v>
      </c>
      <c r="J87" s="153"/>
    </row>
    <row r="89" spans="1:10" ht="20.100000000000001" customHeight="1" x14ac:dyDescent="0.25">
      <c r="B89" s="9"/>
    </row>
    <row r="90" spans="1:10" ht="20.100000000000001" customHeight="1" x14ac:dyDescent="0.25">
      <c r="A90" s="109" t="s">
        <v>17</v>
      </c>
      <c r="B90" s="109"/>
      <c r="C90" s="109"/>
      <c r="D90" s="109"/>
      <c r="E90" s="109"/>
      <c r="F90" s="109"/>
      <c r="G90" s="109"/>
      <c r="H90" s="60"/>
    </row>
    <row r="91" spans="1:10" ht="20.100000000000001" customHeight="1" x14ac:dyDescent="0.25">
      <c r="I91" s="156"/>
      <c r="J91" s="157"/>
    </row>
    <row r="92" spans="1:10" ht="20.100000000000001" customHeight="1" x14ac:dyDescent="0.25">
      <c r="A92" s="13"/>
      <c r="B92" s="46" t="s">
        <v>13</v>
      </c>
      <c r="C92" s="46" t="s">
        <v>14</v>
      </c>
      <c r="D92" s="46" t="s">
        <v>15</v>
      </c>
      <c r="E92" s="46" t="s">
        <v>16</v>
      </c>
      <c r="F92" s="46" t="s">
        <v>12</v>
      </c>
    </row>
    <row r="93" spans="1:10" ht="20.100000000000001" customHeight="1" x14ac:dyDescent="0.25">
      <c r="A93" s="16" t="s">
        <v>2</v>
      </c>
      <c r="B93" s="18">
        <f>B84</f>
        <v>2</v>
      </c>
      <c r="C93" s="16">
        <f>D224</f>
        <v>21649757564.132076</v>
      </c>
      <c r="D93" s="16">
        <f>C93/B93</f>
        <v>10824878782.066038</v>
      </c>
      <c r="E93" s="16">
        <f>(C93/B84)/(C94/(B83-B84-1))</f>
        <v>50.887591516958437</v>
      </c>
      <c r="F93" s="20">
        <f>_xlfn.F.DIST.RT(E93,B93,B94)</f>
        <v>1.2419386681108966E-5</v>
      </c>
      <c r="G93" s="53"/>
      <c r="H93" s="53"/>
      <c r="J93" s="158" t="str">
        <f>IF(F93&gt;0.05,"Atenção: esse resultado não pode ser superior a 5% (cinco por cento)","Nível de significância admitido")</f>
        <v>Nível de significância admitido</v>
      </c>
    </row>
    <row r="94" spans="1:10" ht="20.100000000000001" customHeight="1" x14ac:dyDescent="0.25">
      <c r="A94" s="16" t="s">
        <v>3</v>
      </c>
      <c r="B94" s="18">
        <f>B83-B84-1</f>
        <v>9</v>
      </c>
      <c r="C94" s="16">
        <f>D242</f>
        <v>1914492435.8647933</v>
      </c>
      <c r="D94" s="16">
        <f>C94/B94</f>
        <v>212721381.7627548</v>
      </c>
      <c r="E94" s="21"/>
      <c r="F94" s="21"/>
      <c r="J94" s="146"/>
    </row>
    <row r="95" spans="1:10" ht="20.100000000000001" customHeight="1" x14ac:dyDescent="0.25">
      <c r="A95" s="16" t="s">
        <v>4</v>
      </c>
      <c r="B95" s="18">
        <f>B93+B94</f>
        <v>11</v>
      </c>
      <c r="C95" s="16">
        <f>D260</f>
        <v>23564250000</v>
      </c>
      <c r="J95" s="159"/>
    </row>
    <row r="96" spans="1:10" ht="20.100000000000001" customHeight="1" x14ac:dyDescent="0.25">
      <c r="J96" s="159"/>
    </row>
    <row r="97" spans="1:190" ht="20.100000000000001" customHeight="1" x14ac:dyDescent="0.25">
      <c r="A97" s="13"/>
      <c r="B97" s="126" t="s">
        <v>18</v>
      </c>
      <c r="C97" s="126"/>
      <c r="D97" s="46" t="s">
        <v>1</v>
      </c>
      <c r="E97" s="46" t="s">
        <v>11</v>
      </c>
      <c r="F97" s="46" t="s">
        <v>12</v>
      </c>
      <c r="J97" s="159"/>
    </row>
    <row r="98" spans="1:190" ht="20.100000000000001" customHeight="1" x14ac:dyDescent="0.25">
      <c r="A98" s="62" t="s">
        <v>178</v>
      </c>
      <c r="B98" s="16" t="s">
        <v>5</v>
      </c>
      <c r="C98" s="2">
        <f>AC627</f>
        <v>111292.34862714354</v>
      </c>
      <c r="D98" s="2">
        <f>$B$87*(AA623^(1/2))</f>
        <v>34992.89564950647</v>
      </c>
      <c r="E98" s="2">
        <f>ABS(C98/D98)</f>
        <v>3.1804269569990038</v>
      </c>
      <c r="F98" s="19">
        <f>_xlfn.T.DIST.2T(ABS(E98),$B$83-$B$84-1)</f>
        <v>1.1177110910201732E-2</v>
      </c>
      <c r="J98" s="158" t="str">
        <f>IF(F98&gt;0.3,"Atenção: esse resultado não pode ser superior a 30% (trinta por cento)","Nível de significância admitido")</f>
        <v>Nível de significância admitido</v>
      </c>
    </row>
    <row r="99" spans="1:190" ht="20.100000000000001" customHeight="1" x14ac:dyDescent="0.35">
      <c r="A99" s="71" t="s">
        <v>181</v>
      </c>
      <c r="B99" s="73" t="str">
        <f>C10</f>
        <v>Área do terreno</v>
      </c>
      <c r="C99" s="16">
        <f>AC628</f>
        <v>1129.6112150616755</v>
      </c>
      <c r="D99" s="16">
        <f>$B$87*(AB624^(1/2))</f>
        <v>162.68601536721752</v>
      </c>
      <c r="E99" s="16">
        <f t="shared" ref="E99:E100" si="35">ABS(C99/D99)</f>
        <v>6.9435053314932977</v>
      </c>
      <c r="F99" s="20">
        <f>_xlfn.T.DIST.2T(ABS(E99),$B$83-$B$84-1)</f>
        <v>6.7329631671502274E-5</v>
      </c>
      <c r="J99" s="158" t="str">
        <f>IF(F99&gt;0.3,"Atenção: esse resultado não pode ser superior a 30% (trinta por cento)","Nível de significância admitido")</f>
        <v>Nível de significância admitido</v>
      </c>
    </row>
    <row r="100" spans="1:190" ht="20.100000000000001" customHeight="1" x14ac:dyDescent="0.35">
      <c r="A100" s="59" t="s">
        <v>182</v>
      </c>
      <c r="B100" s="74" t="str">
        <f>D10</f>
        <v>Área construída</v>
      </c>
      <c r="C100" s="16">
        <f>AC629</f>
        <v>190.05588961395551</v>
      </c>
      <c r="D100" s="16">
        <f>$B$87*(AC625^(1/2))</f>
        <v>103.77318806041389</v>
      </c>
      <c r="E100" s="16">
        <f t="shared" si="35"/>
        <v>1.8314546673010588</v>
      </c>
      <c r="F100" s="20">
        <f>_xlfn.T.DIST.2T(ABS(E100),$B$83-$B$84-1)</f>
        <v>0.1002637277608876</v>
      </c>
      <c r="J100" s="158" t="str">
        <f>IF(F100&gt;0.3,"Atenção: esse resultado não pode ser superior a 30% (trinta por cento)","Nível de significância admitido")</f>
        <v>Nível de significância admitido</v>
      </c>
    </row>
    <row r="102" spans="1:190" ht="20.100000000000001" customHeight="1" x14ac:dyDescent="0.25">
      <c r="A102" s="22"/>
      <c r="B102" s="22"/>
      <c r="C102" s="22"/>
      <c r="D102" s="22"/>
      <c r="E102" s="22"/>
      <c r="F102" s="22"/>
    </row>
    <row r="103" spans="1:190" s="3" customFormat="1" ht="20.100000000000001" customHeight="1" x14ac:dyDescent="0.25">
      <c r="A103" s="2" t="s">
        <v>85</v>
      </c>
      <c r="B103" s="117" t="str">
        <f>CONCATENATE("Valor previsto = ",TEXT(C98,"#.###,00")," + [",TEXT(C99,"#.###,00")," · (",A39,")] + [",TEXT(C100,"#.###,00")," · (",A40,")]")</f>
        <v>Valor previsto = 111.292,35 + [1.129,61 · (Área do terreno)] + [190,06 · (Área construída)]</v>
      </c>
      <c r="C103" s="117"/>
      <c r="D103" s="117"/>
      <c r="E103" s="117"/>
      <c r="F103" s="117"/>
      <c r="G103" s="117"/>
      <c r="H103" s="117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160"/>
      <c r="AP103" s="160"/>
      <c r="AQ103" s="160"/>
      <c r="AR103" s="160"/>
      <c r="AS103" s="160"/>
      <c r="AT103" s="160"/>
      <c r="AU103" s="160"/>
      <c r="AV103" s="160"/>
      <c r="AW103" s="160"/>
      <c r="AX103" s="160"/>
      <c r="AY103" s="160"/>
      <c r="AZ103" s="160"/>
      <c r="BA103" s="160"/>
      <c r="BB103" s="160"/>
      <c r="BC103" s="160"/>
      <c r="BD103" s="160"/>
      <c r="BE103" s="160"/>
      <c r="BF103" s="160"/>
      <c r="BG103" s="160"/>
      <c r="BH103" s="160"/>
      <c r="BI103" s="160"/>
      <c r="BJ103" s="160"/>
      <c r="BK103" s="160"/>
      <c r="BL103" s="160"/>
      <c r="BM103" s="160"/>
      <c r="BN103" s="160"/>
      <c r="BO103" s="160"/>
      <c r="BP103" s="160"/>
      <c r="BQ103" s="160"/>
      <c r="BR103" s="160"/>
      <c r="BS103" s="160"/>
      <c r="BT103" s="160"/>
      <c r="BU103" s="160"/>
      <c r="BV103" s="160"/>
      <c r="BW103" s="160"/>
      <c r="BX103" s="160"/>
      <c r="BY103" s="160"/>
      <c r="BZ103" s="160"/>
      <c r="CA103" s="160"/>
      <c r="CB103" s="160"/>
      <c r="CC103" s="160"/>
      <c r="CD103" s="160"/>
      <c r="CE103" s="160"/>
      <c r="CF103" s="160"/>
      <c r="CG103" s="160"/>
      <c r="CH103" s="160"/>
      <c r="CI103" s="160"/>
      <c r="CJ103" s="160"/>
      <c r="CK103" s="160"/>
      <c r="CL103" s="160"/>
      <c r="CM103" s="160"/>
      <c r="CN103" s="160"/>
      <c r="CO103" s="160"/>
      <c r="CP103" s="160"/>
      <c r="CQ103" s="160"/>
      <c r="CR103" s="160"/>
      <c r="CS103" s="160"/>
      <c r="CT103" s="160"/>
      <c r="CU103" s="160"/>
      <c r="CV103" s="160"/>
      <c r="CW103" s="160"/>
      <c r="CX103" s="160"/>
      <c r="CY103" s="160"/>
      <c r="CZ103" s="160"/>
      <c r="DA103" s="160"/>
      <c r="DB103" s="160"/>
      <c r="DC103" s="160"/>
      <c r="DD103" s="160"/>
      <c r="DE103" s="160"/>
      <c r="DF103" s="160"/>
      <c r="DG103" s="160"/>
      <c r="DH103" s="160"/>
      <c r="DI103" s="160"/>
      <c r="DJ103" s="160"/>
      <c r="DK103" s="160"/>
      <c r="DL103" s="160"/>
      <c r="DM103" s="160"/>
      <c r="DN103" s="160"/>
      <c r="DO103" s="160"/>
      <c r="DP103" s="160"/>
      <c r="DQ103" s="160"/>
      <c r="DR103" s="160"/>
      <c r="DS103" s="160"/>
      <c r="DT103" s="160"/>
      <c r="DU103" s="160"/>
      <c r="DV103" s="160"/>
      <c r="DW103" s="160"/>
      <c r="DX103" s="160"/>
      <c r="DY103" s="160"/>
      <c r="DZ103" s="160"/>
      <c r="EA103" s="160"/>
      <c r="EB103" s="160"/>
      <c r="EC103" s="160"/>
      <c r="ED103" s="160"/>
      <c r="EE103" s="160"/>
      <c r="EF103" s="160"/>
      <c r="EG103" s="160"/>
      <c r="EH103" s="160"/>
      <c r="EI103" s="160"/>
      <c r="EJ103" s="160"/>
      <c r="EK103" s="160"/>
      <c r="EL103" s="160"/>
      <c r="EM103" s="160"/>
      <c r="EN103" s="160"/>
      <c r="EO103" s="160"/>
      <c r="EP103" s="160"/>
      <c r="EQ103" s="160"/>
      <c r="ER103" s="160"/>
      <c r="ES103" s="160"/>
      <c r="ET103" s="160"/>
      <c r="EU103" s="160"/>
      <c r="EV103" s="160"/>
      <c r="EW103" s="160"/>
      <c r="EX103" s="160"/>
      <c r="EY103" s="160"/>
      <c r="EZ103" s="160"/>
      <c r="FA103" s="160"/>
      <c r="FB103" s="160"/>
      <c r="FC103" s="160"/>
      <c r="FD103" s="160"/>
      <c r="FE103" s="160"/>
      <c r="FF103" s="160"/>
      <c r="FG103" s="160"/>
      <c r="FH103" s="160"/>
      <c r="FI103" s="160"/>
      <c r="FJ103" s="160"/>
      <c r="FK103" s="160"/>
      <c r="FL103" s="160"/>
      <c r="FM103" s="160"/>
      <c r="FN103" s="160"/>
      <c r="FO103" s="160"/>
      <c r="FP103" s="160"/>
      <c r="FQ103" s="160"/>
      <c r="FR103" s="160"/>
      <c r="FS103" s="160"/>
      <c r="FT103" s="160"/>
      <c r="FU103" s="160"/>
      <c r="FV103" s="160"/>
      <c r="FW103" s="160"/>
      <c r="FX103" s="160"/>
      <c r="FY103" s="160"/>
      <c r="FZ103" s="160"/>
      <c r="GA103" s="160"/>
      <c r="GB103" s="160"/>
      <c r="GC103" s="160"/>
      <c r="GD103" s="160"/>
      <c r="GE103" s="160"/>
      <c r="GF103" s="160"/>
      <c r="GG103" s="160"/>
      <c r="GH103" s="160"/>
    </row>
    <row r="104" spans="1:190" s="3" customFormat="1" ht="20.100000000000001" customHeight="1" x14ac:dyDescent="0.25"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0"/>
      <c r="AA104" s="160"/>
      <c r="AB104" s="160"/>
      <c r="AC104" s="160"/>
      <c r="AD104" s="160"/>
      <c r="AE104" s="160"/>
      <c r="AF104" s="160"/>
      <c r="AG104" s="160"/>
      <c r="AH104" s="160"/>
      <c r="AI104" s="160"/>
      <c r="AJ104" s="160"/>
      <c r="AK104" s="160"/>
      <c r="AL104" s="160"/>
      <c r="AM104" s="160"/>
      <c r="AN104" s="160"/>
      <c r="AO104" s="160"/>
      <c r="AP104" s="160"/>
      <c r="AQ104" s="160"/>
      <c r="AR104" s="160"/>
      <c r="AS104" s="160"/>
      <c r="AT104" s="160"/>
      <c r="AU104" s="160"/>
      <c r="AV104" s="160"/>
      <c r="AW104" s="160"/>
      <c r="AX104" s="160"/>
      <c r="AY104" s="160"/>
      <c r="AZ104" s="160"/>
      <c r="BA104" s="160"/>
      <c r="BB104" s="160"/>
      <c r="BC104" s="160"/>
      <c r="BD104" s="160"/>
      <c r="BE104" s="160"/>
      <c r="BF104" s="160"/>
      <c r="BG104" s="160"/>
      <c r="BH104" s="160"/>
      <c r="BI104" s="160"/>
      <c r="BJ104" s="160"/>
      <c r="BK104" s="160"/>
      <c r="BL104" s="160"/>
      <c r="BM104" s="160"/>
      <c r="BN104" s="160"/>
      <c r="BO104" s="160"/>
      <c r="BP104" s="160"/>
      <c r="BQ104" s="160"/>
      <c r="BR104" s="160"/>
      <c r="BS104" s="160"/>
      <c r="BT104" s="160"/>
      <c r="BU104" s="160"/>
      <c r="BV104" s="160"/>
      <c r="BW104" s="160"/>
      <c r="BX104" s="160"/>
      <c r="BY104" s="160"/>
      <c r="BZ104" s="160"/>
      <c r="CA104" s="160"/>
      <c r="CB104" s="160"/>
      <c r="CC104" s="160"/>
      <c r="CD104" s="160"/>
      <c r="CE104" s="160"/>
      <c r="CF104" s="160"/>
      <c r="CG104" s="160"/>
      <c r="CH104" s="160"/>
      <c r="CI104" s="160"/>
      <c r="CJ104" s="160"/>
      <c r="CK104" s="160"/>
      <c r="CL104" s="160"/>
      <c r="CM104" s="160"/>
      <c r="CN104" s="160"/>
      <c r="CO104" s="160"/>
      <c r="CP104" s="160"/>
      <c r="CQ104" s="160"/>
      <c r="CR104" s="160"/>
      <c r="CS104" s="160"/>
      <c r="CT104" s="160"/>
      <c r="CU104" s="160"/>
      <c r="CV104" s="160"/>
      <c r="CW104" s="160"/>
      <c r="CX104" s="160"/>
      <c r="CY104" s="160"/>
      <c r="CZ104" s="160"/>
      <c r="DA104" s="160"/>
      <c r="DB104" s="160"/>
      <c r="DC104" s="160"/>
      <c r="DD104" s="160"/>
      <c r="DE104" s="160"/>
      <c r="DF104" s="160"/>
      <c r="DG104" s="160"/>
      <c r="DH104" s="160"/>
      <c r="DI104" s="160"/>
      <c r="DJ104" s="160"/>
      <c r="DK104" s="160"/>
      <c r="DL104" s="160"/>
      <c r="DM104" s="160"/>
      <c r="DN104" s="160"/>
      <c r="DO104" s="160"/>
      <c r="DP104" s="160"/>
      <c r="DQ104" s="160"/>
      <c r="DR104" s="160"/>
      <c r="DS104" s="160"/>
      <c r="DT104" s="160"/>
      <c r="DU104" s="160"/>
      <c r="DV104" s="160"/>
      <c r="DW104" s="160"/>
      <c r="DX104" s="160"/>
      <c r="DY104" s="160"/>
      <c r="DZ104" s="160"/>
      <c r="EA104" s="160"/>
      <c r="EB104" s="160"/>
      <c r="EC104" s="160"/>
      <c r="ED104" s="160"/>
      <c r="EE104" s="160"/>
      <c r="EF104" s="160"/>
      <c r="EG104" s="160"/>
      <c r="EH104" s="160"/>
      <c r="EI104" s="160"/>
      <c r="EJ104" s="160"/>
      <c r="EK104" s="160"/>
      <c r="EL104" s="160"/>
      <c r="EM104" s="160"/>
      <c r="EN104" s="160"/>
      <c r="EO104" s="160"/>
      <c r="EP104" s="160"/>
      <c r="EQ104" s="160"/>
      <c r="ER104" s="160"/>
      <c r="ES104" s="160"/>
      <c r="ET104" s="160"/>
      <c r="EU104" s="160"/>
      <c r="EV104" s="160"/>
      <c r="EW104" s="160"/>
      <c r="EX104" s="160"/>
      <c r="EY104" s="160"/>
      <c r="EZ104" s="160"/>
      <c r="FA104" s="160"/>
      <c r="FB104" s="160"/>
      <c r="FC104" s="160"/>
      <c r="FD104" s="160"/>
      <c r="FE104" s="160"/>
      <c r="FF104" s="160"/>
      <c r="FG104" s="160"/>
      <c r="FH104" s="160"/>
      <c r="FI104" s="160"/>
      <c r="FJ104" s="160"/>
      <c r="FK104" s="160"/>
      <c r="FL104" s="160"/>
      <c r="FM104" s="160"/>
      <c r="FN104" s="160"/>
      <c r="FO104" s="160"/>
      <c r="FP104" s="160"/>
      <c r="FQ104" s="160"/>
      <c r="FR104" s="160"/>
      <c r="FS104" s="160"/>
      <c r="FT104" s="160"/>
      <c r="FU104" s="160"/>
      <c r="FV104" s="160"/>
      <c r="FW104" s="160"/>
      <c r="FX104" s="160"/>
      <c r="FY104" s="160"/>
      <c r="FZ104" s="160"/>
      <c r="GA104" s="160"/>
      <c r="GB104" s="160"/>
      <c r="GC104" s="160"/>
      <c r="GD104" s="160"/>
      <c r="GE104" s="160"/>
      <c r="GF104" s="160"/>
      <c r="GG104" s="160"/>
      <c r="GH104" s="160"/>
    </row>
    <row r="105" spans="1:190" s="3" customFormat="1" ht="20.100000000000001" customHeight="1" x14ac:dyDescent="0.25">
      <c r="G105" s="53"/>
      <c r="H105" s="53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160"/>
      <c r="AO105" s="160"/>
      <c r="AP105" s="160"/>
      <c r="AQ105" s="160"/>
      <c r="AR105" s="160"/>
      <c r="AS105" s="160"/>
      <c r="AT105" s="160"/>
      <c r="AU105" s="160"/>
      <c r="AV105" s="160"/>
      <c r="AW105" s="160"/>
      <c r="AX105" s="160"/>
      <c r="AY105" s="160"/>
      <c r="AZ105" s="160"/>
      <c r="BA105" s="160"/>
      <c r="BB105" s="160"/>
      <c r="BC105" s="160"/>
      <c r="BD105" s="160"/>
      <c r="BE105" s="160"/>
      <c r="BF105" s="160"/>
      <c r="BG105" s="160"/>
      <c r="BH105" s="160"/>
      <c r="BI105" s="160"/>
      <c r="BJ105" s="160"/>
      <c r="BK105" s="160"/>
      <c r="BL105" s="160"/>
      <c r="BM105" s="160"/>
      <c r="BN105" s="160"/>
      <c r="BO105" s="160"/>
      <c r="BP105" s="160"/>
      <c r="BQ105" s="160"/>
      <c r="BR105" s="160"/>
      <c r="BS105" s="160"/>
      <c r="BT105" s="160"/>
      <c r="BU105" s="160"/>
      <c r="BV105" s="160"/>
      <c r="BW105" s="160"/>
      <c r="BX105" s="160"/>
      <c r="BY105" s="160"/>
      <c r="BZ105" s="160"/>
      <c r="CA105" s="160"/>
      <c r="CB105" s="160"/>
      <c r="CC105" s="160"/>
      <c r="CD105" s="160"/>
      <c r="CE105" s="160"/>
      <c r="CF105" s="160"/>
      <c r="CG105" s="160"/>
      <c r="CH105" s="160"/>
      <c r="CI105" s="160"/>
      <c r="CJ105" s="160"/>
      <c r="CK105" s="160"/>
      <c r="CL105" s="160"/>
      <c r="CM105" s="160"/>
      <c r="CN105" s="160"/>
      <c r="CO105" s="160"/>
      <c r="CP105" s="160"/>
      <c r="CQ105" s="160"/>
      <c r="CR105" s="160"/>
      <c r="CS105" s="160"/>
      <c r="CT105" s="160"/>
      <c r="CU105" s="160"/>
      <c r="CV105" s="160"/>
      <c r="CW105" s="160"/>
      <c r="CX105" s="160"/>
      <c r="CY105" s="160"/>
      <c r="CZ105" s="160"/>
      <c r="DA105" s="160"/>
      <c r="DB105" s="160"/>
      <c r="DC105" s="160"/>
      <c r="DD105" s="160"/>
      <c r="DE105" s="160"/>
      <c r="DF105" s="160"/>
      <c r="DG105" s="160"/>
      <c r="DH105" s="160"/>
      <c r="DI105" s="160"/>
      <c r="DJ105" s="160"/>
      <c r="DK105" s="160"/>
      <c r="DL105" s="160"/>
      <c r="DM105" s="160"/>
      <c r="DN105" s="160"/>
      <c r="DO105" s="160"/>
      <c r="DP105" s="160"/>
      <c r="DQ105" s="160"/>
      <c r="DR105" s="160"/>
      <c r="DS105" s="160"/>
      <c r="DT105" s="160"/>
      <c r="DU105" s="160"/>
      <c r="DV105" s="160"/>
      <c r="DW105" s="160"/>
      <c r="DX105" s="160"/>
      <c r="DY105" s="160"/>
      <c r="DZ105" s="160"/>
      <c r="EA105" s="160"/>
      <c r="EB105" s="160"/>
      <c r="EC105" s="160"/>
      <c r="ED105" s="160"/>
      <c r="EE105" s="160"/>
      <c r="EF105" s="160"/>
      <c r="EG105" s="160"/>
      <c r="EH105" s="160"/>
      <c r="EI105" s="160"/>
      <c r="EJ105" s="160"/>
      <c r="EK105" s="160"/>
      <c r="EL105" s="160"/>
      <c r="EM105" s="160"/>
      <c r="EN105" s="160"/>
      <c r="EO105" s="160"/>
      <c r="EP105" s="160"/>
      <c r="EQ105" s="160"/>
      <c r="ER105" s="160"/>
      <c r="ES105" s="160"/>
      <c r="ET105" s="160"/>
      <c r="EU105" s="160"/>
      <c r="EV105" s="160"/>
      <c r="EW105" s="160"/>
      <c r="EX105" s="160"/>
      <c r="EY105" s="160"/>
      <c r="EZ105" s="160"/>
      <c r="FA105" s="160"/>
      <c r="FB105" s="160"/>
      <c r="FC105" s="160"/>
      <c r="FD105" s="160"/>
      <c r="FE105" s="160"/>
      <c r="FF105" s="160"/>
      <c r="FG105" s="160"/>
      <c r="FH105" s="160"/>
      <c r="FI105" s="160"/>
      <c r="FJ105" s="160"/>
      <c r="FK105" s="160"/>
      <c r="FL105" s="160"/>
      <c r="FM105" s="160"/>
      <c r="FN105" s="160"/>
      <c r="FO105" s="160"/>
      <c r="FP105" s="160"/>
      <c r="FQ105" s="160"/>
      <c r="FR105" s="160"/>
      <c r="FS105" s="160"/>
      <c r="FT105" s="160"/>
      <c r="FU105" s="160"/>
      <c r="FV105" s="160"/>
      <c r="FW105" s="160"/>
      <c r="FX105" s="160"/>
      <c r="FY105" s="160"/>
      <c r="FZ105" s="160"/>
      <c r="GA105" s="160"/>
      <c r="GB105" s="160"/>
      <c r="GC105" s="160"/>
      <c r="GD105" s="160"/>
      <c r="GE105" s="160"/>
      <c r="GF105" s="160"/>
      <c r="GG105" s="160"/>
      <c r="GH105" s="160"/>
    </row>
    <row r="106" spans="1:190" s="3" customFormat="1" ht="20.100000000000001" customHeight="1" x14ac:dyDescent="0.25">
      <c r="A106" s="108" t="s">
        <v>183</v>
      </c>
      <c r="B106" s="108"/>
      <c r="C106" s="108"/>
      <c r="D106" s="108"/>
      <c r="E106" s="108"/>
      <c r="F106" s="108"/>
      <c r="G106" s="108"/>
      <c r="H106" s="108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0"/>
      <c r="AA106" s="160"/>
      <c r="AB106" s="160"/>
      <c r="AC106" s="160"/>
      <c r="AD106" s="160"/>
      <c r="AE106" s="160"/>
      <c r="AF106" s="160"/>
      <c r="AG106" s="160"/>
      <c r="AH106" s="160"/>
      <c r="AI106" s="160"/>
      <c r="AJ106" s="160"/>
      <c r="AK106" s="160"/>
      <c r="AL106" s="160"/>
      <c r="AM106" s="160"/>
      <c r="AN106" s="160"/>
      <c r="AO106" s="160"/>
      <c r="AP106" s="160"/>
      <c r="AQ106" s="160"/>
      <c r="AR106" s="160"/>
      <c r="AS106" s="160"/>
      <c r="AT106" s="160"/>
      <c r="AU106" s="160"/>
      <c r="AV106" s="160"/>
      <c r="AW106" s="160"/>
      <c r="AX106" s="160"/>
      <c r="AY106" s="160"/>
      <c r="AZ106" s="160"/>
      <c r="BA106" s="160"/>
      <c r="BB106" s="160"/>
      <c r="BC106" s="160"/>
      <c r="BD106" s="160"/>
      <c r="BE106" s="160"/>
      <c r="BF106" s="160"/>
      <c r="BG106" s="160"/>
      <c r="BH106" s="160"/>
      <c r="BI106" s="160"/>
      <c r="BJ106" s="160"/>
      <c r="BK106" s="160"/>
      <c r="BL106" s="160"/>
      <c r="BM106" s="160"/>
      <c r="BN106" s="160"/>
      <c r="BO106" s="160"/>
      <c r="BP106" s="160"/>
      <c r="BQ106" s="160"/>
      <c r="BR106" s="160"/>
      <c r="BS106" s="160"/>
      <c r="BT106" s="160"/>
      <c r="BU106" s="160"/>
      <c r="BV106" s="160"/>
      <c r="BW106" s="160"/>
      <c r="BX106" s="160"/>
      <c r="BY106" s="160"/>
      <c r="BZ106" s="160"/>
      <c r="CA106" s="160"/>
      <c r="CB106" s="160"/>
      <c r="CC106" s="160"/>
      <c r="CD106" s="160"/>
      <c r="CE106" s="160"/>
      <c r="CF106" s="160"/>
      <c r="CG106" s="160"/>
      <c r="CH106" s="160"/>
      <c r="CI106" s="160"/>
      <c r="CJ106" s="160"/>
      <c r="CK106" s="160"/>
      <c r="CL106" s="160"/>
      <c r="CM106" s="160"/>
      <c r="CN106" s="160"/>
      <c r="CO106" s="160"/>
      <c r="CP106" s="160"/>
      <c r="CQ106" s="160"/>
      <c r="CR106" s="160"/>
      <c r="CS106" s="160"/>
      <c r="CT106" s="160"/>
      <c r="CU106" s="160"/>
      <c r="CV106" s="160"/>
      <c r="CW106" s="160"/>
      <c r="CX106" s="160"/>
      <c r="CY106" s="160"/>
      <c r="CZ106" s="160"/>
      <c r="DA106" s="160"/>
      <c r="DB106" s="160"/>
      <c r="DC106" s="160"/>
      <c r="DD106" s="160"/>
      <c r="DE106" s="160"/>
      <c r="DF106" s="160"/>
      <c r="DG106" s="160"/>
      <c r="DH106" s="160"/>
      <c r="DI106" s="160"/>
      <c r="DJ106" s="160"/>
      <c r="DK106" s="160"/>
      <c r="DL106" s="160"/>
      <c r="DM106" s="160"/>
      <c r="DN106" s="160"/>
      <c r="DO106" s="160"/>
      <c r="DP106" s="160"/>
      <c r="DQ106" s="160"/>
      <c r="DR106" s="160"/>
      <c r="DS106" s="160"/>
      <c r="DT106" s="160"/>
      <c r="DU106" s="160"/>
      <c r="DV106" s="160"/>
      <c r="DW106" s="160"/>
      <c r="DX106" s="160"/>
      <c r="DY106" s="160"/>
      <c r="DZ106" s="160"/>
      <c r="EA106" s="160"/>
      <c r="EB106" s="160"/>
      <c r="EC106" s="160"/>
      <c r="ED106" s="160"/>
      <c r="EE106" s="160"/>
      <c r="EF106" s="160"/>
      <c r="EG106" s="160"/>
      <c r="EH106" s="160"/>
      <c r="EI106" s="160"/>
      <c r="EJ106" s="160"/>
      <c r="EK106" s="160"/>
      <c r="EL106" s="160"/>
      <c r="EM106" s="160"/>
      <c r="EN106" s="160"/>
      <c r="EO106" s="160"/>
      <c r="EP106" s="160"/>
      <c r="EQ106" s="160"/>
      <c r="ER106" s="160"/>
      <c r="ES106" s="160"/>
      <c r="ET106" s="160"/>
      <c r="EU106" s="160"/>
      <c r="EV106" s="160"/>
      <c r="EW106" s="160"/>
      <c r="EX106" s="160"/>
      <c r="EY106" s="160"/>
      <c r="EZ106" s="160"/>
      <c r="FA106" s="160"/>
      <c r="FB106" s="160"/>
      <c r="FC106" s="160"/>
      <c r="FD106" s="160"/>
      <c r="FE106" s="160"/>
      <c r="FF106" s="160"/>
      <c r="FG106" s="160"/>
      <c r="FH106" s="160"/>
      <c r="FI106" s="160"/>
      <c r="FJ106" s="160"/>
      <c r="FK106" s="160"/>
      <c r="FL106" s="160"/>
      <c r="FM106" s="160"/>
      <c r="FN106" s="160"/>
      <c r="FO106" s="160"/>
      <c r="FP106" s="160"/>
      <c r="FQ106" s="160"/>
      <c r="FR106" s="160"/>
      <c r="FS106" s="160"/>
      <c r="FT106" s="160"/>
      <c r="FU106" s="160"/>
      <c r="FV106" s="160"/>
      <c r="FW106" s="160"/>
      <c r="FX106" s="160"/>
      <c r="FY106" s="160"/>
      <c r="FZ106" s="160"/>
      <c r="GA106" s="160"/>
      <c r="GB106" s="160"/>
      <c r="GC106" s="160"/>
      <c r="GD106" s="160"/>
      <c r="GE106" s="160"/>
      <c r="GF106" s="160"/>
      <c r="GG106" s="160"/>
      <c r="GH106" s="160"/>
    </row>
    <row r="107" spans="1:190" s="3" customFormat="1" ht="20.100000000000001" customHeight="1" x14ac:dyDescent="0.25">
      <c r="G107" s="2"/>
      <c r="H107" s="2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60"/>
      <c r="Z107" s="160"/>
      <c r="AA107" s="160"/>
      <c r="AB107" s="160"/>
      <c r="AC107" s="160"/>
      <c r="AD107" s="160"/>
      <c r="AE107" s="160"/>
      <c r="AF107" s="160"/>
      <c r="AG107" s="160"/>
      <c r="AH107" s="160"/>
      <c r="AI107" s="160"/>
      <c r="AJ107" s="160"/>
      <c r="AK107" s="160"/>
      <c r="AL107" s="160"/>
      <c r="AM107" s="160"/>
      <c r="AN107" s="160"/>
      <c r="AO107" s="160"/>
      <c r="AP107" s="160"/>
      <c r="AQ107" s="160"/>
      <c r="AR107" s="160"/>
      <c r="AS107" s="160"/>
      <c r="AT107" s="160"/>
      <c r="AU107" s="160"/>
      <c r="AV107" s="160"/>
      <c r="AW107" s="160"/>
      <c r="AX107" s="160"/>
      <c r="AY107" s="160"/>
      <c r="AZ107" s="160"/>
      <c r="BA107" s="160"/>
      <c r="BB107" s="160"/>
      <c r="BC107" s="160"/>
      <c r="BD107" s="160"/>
      <c r="BE107" s="160"/>
      <c r="BF107" s="160"/>
      <c r="BG107" s="160"/>
      <c r="BH107" s="160"/>
      <c r="BI107" s="160"/>
      <c r="BJ107" s="160"/>
      <c r="BK107" s="160"/>
      <c r="BL107" s="160"/>
      <c r="BM107" s="160"/>
      <c r="BN107" s="160"/>
      <c r="BO107" s="160"/>
      <c r="BP107" s="160"/>
      <c r="BQ107" s="160"/>
      <c r="BR107" s="160"/>
      <c r="BS107" s="160"/>
      <c r="BT107" s="160"/>
      <c r="BU107" s="160"/>
      <c r="BV107" s="160"/>
      <c r="BW107" s="160"/>
      <c r="BX107" s="160"/>
      <c r="BY107" s="160"/>
      <c r="BZ107" s="160"/>
      <c r="CA107" s="160"/>
      <c r="CB107" s="160"/>
      <c r="CC107" s="160"/>
      <c r="CD107" s="160"/>
      <c r="CE107" s="160"/>
      <c r="CF107" s="160"/>
      <c r="CG107" s="160"/>
      <c r="CH107" s="160"/>
      <c r="CI107" s="160"/>
      <c r="CJ107" s="160"/>
      <c r="CK107" s="160"/>
      <c r="CL107" s="160"/>
      <c r="CM107" s="160"/>
      <c r="CN107" s="160"/>
      <c r="CO107" s="160"/>
      <c r="CP107" s="160"/>
      <c r="CQ107" s="160"/>
      <c r="CR107" s="160"/>
      <c r="CS107" s="160"/>
      <c r="CT107" s="160"/>
      <c r="CU107" s="160"/>
      <c r="CV107" s="160"/>
      <c r="CW107" s="160"/>
      <c r="CX107" s="160"/>
      <c r="CY107" s="160"/>
      <c r="CZ107" s="160"/>
      <c r="DA107" s="160"/>
      <c r="DB107" s="160"/>
      <c r="DC107" s="160"/>
      <c r="DD107" s="160"/>
      <c r="DE107" s="160"/>
      <c r="DF107" s="160"/>
      <c r="DG107" s="160"/>
      <c r="DH107" s="160"/>
      <c r="DI107" s="160"/>
      <c r="DJ107" s="160"/>
      <c r="DK107" s="160"/>
      <c r="DL107" s="160"/>
      <c r="DM107" s="160"/>
      <c r="DN107" s="160"/>
      <c r="DO107" s="160"/>
      <c r="DP107" s="160"/>
      <c r="DQ107" s="160"/>
      <c r="DR107" s="160"/>
      <c r="DS107" s="160"/>
      <c r="DT107" s="160"/>
      <c r="DU107" s="160"/>
      <c r="DV107" s="160"/>
      <c r="DW107" s="160"/>
      <c r="DX107" s="160"/>
      <c r="DY107" s="160"/>
      <c r="DZ107" s="160"/>
      <c r="EA107" s="160"/>
      <c r="EB107" s="160"/>
      <c r="EC107" s="160"/>
      <c r="ED107" s="160"/>
      <c r="EE107" s="160"/>
      <c r="EF107" s="160"/>
      <c r="EG107" s="160"/>
      <c r="EH107" s="160"/>
      <c r="EI107" s="160"/>
      <c r="EJ107" s="160"/>
      <c r="EK107" s="160"/>
      <c r="EL107" s="160"/>
      <c r="EM107" s="160"/>
      <c r="EN107" s="160"/>
      <c r="EO107" s="160"/>
      <c r="EP107" s="160"/>
      <c r="EQ107" s="160"/>
      <c r="ER107" s="160"/>
      <c r="ES107" s="160"/>
      <c r="ET107" s="160"/>
      <c r="EU107" s="160"/>
      <c r="EV107" s="160"/>
      <c r="EW107" s="160"/>
      <c r="EX107" s="160"/>
      <c r="EY107" s="160"/>
      <c r="EZ107" s="160"/>
      <c r="FA107" s="160"/>
      <c r="FB107" s="160"/>
      <c r="FC107" s="160"/>
      <c r="FD107" s="160"/>
      <c r="FE107" s="160"/>
      <c r="FF107" s="160"/>
      <c r="FG107" s="160"/>
      <c r="FH107" s="160"/>
      <c r="FI107" s="160"/>
      <c r="FJ107" s="160"/>
      <c r="FK107" s="160"/>
      <c r="FL107" s="160"/>
      <c r="FM107" s="160"/>
      <c r="FN107" s="160"/>
      <c r="FO107" s="160"/>
      <c r="FP107" s="160"/>
      <c r="FQ107" s="160"/>
      <c r="FR107" s="160"/>
      <c r="FS107" s="160"/>
      <c r="FT107" s="160"/>
      <c r="FU107" s="160"/>
      <c r="FV107" s="160"/>
      <c r="FW107" s="160"/>
      <c r="FX107" s="160"/>
      <c r="FY107" s="160"/>
      <c r="FZ107" s="160"/>
      <c r="GA107" s="160"/>
      <c r="GB107" s="160"/>
      <c r="GC107" s="160"/>
      <c r="GD107" s="160"/>
      <c r="GE107" s="160"/>
      <c r="GF107" s="160"/>
      <c r="GG107" s="160"/>
      <c r="GH107" s="160"/>
    </row>
    <row r="108" spans="1:190" s="3" customFormat="1" ht="20.100000000000001" customHeight="1" x14ac:dyDescent="0.25">
      <c r="A108" s="74" t="str">
        <f>C10</f>
        <v>Área do terreno</v>
      </c>
      <c r="B108" s="16" t="s">
        <v>179</v>
      </c>
      <c r="C108" s="16">
        <f>C99</f>
        <v>1129.6112150616755</v>
      </c>
      <c r="E108" s="2"/>
      <c r="F108" s="2"/>
      <c r="G108" s="2"/>
      <c r="H108" s="2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60"/>
      <c r="Z108" s="160"/>
      <c r="AA108" s="160"/>
      <c r="AB108" s="160"/>
      <c r="AC108" s="160"/>
      <c r="AD108" s="160"/>
      <c r="AE108" s="160"/>
      <c r="AF108" s="160"/>
      <c r="AG108" s="160"/>
      <c r="AH108" s="160"/>
      <c r="AI108" s="160"/>
      <c r="AJ108" s="160"/>
      <c r="AK108" s="160"/>
      <c r="AL108" s="160"/>
      <c r="AM108" s="160"/>
      <c r="AN108" s="160"/>
      <c r="AO108" s="160"/>
      <c r="AP108" s="160"/>
      <c r="AQ108" s="160"/>
      <c r="AR108" s="160"/>
      <c r="AS108" s="160"/>
      <c r="AT108" s="160"/>
      <c r="AU108" s="160"/>
      <c r="AV108" s="160"/>
      <c r="AW108" s="160"/>
      <c r="AX108" s="160"/>
      <c r="AY108" s="160"/>
      <c r="AZ108" s="160"/>
      <c r="BA108" s="160"/>
      <c r="BB108" s="160"/>
      <c r="BC108" s="160"/>
      <c r="BD108" s="160"/>
      <c r="BE108" s="160"/>
      <c r="BF108" s="160"/>
      <c r="BG108" s="160"/>
      <c r="BH108" s="160"/>
      <c r="BI108" s="160"/>
      <c r="BJ108" s="160"/>
      <c r="BK108" s="160"/>
      <c r="BL108" s="160"/>
      <c r="BM108" s="160"/>
      <c r="BN108" s="160"/>
      <c r="BO108" s="160"/>
      <c r="BP108" s="160"/>
      <c r="BQ108" s="160"/>
      <c r="BR108" s="160"/>
      <c r="BS108" s="160"/>
      <c r="BT108" s="160"/>
      <c r="BU108" s="160"/>
      <c r="BV108" s="160"/>
      <c r="BW108" s="160"/>
      <c r="BX108" s="160"/>
      <c r="BY108" s="160"/>
      <c r="BZ108" s="160"/>
      <c r="CA108" s="160"/>
      <c r="CB108" s="160"/>
      <c r="CC108" s="160"/>
      <c r="CD108" s="160"/>
      <c r="CE108" s="160"/>
      <c r="CF108" s="160"/>
      <c r="CG108" s="160"/>
      <c r="CH108" s="160"/>
      <c r="CI108" s="160"/>
      <c r="CJ108" s="160"/>
      <c r="CK108" s="160"/>
      <c r="CL108" s="160"/>
      <c r="CM108" s="160"/>
      <c r="CN108" s="160"/>
      <c r="CO108" s="160"/>
      <c r="CP108" s="160"/>
      <c r="CQ108" s="160"/>
      <c r="CR108" s="160"/>
      <c r="CS108" s="160"/>
      <c r="CT108" s="160"/>
      <c r="CU108" s="160"/>
      <c r="CV108" s="160"/>
      <c r="CW108" s="160"/>
      <c r="CX108" s="160"/>
      <c r="CY108" s="160"/>
      <c r="CZ108" s="160"/>
      <c r="DA108" s="160"/>
      <c r="DB108" s="160"/>
      <c r="DC108" s="160"/>
      <c r="DD108" s="160"/>
      <c r="DE108" s="160"/>
      <c r="DF108" s="160"/>
      <c r="DG108" s="160"/>
      <c r="DH108" s="160"/>
      <c r="DI108" s="160"/>
      <c r="DJ108" s="160"/>
      <c r="DK108" s="160"/>
      <c r="DL108" s="160"/>
      <c r="DM108" s="160"/>
      <c r="DN108" s="160"/>
      <c r="DO108" s="160"/>
      <c r="DP108" s="160"/>
      <c r="DQ108" s="160"/>
      <c r="DR108" s="160"/>
      <c r="DS108" s="160"/>
      <c r="DT108" s="160"/>
      <c r="DU108" s="160"/>
      <c r="DV108" s="160"/>
      <c r="DW108" s="160"/>
      <c r="DX108" s="160"/>
      <c r="DY108" s="160"/>
      <c r="DZ108" s="160"/>
      <c r="EA108" s="160"/>
      <c r="EB108" s="160"/>
      <c r="EC108" s="160"/>
      <c r="ED108" s="160"/>
      <c r="EE108" s="160"/>
      <c r="EF108" s="160"/>
      <c r="EG108" s="160"/>
      <c r="EH108" s="160"/>
      <c r="EI108" s="160"/>
      <c r="EJ108" s="160"/>
      <c r="EK108" s="160"/>
      <c r="EL108" s="160"/>
      <c r="EM108" s="160"/>
      <c r="EN108" s="160"/>
      <c r="EO108" s="160"/>
      <c r="EP108" s="160"/>
      <c r="EQ108" s="160"/>
      <c r="ER108" s="160"/>
      <c r="ES108" s="160"/>
      <c r="ET108" s="160"/>
      <c r="EU108" s="160"/>
      <c r="EV108" s="160"/>
      <c r="EW108" s="160"/>
      <c r="EX108" s="160"/>
      <c r="EY108" s="160"/>
      <c r="EZ108" s="160"/>
      <c r="FA108" s="160"/>
      <c r="FB108" s="160"/>
      <c r="FC108" s="160"/>
      <c r="FD108" s="160"/>
      <c r="FE108" s="160"/>
      <c r="FF108" s="160"/>
      <c r="FG108" s="160"/>
      <c r="FH108" s="160"/>
      <c r="FI108" s="160"/>
      <c r="FJ108" s="160"/>
      <c r="FK108" s="160"/>
      <c r="FL108" s="160"/>
      <c r="FM108" s="160"/>
      <c r="FN108" s="160"/>
      <c r="FO108" s="160"/>
      <c r="FP108" s="160"/>
      <c r="FQ108" s="160"/>
      <c r="FR108" s="160"/>
      <c r="FS108" s="160"/>
      <c r="FT108" s="160"/>
      <c r="FU108" s="160"/>
      <c r="FV108" s="160"/>
      <c r="FW108" s="160"/>
      <c r="FX108" s="160"/>
      <c r="FY108" s="160"/>
      <c r="FZ108" s="160"/>
      <c r="GA108" s="160"/>
      <c r="GB108" s="160"/>
      <c r="GC108" s="160"/>
      <c r="GD108" s="160"/>
      <c r="GE108" s="160"/>
      <c r="GF108" s="160"/>
      <c r="GG108" s="160"/>
      <c r="GH108" s="160"/>
    </row>
    <row r="109" spans="1:190" s="3" customFormat="1" ht="20.100000000000001" customHeight="1" x14ac:dyDescent="0.25">
      <c r="A109" s="74" t="str">
        <f>D10</f>
        <v>Área construída</v>
      </c>
      <c r="B109" s="16" t="s">
        <v>179</v>
      </c>
      <c r="C109" s="16">
        <f>C100</f>
        <v>190.05588961395551</v>
      </c>
      <c r="E109" s="2"/>
      <c r="F109" s="2"/>
      <c r="G109" s="23"/>
      <c r="H109" s="23"/>
      <c r="I109" s="160"/>
      <c r="J109" s="160"/>
      <c r="K109" s="160"/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160"/>
      <c r="AO109" s="160"/>
      <c r="AP109" s="160"/>
      <c r="AQ109" s="160"/>
      <c r="AR109" s="160"/>
      <c r="AS109" s="160"/>
      <c r="AT109" s="160"/>
      <c r="AU109" s="160"/>
      <c r="AV109" s="160"/>
      <c r="AW109" s="160"/>
      <c r="AX109" s="160"/>
      <c r="AY109" s="160"/>
      <c r="AZ109" s="160"/>
      <c r="BA109" s="160"/>
      <c r="BB109" s="160"/>
      <c r="BC109" s="160"/>
      <c r="BD109" s="160"/>
      <c r="BE109" s="160"/>
      <c r="BF109" s="160"/>
      <c r="BG109" s="160"/>
      <c r="BH109" s="160"/>
      <c r="BI109" s="160"/>
      <c r="BJ109" s="160"/>
      <c r="BK109" s="160"/>
      <c r="BL109" s="160"/>
      <c r="BM109" s="160"/>
      <c r="BN109" s="160"/>
      <c r="BO109" s="160"/>
      <c r="BP109" s="160"/>
      <c r="BQ109" s="160"/>
      <c r="BR109" s="160"/>
      <c r="BS109" s="160"/>
      <c r="BT109" s="160"/>
      <c r="BU109" s="160"/>
      <c r="BV109" s="160"/>
      <c r="BW109" s="160"/>
      <c r="BX109" s="160"/>
      <c r="BY109" s="160"/>
      <c r="BZ109" s="160"/>
      <c r="CA109" s="160"/>
      <c r="CB109" s="160"/>
      <c r="CC109" s="160"/>
      <c r="CD109" s="160"/>
      <c r="CE109" s="160"/>
      <c r="CF109" s="160"/>
      <c r="CG109" s="160"/>
      <c r="CH109" s="160"/>
      <c r="CI109" s="160"/>
      <c r="CJ109" s="160"/>
      <c r="CK109" s="160"/>
      <c r="CL109" s="160"/>
      <c r="CM109" s="160"/>
      <c r="CN109" s="160"/>
      <c r="CO109" s="160"/>
      <c r="CP109" s="160"/>
      <c r="CQ109" s="160"/>
      <c r="CR109" s="160"/>
      <c r="CS109" s="160"/>
      <c r="CT109" s="160"/>
      <c r="CU109" s="160"/>
      <c r="CV109" s="160"/>
      <c r="CW109" s="160"/>
      <c r="CX109" s="160"/>
      <c r="CY109" s="160"/>
      <c r="CZ109" s="160"/>
      <c r="DA109" s="160"/>
      <c r="DB109" s="160"/>
      <c r="DC109" s="160"/>
      <c r="DD109" s="160"/>
      <c r="DE109" s="160"/>
      <c r="DF109" s="160"/>
      <c r="DG109" s="160"/>
      <c r="DH109" s="160"/>
      <c r="DI109" s="160"/>
      <c r="DJ109" s="160"/>
      <c r="DK109" s="160"/>
      <c r="DL109" s="160"/>
      <c r="DM109" s="160"/>
      <c r="DN109" s="160"/>
      <c r="DO109" s="160"/>
      <c r="DP109" s="160"/>
      <c r="DQ109" s="160"/>
      <c r="DR109" s="160"/>
      <c r="DS109" s="160"/>
      <c r="DT109" s="160"/>
      <c r="DU109" s="160"/>
      <c r="DV109" s="160"/>
      <c r="DW109" s="160"/>
      <c r="DX109" s="160"/>
      <c r="DY109" s="160"/>
      <c r="DZ109" s="160"/>
      <c r="EA109" s="160"/>
      <c r="EB109" s="160"/>
      <c r="EC109" s="160"/>
      <c r="ED109" s="160"/>
      <c r="EE109" s="160"/>
      <c r="EF109" s="160"/>
      <c r="EG109" s="160"/>
      <c r="EH109" s="160"/>
      <c r="EI109" s="160"/>
      <c r="EJ109" s="160"/>
      <c r="EK109" s="160"/>
      <c r="EL109" s="160"/>
      <c r="EM109" s="160"/>
      <c r="EN109" s="160"/>
      <c r="EO109" s="160"/>
      <c r="EP109" s="160"/>
      <c r="EQ109" s="160"/>
      <c r="ER109" s="160"/>
      <c r="ES109" s="160"/>
      <c r="ET109" s="160"/>
      <c r="EU109" s="160"/>
      <c r="EV109" s="160"/>
      <c r="EW109" s="160"/>
      <c r="EX109" s="160"/>
      <c r="EY109" s="160"/>
      <c r="EZ109" s="160"/>
      <c r="FA109" s="160"/>
      <c r="FB109" s="160"/>
      <c r="FC109" s="160"/>
      <c r="FD109" s="160"/>
      <c r="FE109" s="160"/>
      <c r="FF109" s="160"/>
      <c r="FG109" s="160"/>
      <c r="FH109" s="160"/>
      <c r="FI109" s="160"/>
      <c r="FJ109" s="160"/>
      <c r="FK109" s="160"/>
      <c r="FL109" s="160"/>
      <c r="FM109" s="160"/>
      <c r="FN109" s="160"/>
      <c r="FO109" s="160"/>
      <c r="FP109" s="160"/>
      <c r="FQ109" s="160"/>
      <c r="FR109" s="160"/>
      <c r="FS109" s="160"/>
      <c r="FT109" s="160"/>
      <c r="FU109" s="160"/>
      <c r="FV109" s="160"/>
      <c r="FW109" s="160"/>
      <c r="FX109" s="160"/>
      <c r="FY109" s="160"/>
      <c r="FZ109" s="160"/>
      <c r="GA109" s="160"/>
      <c r="GB109" s="160"/>
      <c r="GC109" s="160"/>
      <c r="GD109" s="160"/>
      <c r="GE109" s="160"/>
      <c r="GF109" s="160"/>
      <c r="GG109" s="160"/>
      <c r="GH109" s="160"/>
    </row>
    <row r="110" spans="1:190" s="3" customFormat="1" ht="20.100000000000001" customHeight="1" x14ac:dyDescent="0.25">
      <c r="A110" s="2"/>
      <c r="B110" s="2"/>
      <c r="C110" s="2"/>
      <c r="E110" s="2"/>
      <c r="F110" s="2"/>
      <c r="G110" s="23"/>
      <c r="H110" s="23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160"/>
      <c r="AK110" s="160"/>
      <c r="AL110" s="160"/>
      <c r="AM110" s="160"/>
      <c r="AN110" s="160"/>
      <c r="AO110" s="160"/>
      <c r="AP110" s="160"/>
      <c r="AQ110" s="160"/>
      <c r="AR110" s="160"/>
      <c r="AS110" s="160"/>
      <c r="AT110" s="160"/>
      <c r="AU110" s="160"/>
      <c r="AV110" s="160"/>
      <c r="AW110" s="160"/>
      <c r="AX110" s="160"/>
      <c r="AY110" s="160"/>
      <c r="AZ110" s="160"/>
      <c r="BA110" s="160"/>
      <c r="BB110" s="160"/>
      <c r="BC110" s="160"/>
      <c r="BD110" s="160"/>
      <c r="BE110" s="160"/>
      <c r="BF110" s="160"/>
      <c r="BG110" s="160"/>
      <c r="BH110" s="160"/>
      <c r="BI110" s="160"/>
      <c r="BJ110" s="160"/>
      <c r="BK110" s="160"/>
      <c r="BL110" s="160"/>
      <c r="BM110" s="160"/>
      <c r="BN110" s="160"/>
      <c r="BO110" s="160"/>
      <c r="BP110" s="160"/>
      <c r="BQ110" s="160"/>
      <c r="BR110" s="160"/>
      <c r="BS110" s="160"/>
      <c r="BT110" s="160"/>
      <c r="BU110" s="160"/>
      <c r="BV110" s="160"/>
      <c r="BW110" s="160"/>
      <c r="BX110" s="160"/>
      <c r="BY110" s="160"/>
      <c r="BZ110" s="160"/>
      <c r="CA110" s="160"/>
      <c r="CB110" s="160"/>
      <c r="CC110" s="160"/>
      <c r="CD110" s="160"/>
      <c r="CE110" s="160"/>
      <c r="CF110" s="160"/>
      <c r="CG110" s="160"/>
      <c r="CH110" s="160"/>
      <c r="CI110" s="160"/>
      <c r="CJ110" s="160"/>
      <c r="CK110" s="160"/>
      <c r="CL110" s="160"/>
      <c r="CM110" s="160"/>
      <c r="CN110" s="160"/>
      <c r="CO110" s="160"/>
      <c r="CP110" s="160"/>
      <c r="CQ110" s="160"/>
      <c r="CR110" s="160"/>
      <c r="CS110" s="160"/>
      <c r="CT110" s="160"/>
      <c r="CU110" s="160"/>
      <c r="CV110" s="160"/>
      <c r="CW110" s="160"/>
      <c r="CX110" s="160"/>
      <c r="CY110" s="160"/>
      <c r="CZ110" s="160"/>
      <c r="DA110" s="160"/>
      <c r="DB110" s="160"/>
      <c r="DC110" s="160"/>
      <c r="DD110" s="160"/>
      <c r="DE110" s="160"/>
      <c r="DF110" s="160"/>
      <c r="DG110" s="160"/>
      <c r="DH110" s="160"/>
      <c r="DI110" s="160"/>
      <c r="DJ110" s="160"/>
      <c r="DK110" s="160"/>
      <c r="DL110" s="160"/>
      <c r="DM110" s="160"/>
      <c r="DN110" s="160"/>
      <c r="DO110" s="160"/>
      <c r="DP110" s="160"/>
      <c r="DQ110" s="160"/>
      <c r="DR110" s="160"/>
      <c r="DS110" s="160"/>
      <c r="DT110" s="160"/>
      <c r="DU110" s="160"/>
      <c r="DV110" s="160"/>
      <c r="DW110" s="160"/>
      <c r="DX110" s="160"/>
      <c r="DY110" s="160"/>
      <c r="DZ110" s="160"/>
      <c r="EA110" s="160"/>
      <c r="EB110" s="160"/>
      <c r="EC110" s="160"/>
      <c r="ED110" s="160"/>
      <c r="EE110" s="160"/>
      <c r="EF110" s="160"/>
      <c r="EG110" s="160"/>
      <c r="EH110" s="160"/>
      <c r="EI110" s="160"/>
      <c r="EJ110" s="160"/>
      <c r="EK110" s="160"/>
      <c r="EL110" s="160"/>
      <c r="EM110" s="160"/>
      <c r="EN110" s="160"/>
      <c r="EO110" s="160"/>
      <c r="EP110" s="160"/>
      <c r="EQ110" s="160"/>
      <c r="ER110" s="160"/>
      <c r="ES110" s="160"/>
      <c r="ET110" s="160"/>
      <c r="EU110" s="160"/>
      <c r="EV110" s="160"/>
      <c r="EW110" s="160"/>
      <c r="EX110" s="160"/>
      <c r="EY110" s="160"/>
      <c r="EZ110" s="160"/>
      <c r="FA110" s="160"/>
      <c r="FB110" s="160"/>
      <c r="FC110" s="160"/>
      <c r="FD110" s="160"/>
      <c r="FE110" s="160"/>
      <c r="FF110" s="160"/>
      <c r="FG110" s="160"/>
      <c r="FH110" s="160"/>
      <c r="FI110" s="160"/>
      <c r="FJ110" s="160"/>
      <c r="FK110" s="160"/>
      <c r="FL110" s="160"/>
      <c r="FM110" s="160"/>
      <c r="FN110" s="160"/>
      <c r="FO110" s="160"/>
      <c r="FP110" s="160"/>
      <c r="FQ110" s="160"/>
      <c r="FR110" s="160"/>
      <c r="FS110" s="160"/>
      <c r="FT110" s="160"/>
      <c r="FU110" s="160"/>
      <c r="FV110" s="160"/>
      <c r="FW110" s="160"/>
      <c r="FX110" s="160"/>
      <c r="FY110" s="160"/>
      <c r="FZ110" s="160"/>
      <c r="GA110" s="160"/>
      <c r="GB110" s="160"/>
      <c r="GC110" s="160"/>
      <c r="GD110" s="160"/>
      <c r="GE110" s="160"/>
      <c r="GF110" s="160"/>
      <c r="GG110" s="160"/>
      <c r="GH110" s="160"/>
    </row>
    <row r="111" spans="1:190" s="3" customFormat="1" ht="20.100000000000001" customHeight="1" x14ac:dyDescent="0.25">
      <c r="A111" s="22"/>
      <c r="B111" s="22"/>
      <c r="C111" s="22"/>
      <c r="D111" s="22"/>
      <c r="E111" s="22"/>
      <c r="F111" s="22"/>
      <c r="G111" s="22"/>
      <c r="H111" s="22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160"/>
      <c r="AK111" s="160"/>
      <c r="AL111" s="160"/>
      <c r="AM111" s="160"/>
      <c r="AN111" s="160"/>
      <c r="AO111" s="160"/>
      <c r="AP111" s="160"/>
      <c r="AQ111" s="160"/>
      <c r="AR111" s="160"/>
      <c r="AS111" s="160"/>
      <c r="AT111" s="160"/>
      <c r="AU111" s="160"/>
      <c r="AV111" s="160"/>
      <c r="AW111" s="160"/>
      <c r="AX111" s="160"/>
      <c r="AY111" s="160"/>
      <c r="AZ111" s="160"/>
      <c r="BA111" s="160"/>
      <c r="BB111" s="160"/>
      <c r="BC111" s="160"/>
      <c r="BD111" s="160"/>
      <c r="BE111" s="160"/>
      <c r="BF111" s="160"/>
      <c r="BG111" s="160"/>
      <c r="BH111" s="160"/>
      <c r="BI111" s="160"/>
      <c r="BJ111" s="160"/>
      <c r="BK111" s="160"/>
      <c r="BL111" s="160"/>
      <c r="BM111" s="160"/>
      <c r="BN111" s="160"/>
      <c r="BO111" s="160"/>
      <c r="BP111" s="160"/>
      <c r="BQ111" s="160"/>
      <c r="BR111" s="160"/>
      <c r="BS111" s="160"/>
      <c r="BT111" s="160"/>
      <c r="BU111" s="160"/>
      <c r="BV111" s="160"/>
      <c r="BW111" s="160"/>
      <c r="BX111" s="160"/>
      <c r="BY111" s="160"/>
      <c r="BZ111" s="160"/>
      <c r="CA111" s="160"/>
      <c r="CB111" s="160"/>
      <c r="CC111" s="160"/>
      <c r="CD111" s="160"/>
      <c r="CE111" s="160"/>
      <c r="CF111" s="160"/>
      <c r="CG111" s="160"/>
      <c r="CH111" s="160"/>
      <c r="CI111" s="160"/>
      <c r="CJ111" s="160"/>
      <c r="CK111" s="160"/>
      <c r="CL111" s="160"/>
      <c r="CM111" s="160"/>
      <c r="CN111" s="160"/>
      <c r="CO111" s="160"/>
      <c r="CP111" s="160"/>
      <c r="CQ111" s="160"/>
      <c r="CR111" s="160"/>
      <c r="CS111" s="160"/>
      <c r="CT111" s="160"/>
      <c r="CU111" s="160"/>
      <c r="CV111" s="160"/>
      <c r="CW111" s="160"/>
      <c r="CX111" s="160"/>
      <c r="CY111" s="160"/>
      <c r="CZ111" s="160"/>
      <c r="DA111" s="160"/>
      <c r="DB111" s="160"/>
      <c r="DC111" s="160"/>
      <c r="DD111" s="160"/>
      <c r="DE111" s="160"/>
      <c r="DF111" s="160"/>
      <c r="DG111" s="160"/>
      <c r="DH111" s="160"/>
      <c r="DI111" s="160"/>
      <c r="DJ111" s="160"/>
      <c r="DK111" s="160"/>
      <c r="DL111" s="160"/>
      <c r="DM111" s="160"/>
      <c r="DN111" s="160"/>
      <c r="DO111" s="160"/>
      <c r="DP111" s="160"/>
      <c r="DQ111" s="160"/>
      <c r="DR111" s="160"/>
      <c r="DS111" s="160"/>
      <c r="DT111" s="160"/>
      <c r="DU111" s="160"/>
      <c r="DV111" s="160"/>
      <c r="DW111" s="160"/>
      <c r="DX111" s="160"/>
      <c r="DY111" s="160"/>
      <c r="DZ111" s="160"/>
      <c r="EA111" s="160"/>
      <c r="EB111" s="160"/>
      <c r="EC111" s="160"/>
      <c r="ED111" s="160"/>
      <c r="EE111" s="160"/>
      <c r="EF111" s="160"/>
      <c r="EG111" s="160"/>
      <c r="EH111" s="160"/>
      <c r="EI111" s="160"/>
      <c r="EJ111" s="160"/>
      <c r="EK111" s="160"/>
      <c r="EL111" s="160"/>
      <c r="EM111" s="160"/>
      <c r="EN111" s="160"/>
      <c r="EO111" s="160"/>
      <c r="EP111" s="160"/>
      <c r="EQ111" s="160"/>
      <c r="ER111" s="160"/>
      <c r="ES111" s="160"/>
      <c r="ET111" s="160"/>
      <c r="EU111" s="160"/>
      <c r="EV111" s="160"/>
      <c r="EW111" s="160"/>
      <c r="EX111" s="160"/>
      <c r="EY111" s="160"/>
      <c r="EZ111" s="160"/>
      <c r="FA111" s="160"/>
      <c r="FB111" s="160"/>
      <c r="FC111" s="160"/>
      <c r="FD111" s="160"/>
      <c r="FE111" s="160"/>
      <c r="FF111" s="160"/>
      <c r="FG111" s="160"/>
      <c r="FH111" s="160"/>
      <c r="FI111" s="160"/>
      <c r="FJ111" s="160"/>
      <c r="FK111" s="160"/>
      <c r="FL111" s="160"/>
      <c r="FM111" s="160"/>
      <c r="FN111" s="160"/>
      <c r="FO111" s="160"/>
      <c r="FP111" s="160"/>
      <c r="FQ111" s="160"/>
      <c r="FR111" s="160"/>
      <c r="FS111" s="160"/>
      <c r="FT111" s="160"/>
      <c r="FU111" s="160"/>
      <c r="FV111" s="160"/>
      <c r="FW111" s="160"/>
      <c r="FX111" s="160"/>
      <c r="FY111" s="160"/>
      <c r="FZ111" s="160"/>
      <c r="GA111" s="160"/>
      <c r="GB111" s="160"/>
      <c r="GC111" s="160"/>
      <c r="GD111" s="160"/>
      <c r="GE111" s="160"/>
      <c r="GF111" s="160"/>
      <c r="GG111" s="160"/>
      <c r="GH111" s="160"/>
    </row>
    <row r="112" spans="1:190" s="3" customFormat="1" ht="20.100000000000001" customHeight="1" x14ac:dyDescent="0.25">
      <c r="A112" s="118" t="s">
        <v>86</v>
      </c>
      <c r="B112" s="118"/>
      <c r="C112" s="118"/>
      <c r="D112" s="118"/>
      <c r="E112" s="118"/>
      <c r="F112" s="118"/>
      <c r="G112" s="118"/>
      <c r="H112" s="118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160"/>
      <c r="AK112" s="160"/>
      <c r="AL112" s="160"/>
      <c r="AM112" s="160"/>
      <c r="AN112" s="160"/>
      <c r="AO112" s="160"/>
      <c r="AP112" s="160"/>
      <c r="AQ112" s="160"/>
      <c r="AR112" s="160"/>
      <c r="AS112" s="160"/>
      <c r="AT112" s="160"/>
      <c r="AU112" s="160"/>
      <c r="AV112" s="160"/>
      <c r="AW112" s="160"/>
      <c r="AX112" s="160"/>
      <c r="AY112" s="160"/>
      <c r="AZ112" s="160"/>
      <c r="BA112" s="160"/>
      <c r="BB112" s="160"/>
      <c r="BC112" s="160"/>
      <c r="BD112" s="160"/>
      <c r="BE112" s="160"/>
      <c r="BF112" s="160"/>
      <c r="BG112" s="160"/>
      <c r="BH112" s="160"/>
      <c r="BI112" s="160"/>
      <c r="BJ112" s="160"/>
      <c r="BK112" s="160"/>
      <c r="BL112" s="160"/>
      <c r="BM112" s="160"/>
      <c r="BN112" s="160"/>
      <c r="BO112" s="160"/>
      <c r="BP112" s="160"/>
      <c r="BQ112" s="160"/>
      <c r="BR112" s="160"/>
      <c r="BS112" s="160"/>
      <c r="BT112" s="160"/>
      <c r="BU112" s="160"/>
      <c r="BV112" s="160"/>
      <c r="BW112" s="160"/>
      <c r="BX112" s="160"/>
      <c r="BY112" s="160"/>
      <c r="BZ112" s="160"/>
      <c r="CA112" s="160"/>
      <c r="CB112" s="160"/>
      <c r="CC112" s="160"/>
      <c r="CD112" s="160"/>
      <c r="CE112" s="160"/>
      <c r="CF112" s="160"/>
      <c r="CG112" s="160"/>
      <c r="CH112" s="160"/>
      <c r="CI112" s="160"/>
      <c r="CJ112" s="160"/>
      <c r="CK112" s="160"/>
      <c r="CL112" s="160"/>
      <c r="CM112" s="160"/>
      <c r="CN112" s="160"/>
      <c r="CO112" s="160"/>
      <c r="CP112" s="160"/>
      <c r="CQ112" s="160"/>
      <c r="CR112" s="160"/>
      <c r="CS112" s="160"/>
      <c r="CT112" s="160"/>
      <c r="CU112" s="160"/>
      <c r="CV112" s="160"/>
      <c r="CW112" s="160"/>
      <c r="CX112" s="160"/>
      <c r="CY112" s="160"/>
      <c r="CZ112" s="160"/>
      <c r="DA112" s="160"/>
      <c r="DB112" s="160"/>
      <c r="DC112" s="160"/>
      <c r="DD112" s="160"/>
      <c r="DE112" s="160"/>
      <c r="DF112" s="160"/>
      <c r="DG112" s="160"/>
      <c r="DH112" s="160"/>
      <c r="DI112" s="160"/>
      <c r="DJ112" s="160"/>
      <c r="DK112" s="160"/>
      <c r="DL112" s="160"/>
      <c r="DM112" s="160"/>
      <c r="DN112" s="160"/>
      <c r="DO112" s="160"/>
      <c r="DP112" s="160"/>
      <c r="DQ112" s="160"/>
      <c r="DR112" s="160"/>
      <c r="DS112" s="160"/>
      <c r="DT112" s="160"/>
      <c r="DU112" s="160"/>
      <c r="DV112" s="160"/>
      <c r="DW112" s="160"/>
      <c r="DX112" s="160"/>
      <c r="DY112" s="160"/>
      <c r="DZ112" s="160"/>
      <c r="EA112" s="160"/>
      <c r="EB112" s="160"/>
      <c r="EC112" s="160"/>
      <c r="ED112" s="160"/>
      <c r="EE112" s="160"/>
      <c r="EF112" s="160"/>
      <c r="EG112" s="160"/>
      <c r="EH112" s="160"/>
      <c r="EI112" s="160"/>
      <c r="EJ112" s="160"/>
      <c r="EK112" s="160"/>
      <c r="EL112" s="160"/>
      <c r="EM112" s="160"/>
      <c r="EN112" s="160"/>
      <c r="EO112" s="160"/>
      <c r="EP112" s="160"/>
      <c r="EQ112" s="160"/>
      <c r="ER112" s="160"/>
      <c r="ES112" s="160"/>
      <c r="ET112" s="160"/>
      <c r="EU112" s="160"/>
      <c r="EV112" s="160"/>
      <c r="EW112" s="160"/>
      <c r="EX112" s="160"/>
      <c r="EY112" s="160"/>
      <c r="EZ112" s="160"/>
      <c r="FA112" s="160"/>
      <c r="FB112" s="160"/>
      <c r="FC112" s="160"/>
      <c r="FD112" s="160"/>
      <c r="FE112" s="160"/>
      <c r="FF112" s="160"/>
      <c r="FG112" s="160"/>
      <c r="FH112" s="160"/>
      <c r="FI112" s="160"/>
      <c r="FJ112" s="160"/>
      <c r="FK112" s="160"/>
      <c r="FL112" s="160"/>
      <c r="FM112" s="160"/>
      <c r="FN112" s="160"/>
      <c r="FO112" s="160"/>
      <c r="FP112" s="160"/>
      <c r="FQ112" s="160"/>
      <c r="FR112" s="160"/>
      <c r="FS112" s="160"/>
      <c r="FT112" s="160"/>
      <c r="FU112" s="160"/>
      <c r="FV112" s="160"/>
      <c r="FW112" s="160"/>
      <c r="FX112" s="160"/>
      <c r="FY112" s="160"/>
      <c r="FZ112" s="160"/>
      <c r="GA112" s="160"/>
      <c r="GB112" s="160"/>
      <c r="GC112" s="160"/>
      <c r="GD112" s="160"/>
      <c r="GE112" s="160"/>
      <c r="GF112" s="160"/>
      <c r="GG112" s="160"/>
      <c r="GH112" s="160"/>
    </row>
    <row r="114" spans="1:8" ht="20.100000000000001" customHeight="1" x14ac:dyDescent="0.25">
      <c r="A114" s="110" t="s">
        <v>84</v>
      </c>
      <c r="B114" s="110"/>
      <c r="C114" s="110"/>
      <c r="D114" s="110"/>
      <c r="E114" s="110"/>
      <c r="F114" s="110"/>
      <c r="G114" s="110"/>
      <c r="H114" s="110"/>
    </row>
    <row r="115" spans="1:8" ht="20.100000000000001" customHeight="1" x14ac:dyDescent="0.25">
      <c r="A115" s="110"/>
      <c r="B115" s="110"/>
      <c r="C115" s="110"/>
      <c r="D115" s="110"/>
      <c r="E115" s="110"/>
      <c r="F115" s="110"/>
      <c r="G115" s="110"/>
      <c r="H115" s="110"/>
    </row>
    <row r="116" spans="1:8" ht="20.100000000000001" customHeight="1" x14ac:dyDescent="0.25">
      <c r="A116" s="110"/>
      <c r="B116" s="110"/>
      <c r="C116" s="110"/>
      <c r="D116" s="110"/>
      <c r="E116" s="110"/>
      <c r="F116" s="110"/>
      <c r="G116" s="110"/>
      <c r="H116" s="110"/>
    </row>
    <row r="117" spans="1:8" ht="20.100000000000001" customHeight="1" x14ac:dyDescent="0.25">
      <c r="A117" s="110"/>
      <c r="B117" s="110"/>
      <c r="C117" s="110"/>
      <c r="D117" s="110"/>
      <c r="E117" s="110"/>
      <c r="F117" s="110"/>
      <c r="G117" s="110"/>
      <c r="H117" s="110"/>
    </row>
    <row r="118" spans="1:8" ht="20.100000000000001" customHeight="1" x14ac:dyDescent="0.25">
      <c r="A118" s="48"/>
      <c r="B118" s="48"/>
      <c r="C118" s="48"/>
      <c r="D118" s="48"/>
      <c r="E118" s="48"/>
      <c r="F118" s="48"/>
      <c r="G118" s="48"/>
      <c r="H118" s="48"/>
    </row>
    <row r="119" spans="1:8" ht="20.100000000000001" customHeight="1" x14ac:dyDescent="0.25">
      <c r="A119" s="116" t="s">
        <v>51</v>
      </c>
      <c r="B119" s="142" t="s">
        <v>0</v>
      </c>
      <c r="C119" s="142" t="s">
        <v>35</v>
      </c>
      <c r="D119" s="142" t="s">
        <v>52</v>
      </c>
      <c r="E119" s="142"/>
      <c r="F119" s="142"/>
      <c r="G119" s="54"/>
      <c r="H119" s="54"/>
    </row>
    <row r="120" spans="1:8" ht="20.100000000000001" customHeight="1" x14ac:dyDescent="0.25">
      <c r="A120" s="116"/>
      <c r="B120" s="142"/>
      <c r="C120" s="142"/>
      <c r="D120" s="24" t="s">
        <v>53</v>
      </c>
      <c r="E120" s="24" t="s">
        <v>54</v>
      </c>
      <c r="F120" s="24" t="s">
        <v>55</v>
      </c>
      <c r="G120" s="54"/>
      <c r="H120" s="54"/>
    </row>
    <row r="121" spans="1:8" ht="20.100000000000001" customHeight="1" x14ac:dyDescent="0.25">
      <c r="A121" s="116"/>
      <c r="B121" s="111">
        <v>1</v>
      </c>
      <c r="C121" s="114" t="s">
        <v>36</v>
      </c>
      <c r="D121" s="114" t="s">
        <v>37</v>
      </c>
      <c r="E121" s="114" t="s">
        <v>38</v>
      </c>
      <c r="F121" s="114" t="s">
        <v>39</v>
      </c>
      <c r="G121" s="48"/>
      <c r="H121" s="48"/>
    </row>
    <row r="122" spans="1:8" ht="20.100000000000001" customHeight="1" x14ac:dyDescent="0.25">
      <c r="A122" s="116"/>
      <c r="B122" s="111"/>
      <c r="C122" s="114"/>
      <c r="D122" s="114"/>
      <c r="E122" s="114"/>
      <c r="F122" s="114"/>
      <c r="G122" s="48"/>
    </row>
    <row r="123" spans="1:8" ht="20.100000000000001" customHeight="1" x14ac:dyDescent="0.25">
      <c r="A123" s="116"/>
      <c r="B123" s="111">
        <v>2</v>
      </c>
      <c r="C123" s="114" t="s">
        <v>40</v>
      </c>
      <c r="D123" s="114" t="s">
        <v>41</v>
      </c>
      <c r="E123" s="114" t="s">
        <v>42</v>
      </c>
      <c r="F123" s="114" t="s">
        <v>43</v>
      </c>
      <c r="G123" s="48"/>
    </row>
    <row r="124" spans="1:8" ht="20.100000000000001" customHeight="1" x14ac:dyDescent="0.25">
      <c r="A124" s="116"/>
      <c r="B124" s="111"/>
      <c r="C124" s="114"/>
      <c r="D124" s="114"/>
      <c r="E124" s="114"/>
      <c r="F124" s="114"/>
      <c r="G124" s="48"/>
    </row>
    <row r="125" spans="1:8" ht="20.100000000000001" customHeight="1" x14ac:dyDescent="0.25">
      <c r="A125" s="116"/>
      <c r="B125" s="111"/>
      <c r="C125" s="114"/>
      <c r="D125" s="114"/>
      <c r="E125" s="114"/>
      <c r="F125" s="114"/>
      <c r="G125" s="48"/>
    </row>
    <row r="126" spans="1:8" ht="20.100000000000001" customHeight="1" x14ac:dyDescent="0.25">
      <c r="A126" s="116"/>
      <c r="B126" s="111">
        <v>3</v>
      </c>
      <c r="C126" s="114" t="s">
        <v>44</v>
      </c>
      <c r="D126" s="114" t="s">
        <v>45</v>
      </c>
      <c r="E126" s="114" t="s">
        <v>46</v>
      </c>
      <c r="F126" s="114" t="s">
        <v>47</v>
      </c>
      <c r="G126" s="48"/>
    </row>
    <row r="127" spans="1:8" ht="20.100000000000001" customHeight="1" x14ac:dyDescent="0.25">
      <c r="A127" s="116"/>
      <c r="B127" s="111"/>
      <c r="C127" s="114"/>
      <c r="D127" s="114"/>
      <c r="E127" s="114"/>
      <c r="F127" s="114"/>
      <c r="G127" s="48"/>
    </row>
    <row r="128" spans="1:8" ht="20.100000000000001" customHeight="1" x14ac:dyDescent="0.25">
      <c r="A128" s="116"/>
      <c r="B128" s="111"/>
      <c r="C128" s="114"/>
      <c r="D128" s="114"/>
      <c r="E128" s="114"/>
      <c r="F128" s="114"/>
      <c r="G128" s="48"/>
    </row>
    <row r="129" spans="1:190" ht="20.100000000000001" customHeight="1" x14ac:dyDescent="0.25">
      <c r="A129" s="116"/>
      <c r="B129" s="111"/>
      <c r="C129" s="114"/>
      <c r="D129" s="114"/>
      <c r="E129" s="114"/>
      <c r="F129" s="114"/>
      <c r="G129" s="48"/>
    </row>
    <row r="130" spans="1:190" ht="20.100000000000001" customHeight="1" x14ac:dyDescent="0.25">
      <c r="A130" s="116"/>
      <c r="B130" s="111"/>
      <c r="C130" s="114"/>
      <c r="D130" s="114"/>
      <c r="E130" s="114"/>
      <c r="F130" s="114"/>
      <c r="G130" s="48"/>
    </row>
    <row r="131" spans="1:190" ht="20.100000000000001" customHeight="1" x14ac:dyDescent="0.25">
      <c r="A131" s="116"/>
      <c r="B131" s="111">
        <v>4</v>
      </c>
      <c r="C131" s="114" t="s">
        <v>48</v>
      </c>
      <c r="D131" s="114" t="s">
        <v>49</v>
      </c>
      <c r="E131" s="114" t="s">
        <v>56</v>
      </c>
      <c r="F131" s="114" t="s">
        <v>173</v>
      </c>
      <c r="G131" s="48"/>
    </row>
    <row r="132" spans="1:190" ht="20.100000000000001" customHeight="1" x14ac:dyDescent="0.25">
      <c r="A132" s="116"/>
      <c r="B132" s="111"/>
      <c r="C132" s="114"/>
      <c r="D132" s="114"/>
      <c r="E132" s="114"/>
      <c r="F132" s="114"/>
      <c r="G132" s="48"/>
    </row>
    <row r="133" spans="1:190" ht="20.100000000000001" customHeight="1" x14ac:dyDescent="0.25">
      <c r="A133" s="116"/>
      <c r="B133" s="111"/>
      <c r="C133" s="114"/>
      <c r="D133" s="114"/>
      <c r="E133" s="114"/>
      <c r="F133" s="114"/>
      <c r="G133" s="48"/>
    </row>
    <row r="134" spans="1:190" ht="20.100000000000001" customHeight="1" x14ac:dyDescent="0.25">
      <c r="A134" s="116"/>
      <c r="B134" s="111"/>
      <c r="C134" s="114"/>
      <c r="D134" s="114"/>
      <c r="E134" s="114"/>
      <c r="F134" s="114"/>
      <c r="G134" s="48"/>
    </row>
    <row r="135" spans="1:190" ht="20.100000000000001" customHeight="1" x14ac:dyDescent="0.25">
      <c r="A135" s="116"/>
      <c r="B135" s="111"/>
      <c r="C135" s="114"/>
      <c r="D135" s="114"/>
      <c r="E135" s="114"/>
      <c r="F135" s="114"/>
      <c r="G135" s="48"/>
    </row>
    <row r="136" spans="1:190" ht="20.100000000000001" customHeight="1" x14ac:dyDescent="0.25">
      <c r="A136" s="116"/>
      <c r="B136" s="111"/>
      <c r="C136" s="114"/>
      <c r="D136" s="114"/>
      <c r="E136" s="114"/>
      <c r="F136" s="114"/>
      <c r="G136" s="48"/>
    </row>
    <row r="137" spans="1:190" s="2" customFormat="1" ht="20.100000000000001" customHeight="1" x14ac:dyDescent="0.25">
      <c r="A137" s="116"/>
      <c r="B137" s="111"/>
      <c r="C137" s="114"/>
      <c r="D137" s="114"/>
      <c r="E137" s="114"/>
      <c r="F137" s="114"/>
      <c r="G137" s="48"/>
      <c r="I137" s="146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  <c r="BI137" s="146"/>
      <c r="BJ137" s="146"/>
      <c r="BK137" s="146"/>
      <c r="BL137" s="146"/>
      <c r="BM137" s="146"/>
      <c r="BN137" s="146"/>
      <c r="BO137" s="146"/>
      <c r="BP137" s="146"/>
      <c r="BQ137" s="146"/>
      <c r="BR137" s="146"/>
      <c r="BS137" s="146"/>
      <c r="BT137" s="146"/>
      <c r="BU137" s="146"/>
      <c r="BV137" s="146"/>
      <c r="BW137" s="146"/>
      <c r="BX137" s="146"/>
      <c r="BY137" s="146"/>
      <c r="BZ137" s="146"/>
      <c r="CA137" s="146"/>
      <c r="CB137" s="146"/>
      <c r="CC137" s="146"/>
      <c r="CD137" s="146"/>
      <c r="CE137" s="146"/>
      <c r="CF137" s="146"/>
      <c r="CG137" s="146"/>
      <c r="CH137" s="146"/>
      <c r="CI137" s="146"/>
      <c r="CJ137" s="146"/>
      <c r="CK137" s="146"/>
      <c r="CL137" s="146"/>
      <c r="CM137" s="146"/>
      <c r="CN137" s="146"/>
      <c r="CO137" s="146"/>
      <c r="CP137" s="146"/>
      <c r="CQ137" s="146"/>
      <c r="CR137" s="146"/>
      <c r="CS137" s="146"/>
      <c r="CT137" s="146"/>
      <c r="CU137" s="146"/>
      <c r="CV137" s="146"/>
      <c r="CW137" s="146"/>
      <c r="CX137" s="146"/>
      <c r="CY137" s="146"/>
      <c r="CZ137" s="146"/>
      <c r="DA137" s="146"/>
      <c r="DB137" s="146"/>
      <c r="DC137" s="146"/>
      <c r="DD137" s="146"/>
      <c r="DE137" s="146"/>
      <c r="DF137" s="146"/>
      <c r="DG137" s="146"/>
      <c r="DH137" s="146"/>
      <c r="DI137" s="146"/>
      <c r="DJ137" s="146"/>
      <c r="DK137" s="146"/>
      <c r="DL137" s="146"/>
      <c r="DM137" s="146"/>
      <c r="DN137" s="146"/>
      <c r="DO137" s="146"/>
      <c r="DP137" s="146"/>
      <c r="DQ137" s="146"/>
      <c r="DR137" s="146"/>
      <c r="DS137" s="146"/>
      <c r="DT137" s="146"/>
      <c r="DU137" s="146"/>
      <c r="DV137" s="146"/>
      <c r="DW137" s="146"/>
      <c r="DX137" s="146"/>
      <c r="DY137" s="146"/>
      <c r="DZ137" s="146"/>
      <c r="EA137" s="146"/>
      <c r="EB137" s="146"/>
      <c r="EC137" s="146"/>
      <c r="ED137" s="146"/>
      <c r="EE137" s="146"/>
      <c r="EF137" s="146"/>
      <c r="EG137" s="146"/>
      <c r="EH137" s="146"/>
      <c r="EI137" s="146"/>
      <c r="EJ137" s="146"/>
      <c r="EK137" s="146"/>
      <c r="EL137" s="146"/>
      <c r="EM137" s="146"/>
      <c r="EN137" s="146"/>
      <c r="EO137" s="146"/>
      <c r="EP137" s="146"/>
      <c r="EQ137" s="146"/>
      <c r="ER137" s="146"/>
      <c r="ES137" s="146"/>
      <c r="ET137" s="146"/>
      <c r="EU137" s="146"/>
      <c r="EV137" s="146"/>
      <c r="EW137" s="146"/>
      <c r="EX137" s="146"/>
      <c r="EY137" s="146"/>
      <c r="EZ137" s="146"/>
      <c r="FA137" s="146"/>
      <c r="FB137" s="146"/>
      <c r="FC137" s="146"/>
      <c r="FD137" s="146"/>
      <c r="FE137" s="146"/>
      <c r="FF137" s="146"/>
      <c r="FG137" s="146"/>
      <c r="FH137" s="146"/>
      <c r="FI137" s="146"/>
      <c r="FJ137" s="146"/>
      <c r="FK137" s="146"/>
      <c r="FL137" s="146"/>
      <c r="FM137" s="146"/>
      <c r="FN137" s="146"/>
      <c r="FO137" s="146"/>
      <c r="FP137" s="146"/>
      <c r="FQ137" s="146"/>
      <c r="FR137" s="146"/>
      <c r="FS137" s="146"/>
      <c r="FT137" s="146"/>
      <c r="FU137" s="146"/>
      <c r="FV137" s="146"/>
      <c r="FW137" s="146"/>
      <c r="FX137" s="146"/>
      <c r="FY137" s="146"/>
      <c r="FZ137" s="146"/>
      <c r="GA137" s="146"/>
      <c r="GB137" s="146"/>
      <c r="GC137" s="146"/>
      <c r="GD137" s="146"/>
      <c r="GE137" s="146"/>
      <c r="GF137" s="146"/>
      <c r="GG137" s="146"/>
      <c r="GH137" s="146"/>
    </row>
    <row r="138" spans="1:190" ht="20.100000000000001" customHeight="1" x14ac:dyDescent="0.25">
      <c r="A138" s="116"/>
      <c r="B138" s="111"/>
      <c r="C138" s="114"/>
      <c r="D138" s="114"/>
      <c r="E138" s="114"/>
      <c r="F138" s="114"/>
      <c r="G138" s="48"/>
      <c r="H138" s="48"/>
    </row>
    <row r="139" spans="1:190" ht="20.100000000000001" customHeight="1" x14ac:dyDescent="0.25">
      <c r="A139" s="116"/>
      <c r="B139" s="111"/>
      <c r="C139" s="114"/>
      <c r="D139" s="114"/>
      <c r="E139" s="114"/>
      <c r="F139" s="114"/>
      <c r="G139" s="48"/>
      <c r="H139" s="48"/>
    </row>
    <row r="140" spans="1:190" ht="20.100000000000001" customHeight="1" x14ac:dyDescent="0.25">
      <c r="A140" s="116"/>
      <c r="B140" s="111"/>
      <c r="C140" s="114"/>
      <c r="D140" s="114"/>
      <c r="E140" s="114"/>
      <c r="F140" s="114"/>
      <c r="G140" s="48"/>
      <c r="H140" s="48"/>
    </row>
    <row r="141" spans="1:190" ht="20.100000000000001" customHeight="1" x14ac:dyDescent="0.25">
      <c r="A141" s="116"/>
      <c r="B141" s="111">
        <v>5</v>
      </c>
      <c r="C141" s="114" t="s">
        <v>57</v>
      </c>
      <c r="D141" s="115">
        <v>0.1</v>
      </c>
      <c r="E141" s="115">
        <v>0.2</v>
      </c>
      <c r="F141" s="115">
        <v>0.3</v>
      </c>
      <c r="G141" s="55"/>
      <c r="H141" s="55"/>
    </row>
    <row r="142" spans="1:190" ht="20.100000000000001" customHeight="1" x14ac:dyDescent="0.25">
      <c r="A142" s="116"/>
      <c r="B142" s="111"/>
      <c r="C142" s="114"/>
      <c r="D142" s="115"/>
      <c r="E142" s="115"/>
      <c r="F142" s="115"/>
      <c r="G142" s="55"/>
      <c r="H142" s="55"/>
    </row>
    <row r="143" spans="1:190" ht="20.100000000000001" customHeight="1" x14ac:dyDescent="0.25">
      <c r="A143" s="116"/>
      <c r="B143" s="111"/>
      <c r="C143" s="114"/>
      <c r="D143" s="115"/>
      <c r="E143" s="115"/>
      <c r="F143" s="115"/>
      <c r="G143" s="55"/>
      <c r="H143" s="55"/>
    </row>
    <row r="144" spans="1:190" ht="20.100000000000001" customHeight="1" x14ac:dyDescent="0.25">
      <c r="A144" s="116"/>
      <c r="B144" s="111"/>
      <c r="C144" s="114"/>
      <c r="D144" s="115"/>
      <c r="E144" s="115"/>
      <c r="F144" s="115"/>
      <c r="G144" s="55"/>
      <c r="H144" s="55"/>
    </row>
    <row r="145" spans="1:10" ht="20.100000000000001" customHeight="1" x14ac:dyDescent="0.25">
      <c r="A145" s="116"/>
      <c r="B145" s="111">
        <v>6</v>
      </c>
      <c r="C145" s="114" t="s">
        <v>50</v>
      </c>
      <c r="D145" s="115">
        <v>0.01</v>
      </c>
      <c r="E145" s="115">
        <v>0.02</v>
      </c>
      <c r="F145" s="115">
        <v>0.05</v>
      </c>
      <c r="G145" s="55"/>
      <c r="H145" s="55"/>
    </row>
    <row r="146" spans="1:10" ht="20.100000000000001" customHeight="1" x14ac:dyDescent="0.25">
      <c r="A146" s="116"/>
      <c r="B146" s="111"/>
      <c r="C146" s="114"/>
      <c r="D146" s="115"/>
      <c r="E146" s="115"/>
      <c r="F146" s="115"/>
      <c r="G146" s="55"/>
      <c r="H146" s="55"/>
    </row>
    <row r="147" spans="1:10" ht="20.100000000000001" customHeight="1" x14ac:dyDescent="0.25">
      <c r="A147" s="116"/>
      <c r="B147" s="111"/>
      <c r="C147" s="114"/>
      <c r="D147" s="115"/>
      <c r="E147" s="115"/>
      <c r="F147" s="115"/>
      <c r="G147" s="55"/>
      <c r="H147" s="55"/>
    </row>
    <row r="148" spans="1:10" ht="20.100000000000001" customHeight="1" x14ac:dyDescent="0.25">
      <c r="A148" s="116"/>
      <c r="B148" s="111"/>
      <c r="C148" s="114"/>
      <c r="D148" s="115"/>
      <c r="E148" s="115"/>
      <c r="F148" s="115"/>
      <c r="G148" s="55"/>
      <c r="H148" s="55"/>
    </row>
    <row r="151" spans="1:10" ht="20.100000000000001" customHeight="1" x14ac:dyDescent="0.25">
      <c r="A151" s="102" t="s">
        <v>70</v>
      </c>
      <c r="B151" s="102"/>
      <c r="C151" s="102"/>
      <c r="D151" s="102"/>
      <c r="E151" s="102"/>
      <c r="F151" s="102"/>
      <c r="G151" s="61"/>
      <c r="H151" s="61"/>
      <c r="I151" s="156"/>
    </row>
    <row r="152" spans="1:10" ht="20.100000000000001" customHeight="1" x14ac:dyDescent="0.25">
      <c r="J152" s="159"/>
    </row>
    <row r="153" spans="1:10" ht="20.100000000000001" customHeight="1" x14ac:dyDescent="0.25">
      <c r="A153" s="145" t="str">
        <f>IF(F156&lt;=0.05,J153,J154)</f>
        <v>O nível de significância do modelo atingiu 0,00%. Esse nível de significância é inferior ao valor máximo admitido para a rejeição da hipótese nula do modelo; portanto, o modelo é aceito.</v>
      </c>
      <c r="B153" s="145"/>
      <c r="C153" s="145"/>
      <c r="D153" s="145"/>
      <c r="E153" s="145"/>
      <c r="F153" s="145"/>
      <c r="G153" s="145"/>
      <c r="H153" s="145"/>
      <c r="I153" s="161"/>
      <c r="J153" s="147" t="str">
        <f>CONCATENATE("O nível de significância do modelo atingiu ",TEXT(F93,"0,00%"),". Esse nível de significância é inferior ao valor máximo admitido para a rejeição da hipótese nula do modelo; portanto, o modelo é aceito.")</f>
        <v>O nível de significância do modelo atingiu 0,00%. Esse nível de significância é inferior ao valor máximo admitido para a rejeição da hipótese nula do modelo; portanto, o modelo é aceito.</v>
      </c>
    </row>
    <row r="154" spans="1:10" ht="20.100000000000001" customHeight="1" x14ac:dyDescent="0.25">
      <c r="A154" s="9"/>
      <c r="B154" s="9"/>
      <c r="C154" s="9"/>
      <c r="D154" s="9"/>
      <c r="E154" s="9"/>
      <c r="F154" s="9"/>
      <c r="G154" s="9"/>
      <c r="H154" s="9"/>
      <c r="J154" s="147" t="str">
        <f>CONCATENATE("O nível de significância do modelo atingiu ",TEXT(F93,"0,00%"),". Esse nível de significância é superior ao valor máximo admitido para a rejeição da hipótese nula do modelo. Portanto, o modelo não pode ser aceito como válido.")</f>
        <v>O nível de significância do modelo atingiu 0,00%. Esse nível de significância é superior ao valor máximo admitido para a rejeição da hipótese nula do modelo. Portanto, o modelo não pode ser aceito como válido.</v>
      </c>
    </row>
    <row r="155" spans="1:10" ht="20.100000000000001" customHeight="1" x14ac:dyDescent="0.25">
      <c r="A155" s="1"/>
      <c r="B155" s="1"/>
      <c r="C155" s="1"/>
      <c r="D155" s="108" t="s">
        <v>133</v>
      </c>
      <c r="E155" s="108"/>
      <c r="F155" s="26">
        <v>0.05</v>
      </c>
    </row>
    <row r="156" spans="1:10" ht="20.100000000000001" customHeight="1" x14ac:dyDescent="0.25">
      <c r="A156" s="1"/>
      <c r="B156" s="1"/>
      <c r="C156" s="1"/>
      <c r="D156" s="144" t="s">
        <v>132</v>
      </c>
      <c r="E156" s="144"/>
      <c r="F156" s="44">
        <f>F93</f>
        <v>1.2419386681108966E-5</v>
      </c>
      <c r="G156" s="51"/>
      <c r="H156" s="51"/>
      <c r="I156" s="162"/>
    </row>
    <row r="157" spans="1:10" ht="20.100000000000001" customHeight="1" x14ac:dyDescent="0.25">
      <c r="A157" s="1"/>
      <c r="B157" s="1"/>
      <c r="C157" s="1"/>
      <c r="D157" s="1"/>
      <c r="E157" s="1"/>
      <c r="F157" s="1"/>
      <c r="G157" s="49"/>
      <c r="H157" s="49"/>
      <c r="I157" s="163"/>
    </row>
    <row r="158" spans="1:10" ht="20.100000000000001" customHeight="1" x14ac:dyDescent="0.25">
      <c r="A158" s="1"/>
      <c r="B158" s="1"/>
      <c r="C158" s="1"/>
      <c r="D158" s="108" t="s">
        <v>96</v>
      </c>
      <c r="E158" s="108"/>
      <c r="F158" s="29">
        <f>B83</f>
        <v>12</v>
      </c>
      <c r="G158" s="1"/>
      <c r="H158" s="1"/>
      <c r="I158" s="147"/>
    </row>
    <row r="159" spans="1:10" ht="20.100000000000001" customHeight="1" x14ac:dyDescent="0.25">
      <c r="A159" s="1"/>
      <c r="B159" s="1"/>
      <c r="C159" s="1"/>
      <c r="D159" s="108" t="s">
        <v>97</v>
      </c>
      <c r="E159" s="108"/>
      <c r="F159" s="29">
        <f>B85</f>
        <v>3</v>
      </c>
      <c r="G159" s="9"/>
      <c r="H159" s="9"/>
      <c r="I159" s="164"/>
    </row>
    <row r="160" spans="1:10" ht="20.100000000000001" customHeight="1" x14ac:dyDescent="0.25">
      <c r="A160" s="1"/>
      <c r="B160" s="1"/>
      <c r="C160" s="1"/>
      <c r="D160" s="108" t="s">
        <v>13</v>
      </c>
      <c r="E160" s="108"/>
      <c r="F160" s="29">
        <f>B86</f>
        <v>9</v>
      </c>
      <c r="G160" s="9"/>
      <c r="H160" s="9"/>
      <c r="I160" s="164"/>
    </row>
    <row r="161" spans="1:9" ht="20.100000000000001" customHeight="1" x14ac:dyDescent="0.25">
      <c r="A161" s="1"/>
      <c r="B161" s="1"/>
      <c r="C161" s="1"/>
      <c r="D161" s="108" t="s">
        <v>155</v>
      </c>
      <c r="E161" s="108"/>
      <c r="F161" s="13">
        <f>_xlfn.F.INV.RT(F155,F159,F160)</f>
        <v>3.8625483576247648</v>
      </c>
      <c r="G161" s="9"/>
      <c r="H161" s="9"/>
      <c r="I161" s="164"/>
    </row>
    <row r="162" spans="1:9" ht="20.100000000000001" customHeight="1" x14ac:dyDescent="0.25">
      <c r="A162" s="1"/>
      <c r="B162" s="1"/>
      <c r="C162" s="1"/>
      <c r="D162" s="108" t="s">
        <v>131</v>
      </c>
      <c r="E162" s="108"/>
      <c r="F162" s="5">
        <f>E93</f>
        <v>50.887591516958437</v>
      </c>
    </row>
    <row r="163" spans="1:9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47"/>
    </row>
    <row r="164" spans="1:9" ht="20.100000000000001" customHeight="1" x14ac:dyDescent="0.25">
      <c r="A164" s="1"/>
      <c r="B164" s="1"/>
      <c r="C164" s="1"/>
      <c r="D164" s="4" t="s">
        <v>29</v>
      </c>
      <c r="E164" s="4" t="str">
        <f>IF(F162&gt;F161,"O ponto percentual atingido é maior que o ponto crítico","O ponto percentual atingido é menor que o ponto crítico")</f>
        <v>O ponto percentual atingido é maior que o ponto crítico</v>
      </c>
      <c r="F164" s="4"/>
      <c r="G164" s="1"/>
      <c r="H164" s="1"/>
      <c r="I164" s="147"/>
    </row>
    <row r="165" spans="1:9" ht="20.100000000000001" customHeight="1" x14ac:dyDescent="0.25">
      <c r="A165" s="1"/>
      <c r="B165" s="1"/>
      <c r="C165" s="1"/>
      <c r="D165" s="5" t="s">
        <v>130</v>
      </c>
      <c r="E165" s="5" t="str">
        <f>IF(F162&gt;F161,"Rejeita-se a hipótese nula","Não se pode rejeitar a hipótese nula")</f>
        <v>Rejeita-se a hipótese nula</v>
      </c>
      <c r="F165" s="5"/>
      <c r="G165" s="1"/>
      <c r="H165" s="1"/>
      <c r="I165" s="147"/>
    </row>
    <row r="166" spans="1:9" ht="20.100000000000001" customHeight="1" x14ac:dyDescent="0.25">
      <c r="D166" s="1"/>
      <c r="E166" s="1"/>
      <c r="F166" s="1"/>
      <c r="G166" s="1"/>
      <c r="H166" s="1"/>
      <c r="I166" s="147"/>
    </row>
    <row r="168" spans="1:9" ht="20.100000000000001" customHeight="1" x14ac:dyDescent="0.25">
      <c r="A168" s="102" t="s">
        <v>71</v>
      </c>
      <c r="B168" s="102"/>
      <c r="C168" s="102"/>
      <c r="D168" s="102"/>
      <c r="E168" s="102"/>
      <c r="F168" s="102"/>
      <c r="G168" s="61"/>
      <c r="H168" s="61"/>
    </row>
    <row r="170" spans="1:9" ht="20.100000000000001" customHeight="1" x14ac:dyDescent="0.25">
      <c r="A170" s="101" t="s">
        <v>72</v>
      </c>
      <c r="B170" s="101"/>
      <c r="C170" s="101"/>
      <c r="D170" s="101"/>
      <c r="E170" s="101"/>
      <c r="F170" s="101"/>
      <c r="G170" s="101"/>
      <c r="H170" s="101"/>
    </row>
    <row r="172" spans="1:9" ht="20.100000000000001" customHeight="1" x14ac:dyDescent="0.25">
      <c r="A172" s="39" t="s">
        <v>26</v>
      </c>
      <c r="B172" s="39" t="s">
        <v>68</v>
      </c>
      <c r="C172" s="39" t="s">
        <v>1</v>
      </c>
      <c r="D172" s="39" t="s">
        <v>12</v>
      </c>
    </row>
    <row r="173" spans="1:9" ht="20.100000000000001" customHeight="1" x14ac:dyDescent="0.25">
      <c r="A173" s="16" t="str">
        <f>C10</f>
        <v>Área do terreno</v>
      </c>
      <c r="B173" s="16">
        <f>C99</f>
        <v>1129.6112150616755</v>
      </c>
      <c r="C173" s="16">
        <f>D99</f>
        <v>162.68601536721752</v>
      </c>
      <c r="D173" s="20">
        <f>F99</f>
        <v>6.7329631671502274E-5</v>
      </c>
    </row>
    <row r="175" spans="1:9" ht="20.100000000000001" customHeight="1" x14ac:dyDescent="0.25">
      <c r="A175" s="110" t="str">
        <f>IF(D173&lt;0.3,"O nível de significância (valor-P) do coeficiente regressor é inferior a 30% (trinta por cento). Portanto, rejeita-se a hipótese nula, reconhecendo-se que a variável é relevante para o modelo.","O nível de significância (valor-P) do coeficiente regressor é superior a 30% (trinta por cento). Portanto, a hipótese nula não pode ser rejeitada.")</f>
        <v>O nível de significância (valor-P) do coeficiente regressor é inferior a 30% (trinta por cento). Portanto, rejeita-se a hipótese nula, reconhecendo-se que a variável é relevante para o modelo.</v>
      </c>
      <c r="B175" s="110"/>
      <c r="C175" s="110"/>
      <c r="D175" s="110"/>
      <c r="E175" s="110"/>
      <c r="F175" s="110"/>
      <c r="G175" s="110"/>
      <c r="H175" s="110"/>
    </row>
    <row r="177" spans="1:8" ht="20.100000000000001" customHeight="1" x14ac:dyDescent="0.25">
      <c r="D177" s="108" t="s">
        <v>133</v>
      </c>
      <c r="E177" s="108"/>
      <c r="F177" s="26">
        <v>0.3</v>
      </c>
      <c r="G177" s="51"/>
    </row>
    <row r="178" spans="1:8" ht="20.100000000000001" customHeight="1" x14ac:dyDescent="0.25">
      <c r="D178" s="108" t="s">
        <v>134</v>
      </c>
      <c r="E178" s="108"/>
      <c r="F178" s="44">
        <f>D173</f>
        <v>6.7329631671502274E-5</v>
      </c>
      <c r="G178" s="49"/>
    </row>
    <row r="179" spans="1:8" ht="20.100000000000001" customHeight="1" x14ac:dyDescent="0.25">
      <c r="D179" s="1"/>
      <c r="E179" s="1"/>
      <c r="F179" s="1"/>
      <c r="G179" s="1"/>
    </row>
    <row r="180" spans="1:8" ht="20.100000000000001" customHeight="1" x14ac:dyDescent="0.25">
      <c r="D180" s="13" t="s">
        <v>96</v>
      </c>
      <c r="E180" s="13"/>
      <c r="F180" s="29">
        <f>B83</f>
        <v>12</v>
      </c>
      <c r="G180" s="9"/>
    </row>
    <row r="181" spans="1:8" ht="20.100000000000001" customHeight="1" x14ac:dyDescent="0.25">
      <c r="D181" s="13" t="s">
        <v>97</v>
      </c>
      <c r="E181" s="13"/>
      <c r="F181" s="29">
        <f>B85</f>
        <v>3</v>
      </c>
      <c r="G181" s="9"/>
    </row>
    <row r="182" spans="1:8" ht="20.100000000000001" customHeight="1" x14ac:dyDescent="0.25">
      <c r="D182" s="13" t="s">
        <v>13</v>
      </c>
      <c r="E182" s="13"/>
      <c r="F182" s="29">
        <f>B86</f>
        <v>9</v>
      </c>
      <c r="G182" s="9"/>
    </row>
    <row r="183" spans="1:8" ht="20.100000000000001" customHeight="1" x14ac:dyDescent="0.25">
      <c r="D183" s="13" t="s">
        <v>135</v>
      </c>
      <c r="E183" s="13"/>
      <c r="F183" s="38">
        <f>_xlfn.T.INV.2T(F177,F182)</f>
        <v>1.0997161963946571</v>
      </c>
      <c r="G183" s="56"/>
    </row>
    <row r="184" spans="1:8" ht="20.100000000000001" customHeight="1" x14ac:dyDescent="0.25">
      <c r="D184" s="5" t="s">
        <v>136</v>
      </c>
      <c r="E184" s="5"/>
      <c r="F184" s="5">
        <f>E99</f>
        <v>6.9435053314932977</v>
      </c>
      <c r="G184" s="50"/>
    </row>
    <row r="185" spans="1:8" ht="20.100000000000001" customHeight="1" x14ac:dyDescent="0.25">
      <c r="D185" s="1"/>
      <c r="E185" s="1"/>
      <c r="F185" s="1"/>
      <c r="G185" s="1"/>
    </row>
    <row r="186" spans="1:8" ht="20.100000000000001" customHeight="1" x14ac:dyDescent="0.25">
      <c r="D186" s="4" t="s">
        <v>29</v>
      </c>
      <c r="E186" s="4" t="str">
        <f>IF(F184&gt;F183,"O ponto calculado é maior que o ponto crítico","O ponto calculado é menor que o ponto crítico")</f>
        <v>O ponto calculado é maior que o ponto crítico</v>
      </c>
      <c r="F186" s="4"/>
      <c r="G186" s="1"/>
    </row>
    <row r="187" spans="1:8" ht="20.100000000000001" customHeight="1" x14ac:dyDescent="0.25">
      <c r="D187" s="5" t="s">
        <v>130</v>
      </c>
      <c r="E187" s="5" t="str">
        <f>IF(F184&gt;F183,"Rejeita-se a hipótese nula","Não se pode rejeitar a hipótese nula")</f>
        <v>Rejeita-se a hipótese nula</v>
      </c>
      <c r="F187" s="5"/>
      <c r="G187" s="1"/>
    </row>
    <row r="190" spans="1:8" ht="20.100000000000001" customHeight="1" x14ac:dyDescent="0.25">
      <c r="A190" s="39" t="s">
        <v>26</v>
      </c>
      <c r="B190" s="39" t="s">
        <v>68</v>
      </c>
      <c r="C190" s="39" t="s">
        <v>1</v>
      </c>
      <c r="D190" s="39" t="s">
        <v>12</v>
      </c>
    </row>
    <row r="191" spans="1:8" ht="20.100000000000001" customHeight="1" x14ac:dyDescent="0.25">
      <c r="A191" s="16" t="str">
        <f>D10</f>
        <v>Área construída</v>
      </c>
      <c r="B191" s="16">
        <f>C100</f>
        <v>190.05588961395551</v>
      </c>
      <c r="C191" s="16">
        <f>D100</f>
        <v>103.77318806041389</v>
      </c>
      <c r="D191" s="20">
        <f>F100</f>
        <v>0.1002637277608876</v>
      </c>
      <c r="E191" s="1"/>
      <c r="F191" s="1"/>
      <c r="G191" s="1"/>
      <c r="H191" s="1"/>
    </row>
    <row r="192" spans="1:8" ht="20.100000000000001" customHeight="1" x14ac:dyDescent="0.25">
      <c r="C192" s="19"/>
      <c r="E192" s="1"/>
      <c r="F192" s="1"/>
      <c r="G192" s="1"/>
      <c r="H192" s="1"/>
    </row>
    <row r="193" spans="1:8" ht="20.100000000000001" customHeight="1" x14ac:dyDescent="0.25">
      <c r="A193" s="119" t="str">
        <f>IF(D191&lt;0.3,"O nível de significância (valor-P) do coeficiente regressor é inferior a 30% (trinta por cento). Portanto, rejeita-se a hipótese nula, reconhecendo-se que a variável é relevante para o modelo.","O nível de significância (valor-P) do coeficiente regressor é superior a 30% (trinta por cento). Portanto, a hipótese nula não pode ser rejeitada.")</f>
        <v>O nível de significância (valor-P) do coeficiente regressor é inferior a 30% (trinta por cento). Portanto, rejeita-se a hipótese nula, reconhecendo-se que a variável é relevante para o modelo.</v>
      </c>
      <c r="B193" s="119"/>
      <c r="C193" s="119"/>
      <c r="D193" s="119"/>
      <c r="E193" s="119"/>
      <c r="F193" s="119"/>
      <c r="G193" s="119"/>
      <c r="H193" s="119"/>
    </row>
    <row r="195" spans="1:8" ht="20.100000000000001" customHeight="1" x14ac:dyDescent="0.25">
      <c r="D195" s="108" t="s">
        <v>133</v>
      </c>
      <c r="E195" s="108"/>
      <c r="F195" s="26">
        <v>0.3</v>
      </c>
      <c r="G195" s="51"/>
      <c r="H195" s="51"/>
    </row>
    <row r="196" spans="1:8" ht="20.100000000000001" customHeight="1" x14ac:dyDescent="0.25">
      <c r="D196" s="108" t="s">
        <v>134</v>
      </c>
      <c r="E196" s="108"/>
      <c r="F196" s="44">
        <f>D191</f>
        <v>0.1002637277608876</v>
      </c>
      <c r="G196" s="49"/>
      <c r="H196" s="49"/>
    </row>
    <row r="197" spans="1:8" ht="20.100000000000001" customHeight="1" x14ac:dyDescent="0.25">
      <c r="D197" s="1"/>
      <c r="E197" s="1"/>
      <c r="F197" s="1"/>
      <c r="G197" s="1"/>
      <c r="H197" s="1"/>
    </row>
    <row r="198" spans="1:8" ht="20.100000000000001" customHeight="1" x14ac:dyDescent="0.25">
      <c r="D198" s="13" t="s">
        <v>96</v>
      </c>
      <c r="E198" s="13"/>
      <c r="F198" s="29">
        <f>B83</f>
        <v>12</v>
      </c>
      <c r="G198" s="9"/>
      <c r="H198" s="9"/>
    </row>
    <row r="199" spans="1:8" ht="20.100000000000001" customHeight="1" x14ac:dyDescent="0.25">
      <c r="D199" s="13" t="s">
        <v>97</v>
      </c>
      <c r="E199" s="13"/>
      <c r="F199" s="29">
        <f>B85</f>
        <v>3</v>
      </c>
      <c r="G199" s="9"/>
      <c r="H199" s="9"/>
    </row>
    <row r="200" spans="1:8" ht="20.100000000000001" customHeight="1" x14ac:dyDescent="0.25">
      <c r="D200" s="13" t="s">
        <v>13</v>
      </c>
      <c r="E200" s="13"/>
      <c r="F200" s="29">
        <f>B86</f>
        <v>9</v>
      </c>
      <c r="G200" s="9"/>
      <c r="H200" s="9"/>
    </row>
    <row r="201" spans="1:8" ht="20.100000000000001" customHeight="1" x14ac:dyDescent="0.25">
      <c r="D201" s="13" t="s">
        <v>135</v>
      </c>
      <c r="E201" s="13"/>
      <c r="F201" s="38">
        <f>_xlfn.T.INV.2T(F195,F200)</f>
        <v>1.0997161963946571</v>
      </c>
      <c r="G201" s="56"/>
    </row>
    <row r="202" spans="1:8" ht="20.100000000000001" customHeight="1" x14ac:dyDescent="0.25">
      <c r="D202" s="5" t="s">
        <v>136</v>
      </c>
      <c r="E202" s="5"/>
      <c r="F202" s="5">
        <f>E100</f>
        <v>1.8314546673010588</v>
      </c>
      <c r="G202" s="50"/>
    </row>
    <row r="203" spans="1:8" ht="20.100000000000001" customHeight="1" x14ac:dyDescent="0.25">
      <c r="D203" s="1"/>
      <c r="E203" s="1"/>
      <c r="F203" s="1"/>
      <c r="G203" s="1"/>
    </row>
    <row r="204" spans="1:8" ht="20.100000000000001" customHeight="1" x14ac:dyDescent="0.25">
      <c r="D204" s="4" t="s">
        <v>29</v>
      </c>
      <c r="E204" s="4" t="str">
        <f>IF(F202&gt;F201,"O ponto calculado é maior que o ponto crítico","O ponto calculado é menor que o ponto crítico")</f>
        <v>O ponto calculado é maior que o ponto crítico</v>
      </c>
      <c r="F204" s="4"/>
      <c r="G204" s="1"/>
    </row>
    <row r="205" spans="1:8" ht="20.100000000000001" customHeight="1" x14ac:dyDescent="0.25">
      <c r="D205" s="5" t="s">
        <v>130</v>
      </c>
      <c r="E205" s="5" t="str">
        <f>IF(F202&gt;F201,"Rejeita-se a hipótese nula","Não se pode rejeitar a hipótese nula")</f>
        <v>Rejeita-se a hipótese nula</v>
      </c>
      <c r="F205" s="5"/>
      <c r="G205" s="1"/>
    </row>
    <row r="208" spans="1:8" ht="20.100000000000001" customHeight="1" x14ac:dyDescent="0.25">
      <c r="A208" s="109" t="s">
        <v>10</v>
      </c>
      <c r="B208" s="109"/>
      <c r="C208" s="109"/>
      <c r="D208" s="109"/>
      <c r="E208" s="109"/>
      <c r="F208" s="109"/>
      <c r="G208" s="109"/>
      <c r="H208" s="109"/>
    </row>
    <row r="209" spans="1:4" ht="20.100000000000001" customHeight="1" x14ac:dyDescent="0.25">
      <c r="A209" s="27"/>
      <c r="B209" s="27"/>
      <c r="C209" s="27"/>
      <c r="D209" s="27"/>
    </row>
    <row r="210" spans="1:4" ht="20.100000000000001" customHeight="1" x14ac:dyDescent="0.25">
      <c r="A210" s="69" t="str">
        <f t="shared" ref="A210:A222" si="36">A10</f>
        <v>Item</v>
      </c>
      <c r="B210" s="46" t="s">
        <v>163</v>
      </c>
      <c r="C210" s="46" t="s">
        <v>92</v>
      </c>
      <c r="D210" s="46" t="s">
        <v>3</v>
      </c>
    </row>
    <row r="211" spans="1:4" ht="20.100000000000001" customHeight="1" x14ac:dyDescent="0.25">
      <c r="A211" s="69">
        <f t="shared" si="36"/>
        <v>1</v>
      </c>
      <c r="B211" s="2">
        <f t="shared" ref="B211:B222" si="37">$C$98+$C11*$C$99+$D11*$C$100</f>
        <v>392042.91639250901</v>
      </c>
      <c r="C211" s="2">
        <f t="shared" ref="C211:C222" si="38">AVERAGE($H$11:$H$22)</f>
        <v>441750</v>
      </c>
      <c r="D211" s="2">
        <f>B211-C211</f>
        <v>-49707.083607490989</v>
      </c>
    </row>
    <row r="212" spans="1:4" ht="20.100000000000001" customHeight="1" x14ac:dyDescent="0.25">
      <c r="A212" s="28">
        <f t="shared" si="36"/>
        <v>2</v>
      </c>
      <c r="B212" s="16">
        <f t="shared" si="37"/>
        <v>392042.91639250901</v>
      </c>
      <c r="C212" s="16">
        <f t="shared" si="38"/>
        <v>441750</v>
      </c>
      <c r="D212" s="16">
        <f t="shared" ref="D212:D222" si="39">B212-C212</f>
        <v>-49707.083607490989</v>
      </c>
    </row>
    <row r="213" spans="1:4" ht="20.100000000000001" customHeight="1" x14ac:dyDescent="0.25">
      <c r="A213" s="28">
        <f t="shared" si="36"/>
        <v>3</v>
      </c>
      <c r="B213" s="16">
        <f t="shared" si="37"/>
        <v>382540.12191181123</v>
      </c>
      <c r="C213" s="16">
        <f t="shared" si="38"/>
        <v>441750</v>
      </c>
      <c r="D213" s="16">
        <f t="shared" si="39"/>
        <v>-59209.878088188765</v>
      </c>
    </row>
    <row r="214" spans="1:4" ht="20.100000000000001" customHeight="1" x14ac:dyDescent="0.25">
      <c r="A214" s="28">
        <f t="shared" si="36"/>
        <v>4</v>
      </c>
      <c r="B214" s="16">
        <f t="shared" si="37"/>
        <v>425676.97058895323</v>
      </c>
      <c r="C214" s="16">
        <f t="shared" si="38"/>
        <v>441750</v>
      </c>
      <c r="D214" s="16">
        <f t="shared" si="39"/>
        <v>-16073.029411046766</v>
      </c>
    </row>
    <row r="215" spans="1:4" ht="20.100000000000001" customHeight="1" x14ac:dyDescent="0.25">
      <c r="A215" s="28">
        <f t="shared" si="36"/>
        <v>5</v>
      </c>
      <c r="B215" s="16">
        <f t="shared" si="37"/>
        <v>406671.38162755768</v>
      </c>
      <c r="C215" s="16">
        <f t="shared" si="38"/>
        <v>441750</v>
      </c>
      <c r="D215" s="16">
        <f t="shared" si="39"/>
        <v>-35078.618372442317</v>
      </c>
    </row>
    <row r="216" spans="1:4" ht="20.100000000000001" customHeight="1" x14ac:dyDescent="0.25">
      <c r="A216" s="28">
        <f t="shared" si="36"/>
        <v>6</v>
      </c>
      <c r="B216" s="16">
        <f t="shared" si="37"/>
        <v>406671.38162755768</v>
      </c>
      <c r="C216" s="16">
        <f t="shared" si="38"/>
        <v>441750</v>
      </c>
      <c r="D216" s="16">
        <f t="shared" si="39"/>
        <v>-35078.618372442317</v>
      </c>
    </row>
    <row r="217" spans="1:4" ht="20.100000000000001" customHeight="1" x14ac:dyDescent="0.25">
      <c r="A217" s="28">
        <f t="shared" si="36"/>
        <v>7</v>
      </c>
      <c r="B217" s="16">
        <f t="shared" si="37"/>
        <v>502038.68872712256</v>
      </c>
      <c r="C217" s="16">
        <f t="shared" si="38"/>
        <v>441750</v>
      </c>
      <c r="D217" s="16">
        <f t="shared" si="39"/>
        <v>60288.688727122557</v>
      </c>
    </row>
    <row r="218" spans="1:4" ht="20.100000000000001" customHeight="1" x14ac:dyDescent="0.25">
      <c r="A218" s="28">
        <f t="shared" si="36"/>
        <v>8</v>
      </c>
      <c r="B218" s="16">
        <f t="shared" si="37"/>
        <v>483033.09976572701</v>
      </c>
      <c r="C218" s="16">
        <f t="shared" si="38"/>
        <v>441750</v>
      </c>
      <c r="D218" s="16">
        <f t="shared" si="39"/>
        <v>41283.099765727005</v>
      </c>
    </row>
    <row r="219" spans="1:4" ht="20.100000000000001" customHeight="1" x14ac:dyDescent="0.25">
      <c r="A219" s="28">
        <f t="shared" si="36"/>
        <v>9</v>
      </c>
      <c r="B219" s="16">
        <f t="shared" si="37"/>
        <v>480180.71171567909</v>
      </c>
      <c r="C219" s="16">
        <f t="shared" si="38"/>
        <v>441750</v>
      </c>
      <c r="D219" s="16">
        <f t="shared" si="39"/>
        <v>38430.711715679092</v>
      </c>
    </row>
    <row r="220" spans="1:4" ht="20.100000000000001" customHeight="1" x14ac:dyDescent="0.25">
      <c r="A220" s="28">
        <f t="shared" si="36"/>
        <v>10</v>
      </c>
      <c r="B220" s="16">
        <f t="shared" si="37"/>
        <v>477342.62340384518</v>
      </c>
      <c r="C220" s="16">
        <f t="shared" si="38"/>
        <v>441750</v>
      </c>
      <c r="D220" s="16">
        <f t="shared" si="39"/>
        <v>35592.62340384518</v>
      </c>
    </row>
    <row r="221" spans="1:4" ht="20.100000000000001" customHeight="1" x14ac:dyDescent="0.25">
      <c r="A221" s="28">
        <f t="shared" si="36"/>
        <v>11</v>
      </c>
      <c r="B221" s="16">
        <f t="shared" si="37"/>
        <v>475429.31447533017</v>
      </c>
      <c r="C221" s="16">
        <f t="shared" si="38"/>
        <v>441750</v>
      </c>
      <c r="D221" s="16">
        <f t="shared" si="39"/>
        <v>33679.314475330175</v>
      </c>
    </row>
    <row r="222" spans="1:4" ht="20.100000000000001" customHeight="1" x14ac:dyDescent="0.25">
      <c r="A222" s="28">
        <f t="shared" si="36"/>
        <v>12</v>
      </c>
      <c r="B222" s="16">
        <f t="shared" si="37"/>
        <v>477329.87337146979</v>
      </c>
      <c r="C222" s="16">
        <f t="shared" si="38"/>
        <v>441750</v>
      </c>
      <c r="D222" s="16">
        <f t="shared" si="39"/>
        <v>35579.873371469788</v>
      </c>
    </row>
    <row r="224" spans="1:4" ht="20.100000000000001" customHeight="1" x14ac:dyDescent="0.25">
      <c r="A224" s="136" t="s">
        <v>192</v>
      </c>
      <c r="B224" s="136"/>
      <c r="C224" s="136"/>
      <c r="D224" s="25">
        <f>SUMSQ(D211:D222)</f>
        <v>21649757564.132076</v>
      </c>
    </row>
    <row r="228" spans="1:7" ht="20.100000000000001" customHeight="1" x14ac:dyDescent="0.25">
      <c r="A228" s="69" t="str">
        <f t="shared" ref="A228:A240" si="40">A210</f>
        <v>Item</v>
      </c>
      <c r="B228" s="46" t="s">
        <v>162</v>
      </c>
      <c r="C228" s="46" t="s">
        <v>163</v>
      </c>
      <c r="D228" s="46" t="s">
        <v>184</v>
      </c>
      <c r="F228" s="46" t="s">
        <v>153</v>
      </c>
      <c r="G228" s="46" t="s">
        <v>177</v>
      </c>
    </row>
    <row r="229" spans="1:7" ht="20.100000000000001" customHeight="1" x14ac:dyDescent="0.25">
      <c r="A229" s="69">
        <f t="shared" si="40"/>
        <v>1</v>
      </c>
      <c r="B229" s="2">
        <f t="shared" ref="B229:B240" si="41">H11</f>
        <v>378000</v>
      </c>
      <c r="C229" s="2">
        <f t="shared" ref="C229:C240" si="42">B211</f>
        <v>392042.91639250901</v>
      </c>
      <c r="D229" s="2">
        <f>B229-C229</f>
        <v>-14042.916392509011</v>
      </c>
      <c r="F229" s="2">
        <f t="shared" ref="F229:F240" si="43">D229/$B$87</f>
        <v>-0.96283470866379794</v>
      </c>
      <c r="G229" s="19">
        <f>D229/B229</f>
        <v>-3.7150572466955058E-2</v>
      </c>
    </row>
    <row r="230" spans="1:7" ht="20.100000000000001" customHeight="1" x14ac:dyDescent="0.25">
      <c r="A230" s="28">
        <f t="shared" si="40"/>
        <v>2</v>
      </c>
      <c r="B230" s="16">
        <f t="shared" si="41"/>
        <v>378000</v>
      </c>
      <c r="C230" s="16">
        <f t="shared" si="42"/>
        <v>392042.91639250901</v>
      </c>
      <c r="D230" s="16">
        <f t="shared" ref="D230:D240" si="44">B230-C230</f>
        <v>-14042.916392509011</v>
      </c>
      <c r="F230" s="16">
        <f t="shared" si="43"/>
        <v>-0.96283470866379794</v>
      </c>
      <c r="G230" s="20">
        <f t="shared" ref="G230:G240" si="45">D230/B230</f>
        <v>-3.7150572466955058E-2</v>
      </c>
    </row>
    <row r="231" spans="1:7" ht="20.100000000000001" customHeight="1" x14ac:dyDescent="0.25">
      <c r="A231" s="28">
        <f t="shared" si="40"/>
        <v>3</v>
      </c>
      <c r="B231" s="16">
        <f t="shared" si="41"/>
        <v>378000</v>
      </c>
      <c r="C231" s="16">
        <f t="shared" si="42"/>
        <v>382540.12191181123</v>
      </c>
      <c r="D231" s="16">
        <f t="shared" si="44"/>
        <v>-4540.1219118112349</v>
      </c>
      <c r="F231" s="16">
        <f t="shared" si="43"/>
        <v>-0.31128768669368057</v>
      </c>
      <c r="G231" s="20">
        <f t="shared" si="45"/>
        <v>-1.201090452860115E-2</v>
      </c>
    </row>
    <row r="232" spans="1:7" ht="20.100000000000001" customHeight="1" x14ac:dyDescent="0.25">
      <c r="A232" s="28">
        <f t="shared" si="40"/>
        <v>4</v>
      </c>
      <c r="B232" s="16">
        <f t="shared" si="41"/>
        <v>423000</v>
      </c>
      <c r="C232" s="16">
        <f t="shared" si="42"/>
        <v>425676.97058895323</v>
      </c>
      <c r="D232" s="16">
        <f t="shared" si="44"/>
        <v>-2676.9705889532343</v>
      </c>
      <c r="F232" s="16">
        <f t="shared" si="43"/>
        <v>-0.18354308500271796</v>
      </c>
      <c r="G232" s="20">
        <f t="shared" si="45"/>
        <v>-6.3285356712842415E-3</v>
      </c>
    </row>
    <row r="233" spans="1:7" ht="20.100000000000001" customHeight="1" x14ac:dyDescent="0.25">
      <c r="A233" s="28">
        <f t="shared" si="40"/>
        <v>5</v>
      </c>
      <c r="B233" s="16">
        <f t="shared" si="41"/>
        <v>423000</v>
      </c>
      <c r="C233" s="16">
        <f t="shared" si="42"/>
        <v>406671.38162755768</v>
      </c>
      <c r="D233" s="16">
        <f t="shared" si="44"/>
        <v>16328.618372442317</v>
      </c>
      <c r="F233" s="16">
        <f t="shared" si="43"/>
        <v>1.1195509589375168</v>
      </c>
      <c r="G233" s="20">
        <f t="shared" si="45"/>
        <v>3.8601934686624866E-2</v>
      </c>
    </row>
    <row r="234" spans="1:7" ht="20.100000000000001" customHeight="1" x14ac:dyDescent="0.25">
      <c r="A234" s="28">
        <f t="shared" si="40"/>
        <v>6</v>
      </c>
      <c r="B234" s="16">
        <f t="shared" si="41"/>
        <v>423000</v>
      </c>
      <c r="C234" s="16">
        <f t="shared" si="42"/>
        <v>406671.38162755768</v>
      </c>
      <c r="D234" s="16">
        <f t="shared" si="44"/>
        <v>16328.618372442317</v>
      </c>
      <c r="F234" s="16">
        <f t="shared" si="43"/>
        <v>1.1195509589375168</v>
      </c>
      <c r="G234" s="20">
        <f t="shared" si="45"/>
        <v>3.8601934686624866E-2</v>
      </c>
    </row>
    <row r="235" spans="1:7" ht="20.100000000000001" customHeight="1" x14ac:dyDescent="0.25">
      <c r="A235" s="28">
        <f t="shared" si="40"/>
        <v>7</v>
      </c>
      <c r="B235" s="16">
        <f t="shared" si="41"/>
        <v>477000</v>
      </c>
      <c r="C235" s="16">
        <f t="shared" si="42"/>
        <v>502038.68872712256</v>
      </c>
      <c r="D235" s="16">
        <f t="shared" si="44"/>
        <v>-25038.688727122557</v>
      </c>
      <c r="F235" s="16">
        <f t="shared" si="43"/>
        <v>-1.7167458590555089</v>
      </c>
      <c r="G235" s="20">
        <f t="shared" si="45"/>
        <v>-5.2492009910110181E-2</v>
      </c>
    </row>
    <row r="236" spans="1:7" ht="20.100000000000001" customHeight="1" x14ac:dyDescent="0.25">
      <c r="A236" s="28">
        <f t="shared" si="40"/>
        <v>8</v>
      </c>
      <c r="B236" s="16">
        <f t="shared" si="41"/>
        <v>477000</v>
      </c>
      <c r="C236" s="16">
        <f t="shared" si="42"/>
        <v>483033.09976572701</v>
      </c>
      <c r="D236" s="16">
        <f t="shared" si="44"/>
        <v>-6033.0997657270054</v>
      </c>
      <c r="F236" s="16">
        <f t="shared" si="43"/>
        <v>-0.4136518151152741</v>
      </c>
      <c r="G236" s="20">
        <f t="shared" si="45"/>
        <v>-1.2648007894605882E-2</v>
      </c>
    </row>
    <row r="237" spans="1:7" ht="20.100000000000001" customHeight="1" x14ac:dyDescent="0.25">
      <c r="A237" s="28">
        <f t="shared" si="40"/>
        <v>9</v>
      </c>
      <c r="B237" s="16">
        <f t="shared" si="41"/>
        <v>486000</v>
      </c>
      <c r="C237" s="16">
        <f t="shared" si="42"/>
        <v>480180.71171567909</v>
      </c>
      <c r="D237" s="16">
        <f t="shared" si="44"/>
        <v>5819.2882843209081</v>
      </c>
      <c r="F237" s="16">
        <f t="shared" si="43"/>
        <v>0.39899210272686803</v>
      </c>
      <c r="G237" s="20">
        <f t="shared" si="45"/>
        <v>1.1973844206421622E-2</v>
      </c>
    </row>
    <row r="238" spans="1:7" ht="20.100000000000001" customHeight="1" x14ac:dyDescent="0.25">
      <c r="A238" s="28">
        <f t="shared" si="40"/>
        <v>10</v>
      </c>
      <c r="B238" s="16">
        <f t="shared" si="41"/>
        <v>486000</v>
      </c>
      <c r="C238" s="16">
        <f t="shared" si="42"/>
        <v>477342.62340384518</v>
      </c>
      <c r="D238" s="16">
        <f t="shared" si="44"/>
        <v>8657.3765961548197</v>
      </c>
      <c r="F238" s="16">
        <f t="shared" si="43"/>
        <v>0.59358201955813295</v>
      </c>
      <c r="G238" s="20">
        <f t="shared" si="45"/>
        <v>1.781353209085354E-2</v>
      </c>
    </row>
    <row r="239" spans="1:7" ht="20.100000000000001" customHeight="1" x14ac:dyDescent="0.25">
      <c r="A239" s="28">
        <f t="shared" si="40"/>
        <v>11</v>
      </c>
      <c r="B239" s="16">
        <f t="shared" si="41"/>
        <v>486000</v>
      </c>
      <c r="C239" s="16">
        <f t="shared" si="42"/>
        <v>475429.31447533017</v>
      </c>
      <c r="D239" s="16">
        <f t="shared" si="44"/>
        <v>10570.685524669825</v>
      </c>
      <c r="F239" s="16">
        <f t="shared" si="43"/>
        <v>0.72476561371192871</v>
      </c>
      <c r="G239" s="20">
        <f t="shared" si="45"/>
        <v>2.1750381738003755E-2</v>
      </c>
    </row>
    <row r="240" spans="1:7" ht="20.100000000000001" customHeight="1" x14ac:dyDescent="0.25">
      <c r="A240" s="28">
        <f t="shared" si="40"/>
        <v>12</v>
      </c>
      <c r="B240" s="16">
        <f t="shared" si="41"/>
        <v>486000</v>
      </c>
      <c r="C240" s="16">
        <f t="shared" si="42"/>
        <v>477329.87337146979</v>
      </c>
      <c r="D240" s="16">
        <f t="shared" si="44"/>
        <v>8670.1266285302117</v>
      </c>
      <c r="F240" s="16">
        <f t="shared" si="43"/>
        <v>0.59445620931790122</v>
      </c>
      <c r="G240" s="20">
        <f t="shared" si="45"/>
        <v>1.7839766725370805E-2</v>
      </c>
    </row>
    <row r="242" spans="1:4" ht="20.100000000000001" customHeight="1" x14ac:dyDescent="0.25">
      <c r="A242" s="136" t="s">
        <v>241</v>
      </c>
      <c r="B242" s="136"/>
      <c r="C242" s="136"/>
      <c r="D242" s="25">
        <f>SUMSQ(D229:D240)</f>
        <v>1914492435.8647933</v>
      </c>
    </row>
    <row r="245" spans="1:4" ht="20.100000000000001" customHeight="1" x14ac:dyDescent="0.25">
      <c r="A245" s="12"/>
    </row>
    <row r="246" spans="1:4" ht="20.100000000000001" customHeight="1" x14ac:dyDescent="0.25">
      <c r="A246" s="46" t="str">
        <f t="shared" ref="A246:A258" si="46">A10</f>
        <v>Item</v>
      </c>
      <c r="B246" s="53" t="s">
        <v>162</v>
      </c>
      <c r="C246" s="53" t="s">
        <v>92</v>
      </c>
      <c r="D246" s="7" t="s">
        <v>3</v>
      </c>
    </row>
    <row r="247" spans="1:4" ht="20.100000000000001" customHeight="1" x14ac:dyDescent="0.25">
      <c r="A247" s="69">
        <f t="shared" si="46"/>
        <v>1</v>
      </c>
      <c r="B247" s="16">
        <f t="shared" ref="B247:B258" si="47">H11</f>
        <v>378000</v>
      </c>
      <c r="C247" s="16">
        <f t="shared" ref="C247:C258" si="48">AVERAGE($H$11:$H$22)</f>
        <v>441750</v>
      </c>
      <c r="D247" s="16">
        <f>B247-C247</f>
        <v>-63750</v>
      </c>
    </row>
    <row r="248" spans="1:4" ht="20.100000000000001" customHeight="1" x14ac:dyDescent="0.25">
      <c r="A248" s="69">
        <f t="shared" si="46"/>
        <v>2</v>
      </c>
      <c r="B248" s="16">
        <f t="shared" si="47"/>
        <v>378000</v>
      </c>
      <c r="C248" s="16">
        <f t="shared" si="48"/>
        <v>441750</v>
      </c>
      <c r="D248" s="16">
        <f t="shared" ref="D248:D258" si="49">B248-C248</f>
        <v>-63750</v>
      </c>
    </row>
    <row r="249" spans="1:4" ht="20.100000000000001" customHeight="1" x14ac:dyDescent="0.25">
      <c r="A249" s="69">
        <f t="shared" si="46"/>
        <v>3</v>
      </c>
      <c r="B249" s="16">
        <f t="shared" si="47"/>
        <v>378000</v>
      </c>
      <c r="C249" s="16">
        <f t="shared" si="48"/>
        <v>441750</v>
      </c>
      <c r="D249" s="16">
        <f t="shared" si="49"/>
        <v>-63750</v>
      </c>
    </row>
    <row r="250" spans="1:4" ht="20.100000000000001" customHeight="1" x14ac:dyDescent="0.25">
      <c r="A250" s="69">
        <f t="shared" si="46"/>
        <v>4</v>
      </c>
      <c r="B250" s="16">
        <f t="shared" si="47"/>
        <v>423000</v>
      </c>
      <c r="C250" s="16">
        <f t="shared" si="48"/>
        <v>441750</v>
      </c>
      <c r="D250" s="16">
        <f t="shared" si="49"/>
        <v>-18750</v>
      </c>
    </row>
    <row r="251" spans="1:4" ht="20.100000000000001" customHeight="1" x14ac:dyDescent="0.25">
      <c r="A251" s="69">
        <f t="shared" si="46"/>
        <v>5</v>
      </c>
      <c r="B251" s="16">
        <f t="shared" si="47"/>
        <v>423000</v>
      </c>
      <c r="C251" s="16">
        <f t="shared" si="48"/>
        <v>441750</v>
      </c>
      <c r="D251" s="16">
        <f t="shared" si="49"/>
        <v>-18750</v>
      </c>
    </row>
    <row r="252" spans="1:4" ht="20.100000000000001" customHeight="1" x14ac:dyDescent="0.25">
      <c r="A252" s="69">
        <f t="shared" si="46"/>
        <v>6</v>
      </c>
      <c r="B252" s="16">
        <f t="shared" si="47"/>
        <v>423000</v>
      </c>
      <c r="C252" s="16">
        <f t="shared" si="48"/>
        <v>441750</v>
      </c>
      <c r="D252" s="16">
        <f t="shared" si="49"/>
        <v>-18750</v>
      </c>
    </row>
    <row r="253" spans="1:4" ht="20.100000000000001" customHeight="1" x14ac:dyDescent="0.25">
      <c r="A253" s="69">
        <f t="shared" si="46"/>
        <v>7</v>
      </c>
      <c r="B253" s="16">
        <f t="shared" si="47"/>
        <v>477000</v>
      </c>
      <c r="C253" s="16">
        <f t="shared" si="48"/>
        <v>441750</v>
      </c>
      <c r="D253" s="16">
        <f t="shared" si="49"/>
        <v>35250</v>
      </c>
    </row>
    <row r="254" spans="1:4" ht="20.100000000000001" customHeight="1" x14ac:dyDescent="0.25">
      <c r="A254" s="69">
        <f t="shared" si="46"/>
        <v>8</v>
      </c>
      <c r="B254" s="16">
        <f t="shared" si="47"/>
        <v>477000</v>
      </c>
      <c r="C254" s="16">
        <f t="shared" si="48"/>
        <v>441750</v>
      </c>
      <c r="D254" s="16">
        <f t="shared" si="49"/>
        <v>35250</v>
      </c>
    </row>
    <row r="255" spans="1:4" ht="20.100000000000001" customHeight="1" x14ac:dyDescent="0.25">
      <c r="A255" s="69">
        <f t="shared" si="46"/>
        <v>9</v>
      </c>
      <c r="B255" s="16">
        <f t="shared" si="47"/>
        <v>486000</v>
      </c>
      <c r="C255" s="16">
        <f t="shared" si="48"/>
        <v>441750</v>
      </c>
      <c r="D255" s="16">
        <f t="shared" si="49"/>
        <v>44250</v>
      </c>
    </row>
    <row r="256" spans="1:4" ht="20.100000000000001" customHeight="1" x14ac:dyDescent="0.25">
      <c r="A256" s="69">
        <f t="shared" si="46"/>
        <v>10</v>
      </c>
      <c r="B256" s="16">
        <f t="shared" si="47"/>
        <v>486000</v>
      </c>
      <c r="C256" s="16">
        <f t="shared" si="48"/>
        <v>441750</v>
      </c>
      <c r="D256" s="16">
        <f t="shared" si="49"/>
        <v>44250</v>
      </c>
    </row>
    <row r="257" spans="1:8" ht="20.100000000000001" customHeight="1" x14ac:dyDescent="0.25">
      <c r="A257" s="69">
        <f t="shared" si="46"/>
        <v>11</v>
      </c>
      <c r="B257" s="16">
        <f t="shared" si="47"/>
        <v>486000</v>
      </c>
      <c r="C257" s="16">
        <f t="shared" si="48"/>
        <v>441750</v>
      </c>
      <c r="D257" s="16">
        <f t="shared" si="49"/>
        <v>44250</v>
      </c>
    </row>
    <row r="258" spans="1:8" ht="20.100000000000001" customHeight="1" x14ac:dyDescent="0.25">
      <c r="A258" s="69">
        <f t="shared" si="46"/>
        <v>12</v>
      </c>
      <c r="B258" s="16">
        <f t="shared" si="47"/>
        <v>486000</v>
      </c>
      <c r="C258" s="16">
        <f t="shared" si="48"/>
        <v>441750</v>
      </c>
      <c r="D258" s="16">
        <f t="shared" si="49"/>
        <v>44250</v>
      </c>
    </row>
    <row r="260" spans="1:8" ht="20.100000000000001" customHeight="1" x14ac:dyDescent="0.25">
      <c r="A260" s="136" t="s">
        <v>185</v>
      </c>
      <c r="B260" s="136"/>
      <c r="C260" s="136"/>
      <c r="D260" s="25">
        <f>SUMSQ(D247:D258)</f>
        <v>23564250000</v>
      </c>
    </row>
    <row r="264" spans="1:8" ht="20.100000000000001" customHeight="1" x14ac:dyDescent="0.25">
      <c r="A264" s="101" t="s">
        <v>164</v>
      </c>
      <c r="B264" s="101"/>
      <c r="C264" s="101"/>
      <c r="D264" s="101"/>
      <c r="E264" s="101"/>
      <c r="F264" s="101"/>
      <c r="G264" s="101"/>
      <c r="H264" s="101"/>
    </row>
    <row r="267" spans="1:8" ht="20.100000000000001" customHeight="1" x14ac:dyDescent="0.25">
      <c r="A267" s="109" t="s">
        <v>64</v>
      </c>
      <c r="B267" s="109"/>
      <c r="C267" s="109"/>
      <c r="D267" s="109"/>
      <c r="E267" s="109"/>
      <c r="F267" s="109"/>
      <c r="G267" s="68"/>
      <c r="H267" s="68"/>
    </row>
    <row r="269" spans="1:8" ht="20.100000000000001" customHeight="1" x14ac:dyDescent="0.25">
      <c r="A269" s="109" t="s">
        <v>174</v>
      </c>
      <c r="B269" s="109"/>
      <c r="C269" s="109"/>
      <c r="D269" s="109"/>
      <c r="E269" s="109"/>
      <c r="F269" s="109"/>
      <c r="G269" s="68"/>
      <c r="H269" s="68"/>
    </row>
    <row r="270" spans="1:8" ht="20.100000000000001" customHeight="1" x14ac:dyDescent="0.25">
      <c r="B270" s="22"/>
      <c r="C270" s="22"/>
      <c r="D270" s="22"/>
      <c r="E270" s="22"/>
      <c r="F270" s="22"/>
      <c r="G270" s="22"/>
      <c r="H270" s="22"/>
    </row>
    <row r="271" spans="1:8" ht="20.100000000000001" customHeight="1" x14ac:dyDescent="0.25">
      <c r="A271" s="119" t="s">
        <v>87</v>
      </c>
      <c r="B271" s="119"/>
      <c r="C271" s="119"/>
      <c r="D271" s="119"/>
      <c r="E271" s="119"/>
      <c r="F271" s="119"/>
      <c r="G271" s="119"/>
      <c r="H271" s="119"/>
    </row>
    <row r="272" spans="1:8" ht="20.100000000000001" customHeight="1" x14ac:dyDescent="0.25">
      <c r="A272" s="119"/>
      <c r="B272" s="119"/>
      <c r="C272" s="119"/>
      <c r="D272" s="119"/>
      <c r="E272" s="119"/>
      <c r="F272" s="119"/>
      <c r="G272" s="119"/>
      <c r="H272" s="119"/>
    </row>
    <row r="273" spans="1:8" ht="20.100000000000001" customHeight="1" x14ac:dyDescent="0.25">
      <c r="A273" s="119"/>
      <c r="B273" s="119"/>
      <c r="C273" s="119"/>
      <c r="D273" s="119"/>
      <c r="E273" s="119"/>
      <c r="F273" s="119"/>
      <c r="G273" s="119"/>
      <c r="H273" s="119"/>
    </row>
    <row r="274" spans="1:8" ht="20.100000000000001" customHeight="1" x14ac:dyDescent="0.25">
      <c r="A274" s="119"/>
      <c r="B274" s="119"/>
      <c r="C274" s="119"/>
      <c r="D274" s="119"/>
      <c r="E274" s="119"/>
      <c r="F274" s="119"/>
      <c r="G274" s="119"/>
      <c r="H274" s="119"/>
    </row>
    <row r="275" spans="1:8" ht="20.100000000000001" customHeight="1" x14ac:dyDescent="0.25">
      <c r="A275" s="119"/>
      <c r="B275" s="119"/>
      <c r="C275" s="119"/>
      <c r="D275" s="119"/>
      <c r="E275" s="119"/>
      <c r="F275" s="119"/>
      <c r="G275" s="119"/>
      <c r="H275" s="119"/>
    </row>
    <row r="297" spans="1:8" ht="20.100000000000001" customHeight="1" x14ac:dyDescent="0.25">
      <c r="A297" s="101" t="s">
        <v>82</v>
      </c>
      <c r="B297" s="101"/>
      <c r="C297" s="101"/>
      <c r="D297" s="101"/>
      <c r="E297" s="101"/>
      <c r="F297" s="101"/>
      <c r="G297" s="101"/>
      <c r="H297" s="101"/>
    </row>
    <row r="300" spans="1:8" ht="20.100000000000001" customHeight="1" x14ac:dyDescent="0.25">
      <c r="A300" s="109" t="s">
        <v>152</v>
      </c>
      <c r="B300" s="109"/>
      <c r="C300" s="109"/>
      <c r="D300" s="109"/>
      <c r="E300" s="109"/>
      <c r="F300" s="109"/>
      <c r="G300" s="109"/>
      <c r="H300" s="109"/>
    </row>
    <row r="302" spans="1:8" ht="20.100000000000001" customHeight="1" x14ac:dyDescent="0.25">
      <c r="A302" s="139" t="str">
        <f>A10</f>
        <v>Item</v>
      </c>
      <c r="B302" s="139" t="s">
        <v>3</v>
      </c>
      <c r="C302" s="139" t="s">
        <v>153</v>
      </c>
      <c r="D302" s="139" t="s">
        <v>186</v>
      </c>
      <c r="E302" s="139" t="s">
        <v>154</v>
      </c>
      <c r="F302" s="139" t="s">
        <v>137</v>
      </c>
      <c r="G302" s="139" t="s">
        <v>242</v>
      </c>
      <c r="H302" s="139" t="s">
        <v>243</v>
      </c>
    </row>
    <row r="303" spans="1:8" ht="20.100000000000001" customHeight="1" x14ac:dyDescent="0.25">
      <c r="A303" s="140"/>
      <c r="B303" s="140"/>
      <c r="C303" s="140"/>
      <c r="D303" s="140"/>
      <c r="E303" s="140"/>
      <c r="F303" s="140"/>
      <c r="G303" s="140"/>
      <c r="H303" s="140"/>
    </row>
    <row r="304" spans="1:8" ht="20.100000000000001" customHeight="1" x14ac:dyDescent="0.25">
      <c r="A304" s="28">
        <f t="shared" ref="A304:A315" si="50">A11</f>
        <v>1</v>
      </c>
      <c r="B304" s="16">
        <f t="shared" ref="B304:B315" si="51">D229</f>
        <v>-14042.916392509011</v>
      </c>
      <c r="C304" s="16">
        <f t="shared" ref="C304:C315" si="52">F229</f>
        <v>-0.96283470866379794</v>
      </c>
      <c r="D304" s="16">
        <f t="shared" ref="D304:D315" si="53">C304*(($B$95/$B$94)^(1/2))</f>
        <v>-1.0644538212563239</v>
      </c>
      <c r="E304" s="99">
        <f t="shared" ref="E304:E315" si="54">D229/(($D$94*(1-F304))^(1/2))</f>
        <v>-1.0756297055904844</v>
      </c>
      <c r="F304" s="16">
        <f t="shared" ref="F304:F315" si="55">Z665</f>
        <v>0.19873181359857539</v>
      </c>
      <c r="G304" s="16">
        <f t="shared" ref="G304:G315" si="56">AB665</f>
        <v>9.565194743497972E-2</v>
      </c>
      <c r="H304" s="16">
        <f t="shared" ref="H304:H315" si="57">AA737</f>
        <v>1.2693832829176566</v>
      </c>
    </row>
    <row r="305" spans="1:8" ht="20.100000000000001" customHeight="1" x14ac:dyDescent="0.25">
      <c r="A305" s="28">
        <f t="shared" si="50"/>
        <v>2</v>
      </c>
      <c r="B305" s="16">
        <f t="shared" si="51"/>
        <v>-14042.916392509011</v>
      </c>
      <c r="C305" s="16">
        <f t="shared" si="52"/>
        <v>-0.96283470866379794</v>
      </c>
      <c r="D305" s="16">
        <f t="shared" si="53"/>
        <v>-1.0644538212563239</v>
      </c>
      <c r="E305" s="99">
        <f t="shared" si="54"/>
        <v>-1.0756297055904844</v>
      </c>
      <c r="F305" s="16">
        <f t="shared" si="55"/>
        <v>0.19873181359857539</v>
      </c>
      <c r="G305" s="16">
        <f t="shared" si="56"/>
        <v>9.565194743497972E-2</v>
      </c>
      <c r="H305" s="16">
        <f t="shared" si="57"/>
        <v>1.2693832829176566</v>
      </c>
    </row>
    <row r="306" spans="1:8" ht="20.100000000000001" customHeight="1" x14ac:dyDescent="0.25">
      <c r="A306" s="28">
        <f t="shared" si="50"/>
        <v>3</v>
      </c>
      <c r="B306" s="16">
        <f t="shared" si="51"/>
        <v>-4540.1219118112349</v>
      </c>
      <c r="C306" s="16">
        <f t="shared" si="52"/>
        <v>-0.31128768669368057</v>
      </c>
      <c r="D306" s="16">
        <f t="shared" si="53"/>
        <v>-0.34414148620688195</v>
      </c>
      <c r="E306" s="99">
        <f t="shared" si="54"/>
        <v>-0.38432540273361759</v>
      </c>
      <c r="F306" s="16">
        <f t="shared" si="55"/>
        <v>0.34396697544885735</v>
      </c>
      <c r="G306" s="16">
        <f t="shared" si="56"/>
        <v>2.5814752915330627E-2</v>
      </c>
      <c r="H306" s="16">
        <f t="shared" si="57"/>
        <v>2.8669700632707507</v>
      </c>
    </row>
    <row r="307" spans="1:8" ht="20.100000000000001" customHeight="1" x14ac:dyDescent="0.25">
      <c r="A307" s="28">
        <f t="shared" si="50"/>
        <v>4</v>
      </c>
      <c r="B307" s="16">
        <f t="shared" si="51"/>
        <v>-2676.9705889532343</v>
      </c>
      <c r="C307" s="16">
        <f t="shared" si="52"/>
        <v>-0.18354308500271796</v>
      </c>
      <c r="D307" s="16">
        <f t="shared" si="53"/>
        <v>-0.20291451527277429</v>
      </c>
      <c r="E307" s="99">
        <f t="shared" si="54"/>
        <v>-0.25774141435902592</v>
      </c>
      <c r="F307" s="16">
        <f t="shared" si="55"/>
        <v>0.49288361909390377</v>
      </c>
      <c r="G307" s="16">
        <f t="shared" si="56"/>
        <v>2.1522063347650063E-2</v>
      </c>
      <c r="H307" s="16">
        <f t="shared" si="57"/>
        <v>4.5050531433663057</v>
      </c>
    </row>
    <row r="308" spans="1:8" ht="20.100000000000001" customHeight="1" x14ac:dyDescent="0.25">
      <c r="A308" s="28">
        <f t="shared" si="50"/>
        <v>5</v>
      </c>
      <c r="B308" s="16">
        <f t="shared" si="51"/>
        <v>16328.618372442317</v>
      </c>
      <c r="C308" s="16">
        <f t="shared" si="52"/>
        <v>1.1195509589375168</v>
      </c>
      <c r="D308" s="16">
        <f t="shared" si="53"/>
        <v>1.2377101548261096</v>
      </c>
      <c r="E308" s="99">
        <f t="shared" si="54"/>
        <v>1.2107304107907002</v>
      </c>
      <c r="F308" s="16">
        <f t="shared" si="55"/>
        <v>0.1449474028072586</v>
      </c>
      <c r="G308" s="16">
        <f t="shared" si="56"/>
        <v>8.2830685368785281E-2</v>
      </c>
      <c r="H308" s="16">
        <f t="shared" si="57"/>
        <v>0.67775476421317071</v>
      </c>
    </row>
    <row r="309" spans="1:8" ht="20.100000000000001" customHeight="1" x14ac:dyDescent="0.25">
      <c r="A309" s="28">
        <f t="shared" si="50"/>
        <v>6</v>
      </c>
      <c r="B309" s="16">
        <f t="shared" si="51"/>
        <v>16328.618372442317</v>
      </c>
      <c r="C309" s="16">
        <f t="shared" si="52"/>
        <v>1.1195509589375168</v>
      </c>
      <c r="D309" s="16">
        <f t="shared" si="53"/>
        <v>1.2377101548261096</v>
      </c>
      <c r="E309" s="99">
        <f t="shared" si="54"/>
        <v>1.2107304107907002</v>
      </c>
      <c r="F309" s="16">
        <f t="shared" si="55"/>
        <v>0.1449474028072586</v>
      </c>
      <c r="G309" s="16">
        <f t="shared" si="56"/>
        <v>8.2830685368785281E-2</v>
      </c>
      <c r="H309" s="16">
        <f t="shared" si="57"/>
        <v>0.67775476421317071</v>
      </c>
    </row>
    <row r="310" spans="1:8" ht="20.100000000000001" customHeight="1" x14ac:dyDescent="0.25">
      <c r="A310" s="28">
        <f t="shared" si="50"/>
        <v>7</v>
      </c>
      <c r="B310" s="16">
        <f t="shared" si="51"/>
        <v>-25038.688727122557</v>
      </c>
      <c r="C310" s="16">
        <f t="shared" si="52"/>
        <v>-1.7167458590555089</v>
      </c>
      <c r="D310" s="16">
        <f t="shared" si="53"/>
        <v>-1.897933958294493</v>
      </c>
      <c r="E310" s="99">
        <f t="shared" si="54"/>
        <v>-1.993255853607681</v>
      </c>
      <c r="F310" s="16">
        <f t="shared" si="55"/>
        <v>0.25820155142253165</v>
      </c>
      <c r="G310" s="16">
        <f t="shared" si="56"/>
        <v>0.46097541963692162</v>
      </c>
      <c r="H310" s="16">
        <f t="shared" si="57"/>
        <v>1.9235503989811946</v>
      </c>
    </row>
    <row r="311" spans="1:8" ht="20.100000000000001" customHeight="1" x14ac:dyDescent="0.25">
      <c r="A311" s="28">
        <f t="shared" si="50"/>
        <v>8</v>
      </c>
      <c r="B311" s="16">
        <f t="shared" si="51"/>
        <v>-6033.0997657270054</v>
      </c>
      <c r="C311" s="16">
        <f t="shared" si="52"/>
        <v>-0.4136518151152741</v>
      </c>
      <c r="D311" s="16">
        <f t="shared" si="53"/>
        <v>-0.4573092881956089</v>
      </c>
      <c r="E311" s="99">
        <f t="shared" si="54"/>
        <v>-0.61101079191227037</v>
      </c>
      <c r="F311" s="16">
        <f t="shared" si="55"/>
        <v>0.54167652006040812</v>
      </c>
      <c r="G311" s="16">
        <f t="shared" si="56"/>
        <v>0.14707688094862087</v>
      </c>
      <c r="H311" s="16">
        <f t="shared" si="57"/>
        <v>5.0417750539978909</v>
      </c>
    </row>
    <row r="312" spans="1:8" ht="20.100000000000001" customHeight="1" x14ac:dyDescent="0.25">
      <c r="A312" s="28">
        <f t="shared" si="50"/>
        <v>9</v>
      </c>
      <c r="B312" s="16">
        <f t="shared" si="51"/>
        <v>5819.2882843209081</v>
      </c>
      <c r="C312" s="16">
        <f t="shared" si="52"/>
        <v>0.39899210272686803</v>
      </c>
      <c r="D312" s="16">
        <f t="shared" si="53"/>
        <v>0.44110236635331967</v>
      </c>
      <c r="E312" s="99">
        <f t="shared" si="54"/>
        <v>0.44867821557037479</v>
      </c>
      <c r="F312" s="16">
        <f t="shared" si="55"/>
        <v>0.20921461990884532</v>
      </c>
      <c r="G312" s="16">
        <f t="shared" si="56"/>
        <v>1.7753423431674634E-2</v>
      </c>
      <c r="H312" s="16">
        <f t="shared" si="57"/>
        <v>1.3846941523306302</v>
      </c>
    </row>
    <row r="313" spans="1:8" ht="20.100000000000001" customHeight="1" x14ac:dyDescent="0.25">
      <c r="A313" s="28">
        <f t="shared" si="50"/>
        <v>10</v>
      </c>
      <c r="B313" s="16">
        <f t="shared" si="51"/>
        <v>8657.3765961548197</v>
      </c>
      <c r="C313" s="16">
        <f t="shared" si="52"/>
        <v>0.59358201955813295</v>
      </c>
      <c r="D313" s="16">
        <f t="shared" si="53"/>
        <v>0.65622961372524258</v>
      </c>
      <c r="E313" s="99">
        <f t="shared" si="54"/>
        <v>0.65022626199780442</v>
      </c>
      <c r="F313" s="16">
        <f t="shared" si="55"/>
        <v>0.16664036360189022</v>
      </c>
      <c r="G313" s="16">
        <f t="shared" si="56"/>
        <v>2.8180941645410042E-2</v>
      </c>
      <c r="H313" s="16">
        <f t="shared" si="57"/>
        <v>0.91637733295414281</v>
      </c>
    </row>
    <row r="314" spans="1:8" ht="20.100000000000001" customHeight="1" x14ac:dyDescent="0.25">
      <c r="A314" s="28">
        <f t="shared" si="50"/>
        <v>11</v>
      </c>
      <c r="B314" s="16">
        <f t="shared" si="51"/>
        <v>10570.685524669825</v>
      </c>
      <c r="C314" s="16">
        <f t="shared" si="52"/>
        <v>0.72476561371192871</v>
      </c>
      <c r="D314" s="16">
        <f t="shared" si="53"/>
        <v>0.80125853387804291</v>
      </c>
      <c r="E314" s="99">
        <f t="shared" si="54"/>
        <v>0.78152512476035019</v>
      </c>
      <c r="F314" s="16">
        <f t="shared" si="55"/>
        <v>0.13997857322865692</v>
      </c>
      <c r="G314" s="16">
        <f t="shared" si="56"/>
        <v>3.3137285169517597E-2</v>
      </c>
      <c r="H314" s="16">
        <f t="shared" si="57"/>
        <v>0.62309763884855773</v>
      </c>
    </row>
    <row r="315" spans="1:8" ht="20.100000000000001" customHeight="1" x14ac:dyDescent="0.25">
      <c r="A315" s="28">
        <f t="shared" si="50"/>
        <v>12</v>
      </c>
      <c r="B315" s="16">
        <f t="shared" si="51"/>
        <v>8670.1266285302117</v>
      </c>
      <c r="C315" s="16">
        <f t="shared" si="52"/>
        <v>0.59445620931790122</v>
      </c>
      <c r="D315" s="16">
        <f t="shared" si="53"/>
        <v>0.65719606686815002</v>
      </c>
      <c r="E315" s="99">
        <f t="shared" si="54"/>
        <v>0.64863553419169839</v>
      </c>
      <c r="F315" s="16">
        <f t="shared" si="55"/>
        <v>0.16007934442323091</v>
      </c>
      <c r="G315" s="16">
        <f t="shared" si="56"/>
        <v>2.6728664178916884E-2</v>
      </c>
      <c r="H315" s="16">
        <f t="shared" si="57"/>
        <v>0.84420612198887335</v>
      </c>
    </row>
    <row r="337" spans="1:8" ht="20.100000000000001" customHeight="1" x14ac:dyDescent="0.25">
      <c r="A337" s="118" t="s">
        <v>187</v>
      </c>
      <c r="B337" s="118"/>
      <c r="C337" s="118"/>
      <c r="D337" s="118"/>
      <c r="E337" s="118"/>
      <c r="F337" s="118"/>
      <c r="G337" s="118"/>
      <c r="H337" s="118"/>
    </row>
    <row r="338" spans="1:8" ht="20.100000000000001" customHeight="1" x14ac:dyDescent="0.25">
      <c r="A338" s="118" t="s">
        <v>244</v>
      </c>
      <c r="B338" s="118"/>
      <c r="C338" s="118"/>
      <c r="D338" s="118"/>
      <c r="E338" s="118"/>
      <c r="F338" s="118"/>
      <c r="G338" s="118"/>
      <c r="H338" s="118"/>
    </row>
    <row r="339" spans="1:8" ht="20.100000000000001" customHeight="1" x14ac:dyDescent="0.25">
      <c r="A339" s="118" t="s">
        <v>245</v>
      </c>
      <c r="B339" s="118"/>
      <c r="C339" s="118"/>
      <c r="D339" s="118"/>
      <c r="E339" s="118"/>
      <c r="F339" s="118"/>
      <c r="G339" s="118"/>
      <c r="H339" s="118"/>
    </row>
    <row r="340" spans="1:8" ht="20.100000000000001" customHeight="1" x14ac:dyDescent="0.25">
      <c r="A340" s="118" t="s">
        <v>246</v>
      </c>
      <c r="B340" s="118"/>
      <c r="C340" s="118"/>
      <c r="D340" s="118"/>
      <c r="E340" s="118"/>
      <c r="F340" s="118"/>
      <c r="G340" s="118"/>
      <c r="H340" s="118"/>
    </row>
    <row r="341" spans="1:8" ht="20.100000000000001" customHeight="1" x14ac:dyDescent="0.25">
      <c r="A341" s="23"/>
      <c r="B341" s="23"/>
      <c r="C341" s="23"/>
      <c r="D341" s="23"/>
      <c r="E341" s="23"/>
      <c r="F341" s="23"/>
      <c r="G341" s="23"/>
      <c r="H341" s="23"/>
    </row>
    <row r="342" spans="1:8" ht="20.100000000000001" customHeight="1" x14ac:dyDescent="0.25">
      <c r="A342" s="23"/>
      <c r="B342" s="23"/>
      <c r="C342" s="23"/>
      <c r="D342" s="23"/>
      <c r="E342" s="23"/>
      <c r="F342" s="23"/>
      <c r="G342" s="23"/>
      <c r="H342" s="23"/>
    </row>
    <row r="343" spans="1:8" ht="20.100000000000001" customHeight="1" x14ac:dyDescent="0.25">
      <c r="A343" s="139" t="s">
        <v>0</v>
      </c>
      <c r="B343" s="139" t="s">
        <v>274</v>
      </c>
      <c r="C343" s="139" t="s">
        <v>275</v>
      </c>
      <c r="D343" s="23"/>
      <c r="E343" s="23"/>
      <c r="F343" s="23"/>
      <c r="G343" s="23"/>
      <c r="H343" s="23"/>
    </row>
    <row r="344" spans="1:8" ht="20.100000000000001" customHeight="1" x14ac:dyDescent="0.25">
      <c r="A344" s="140"/>
      <c r="B344" s="140"/>
      <c r="C344" s="140"/>
      <c r="D344" s="23"/>
      <c r="E344" s="23"/>
      <c r="F344" s="23"/>
      <c r="G344" s="23"/>
      <c r="H344" s="23"/>
    </row>
    <row r="345" spans="1:8" ht="20.100000000000001" customHeight="1" x14ac:dyDescent="0.25">
      <c r="A345" s="28">
        <f t="shared" ref="A345:A356" si="58">A11</f>
        <v>1</v>
      </c>
      <c r="B345" s="16">
        <f>AF869</f>
        <v>-0.97242261272935504</v>
      </c>
      <c r="C345" s="16">
        <f>AF871</f>
        <v>-1.0863408217711397</v>
      </c>
      <c r="D345" s="23"/>
      <c r="E345" s="23"/>
      <c r="F345" s="23"/>
      <c r="G345" s="23"/>
      <c r="H345" s="23"/>
    </row>
    <row r="346" spans="1:8" ht="20.100000000000001" customHeight="1" x14ac:dyDescent="0.25">
      <c r="A346" s="28">
        <f t="shared" si="58"/>
        <v>2</v>
      </c>
      <c r="B346" s="16">
        <f>AF894</f>
        <v>-0.97242261272935504</v>
      </c>
      <c r="C346" s="16">
        <f>AF896</f>
        <v>-1.0863408217711397</v>
      </c>
      <c r="D346" s="23"/>
      <c r="E346" s="23"/>
      <c r="F346" s="23"/>
      <c r="G346" s="23"/>
      <c r="H346" s="23"/>
    </row>
    <row r="347" spans="1:8" ht="20.100000000000001" customHeight="1" x14ac:dyDescent="0.25">
      <c r="A347" s="28">
        <f t="shared" si="58"/>
        <v>3</v>
      </c>
      <c r="B347" s="16">
        <f>AF920</f>
        <v>-0.29592320457470417</v>
      </c>
      <c r="C347" s="16">
        <f>AF922</f>
        <v>-0.36535593805325012</v>
      </c>
      <c r="D347" s="23"/>
      <c r="E347" s="23"/>
      <c r="F347" s="23"/>
      <c r="G347" s="23"/>
      <c r="H347" s="23"/>
    </row>
    <row r="348" spans="1:8" ht="20.100000000000001" customHeight="1" x14ac:dyDescent="0.25">
      <c r="A348" s="28">
        <f t="shared" si="58"/>
        <v>4</v>
      </c>
      <c r="B348" s="16">
        <f>AF946</f>
        <v>-0.17368827969242298</v>
      </c>
      <c r="C348" s="16">
        <f>AF948</f>
        <v>-0.24390274831028505</v>
      </c>
      <c r="D348" s="23"/>
      <c r="E348" s="23"/>
      <c r="F348" s="23"/>
      <c r="G348" s="23"/>
      <c r="H348" s="23"/>
    </row>
    <row r="349" spans="1:8" ht="20.100000000000001" customHeight="1" x14ac:dyDescent="0.25">
      <c r="A349" s="28">
        <f t="shared" si="58"/>
        <v>5</v>
      </c>
      <c r="B349" s="16">
        <f>AF972</f>
        <v>1.1536451669876269</v>
      </c>
      <c r="C349" s="16">
        <f>AF974</f>
        <v>1.2476013492580906</v>
      </c>
      <c r="D349" s="23"/>
      <c r="E349" s="23"/>
      <c r="F349" s="23"/>
      <c r="G349" s="23"/>
      <c r="H349" s="23"/>
    </row>
    <row r="350" spans="1:8" ht="20.100000000000001" customHeight="1" x14ac:dyDescent="0.25">
      <c r="A350" s="28">
        <f t="shared" si="58"/>
        <v>6</v>
      </c>
      <c r="B350" s="16">
        <f>AF998</f>
        <v>1.1536451669876269</v>
      </c>
      <c r="C350" s="16">
        <f>AF1000</f>
        <v>1.2476013492580906</v>
      </c>
      <c r="D350" s="23"/>
      <c r="E350" s="23"/>
      <c r="F350" s="23"/>
      <c r="G350" s="23"/>
      <c r="H350" s="23"/>
    </row>
    <row r="351" spans="1:8" ht="20.100000000000001" customHeight="1" x14ac:dyDescent="0.25">
      <c r="A351" s="28">
        <f t="shared" si="58"/>
        <v>7</v>
      </c>
      <c r="B351" s="16">
        <f>AF1024</f>
        <v>-2.1657061785814169</v>
      </c>
      <c r="C351" s="16">
        <f>AF1026</f>
        <v>-2.5145285744429753</v>
      </c>
      <c r="D351" s="23"/>
      <c r="E351" s="23"/>
      <c r="F351" s="23"/>
      <c r="G351" s="23"/>
      <c r="H351" s="23"/>
    </row>
    <row r="352" spans="1:8" ht="20.100000000000001" customHeight="1" x14ac:dyDescent="0.25">
      <c r="A352" s="28">
        <f t="shared" si="58"/>
        <v>8</v>
      </c>
      <c r="B352" s="16">
        <f>AF1050</f>
        <v>-0.39834414737747081</v>
      </c>
      <c r="C352" s="16">
        <f>AF1052</f>
        <v>-0.5883996251168373</v>
      </c>
      <c r="D352" s="23"/>
      <c r="E352" s="23"/>
      <c r="F352" s="23"/>
      <c r="G352" s="23"/>
      <c r="H352" s="23"/>
    </row>
    <row r="353" spans="1:8" ht="20.100000000000001" customHeight="1" x14ac:dyDescent="0.25">
      <c r="A353" s="28">
        <f t="shared" si="58"/>
        <v>9</v>
      </c>
      <c r="B353" s="16">
        <f>AF1076</f>
        <v>0.38045240846032613</v>
      </c>
      <c r="C353" s="16">
        <f>AF1078</f>
        <v>0.42782979054170522</v>
      </c>
      <c r="D353" s="23"/>
      <c r="E353" s="23"/>
      <c r="F353" s="23"/>
      <c r="G353" s="23"/>
      <c r="H353" s="23"/>
    </row>
    <row r="354" spans="1:8" ht="20.100000000000001" customHeight="1" x14ac:dyDescent="0.25">
      <c r="A354" s="28">
        <f t="shared" si="58"/>
        <v>10</v>
      </c>
      <c r="B354" s="16">
        <f>AF1102</f>
        <v>0.57326155193739825</v>
      </c>
      <c r="C354" s="16">
        <f>AF1104</f>
        <v>0.62796665630268333</v>
      </c>
      <c r="D354" s="23"/>
      <c r="E354" s="23"/>
      <c r="F354" s="23"/>
      <c r="G354" s="23"/>
      <c r="H354" s="23"/>
    </row>
    <row r="355" spans="1:8" ht="20.100000000000001" customHeight="1" x14ac:dyDescent="0.25">
      <c r="A355" s="28">
        <f t="shared" si="58"/>
        <v>11</v>
      </c>
      <c r="B355" s="16">
        <f>AF1128</f>
        <v>0.70775316680735445</v>
      </c>
      <c r="C355" s="16">
        <f>AF1130</f>
        <v>0.76318036000049649</v>
      </c>
      <c r="D355" s="23"/>
      <c r="E355" s="23"/>
      <c r="F355" s="23"/>
      <c r="G355" s="23"/>
      <c r="H355" s="23"/>
    </row>
    <row r="356" spans="1:8" ht="20.100000000000001" customHeight="1" x14ac:dyDescent="0.25">
      <c r="A356" s="28">
        <f t="shared" si="58"/>
        <v>12</v>
      </c>
      <c r="B356" s="16">
        <f>AF1154</f>
        <v>0.57403668024431131</v>
      </c>
      <c r="C356" s="16">
        <f>AF1156</f>
        <v>0.62635494911077461</v>
      </c>
      <c r="D356" s="23"/>
      <c r="E356" s="23"/>
      <c r="F356" s="23"/>
      <c r="G356" s="23"/>
      <c r="H356" s="23"/>
    </row>
    <row r="357" spans="1:8" ht="20.100000000000001" customHeight="1" x14ac:dyDescent="0.25">
      <c r="A357" s="23"/>
      <c r="B357" s="23"/>
      <c r="C357" s="23"/>
      <c r="D357" s="23"/>
      <c r="E357" s="23"/>
      <c r="F357" s="23"/>
      <c r="G357" s="23"/>
      <c r="H357" s="23"/>
    </row>
    <row r="358" spans="1:8" ht="20.100000000000001" customHeight="1" x14ac:dyDescent="0.25">
      <c r="A358" s="23"/>
      <c r="B358" s="23"/>
      <c r="C358" s="23"/>
      <c r="D358" s="23"/>
      <c r="E358" s="23"/>
      <c r="F358" s="23"/>
      <c r="G358" s="23"/>
      <c r="H358" s="23"/>
    </row>
    <row r="359" spans="1:8" ht="20.100000000000001" customHeight="1" x14ac:dyDescent="0.25">
      <c r="A359" s="109" t="s">
        <v>58</v>
      </c>
      <c r="B359" s="109"/>
      <c r="C359" s="109"/>
      <c r="D359" s="109"/>
      <c r="E359" s="109"/>
      <c r="F359" s="109"/>
      <c r="G359" s="68"/>
      <c r="H359" s="68"/>
    </row>
    <row r="361" spans="1:8" ht="20.100000000000001" customHeight="1" x14ac:dyDescent="0.25">
      <c r="A361" s="110" t="s">
        <v>176</v>
      </c>
      <c r="B361" s="110"/>
      <c r="C361" s="110"/>
      <c r="D361" s="110"/>
      <c r="E361" s="110"/>
      <c r="F361" s="110"/>
      <c r="G361" s="110"/>
      <c r="H361" s="110"/>
    </row>
    <row r="362" spans="1:8" ht="20.100000000000001" customHeight="1" x14ac:dyDescent="0.25">
      <c r="A362" s="110"/>
      <c r="B362" s="110"/>
      <c r="C362" s="110"/>
      <c r="D362" s="110"/>
      <c r="E362" s="110"/>
      <c r="F362" s="110"/>
      <c r="G362" s="110"/>
      <c r="H362" s="110"/>
    </row>
    <row r="363" spans="1:8" ht="20.100000000000001" customHeight="1" x14ac:dyDescent="0.25">
      <c r="A363" s="110"/>
      <c r="B363" s="110"/>
      <c r="C363" s="110"/>
      <c r="D363" s="110"/>
      <c r="E363" s="110"/>
      <c r="F363" s="110"/>
      <c r="G363" s="110"/>
      <c r="H363" s="110"/>
    </row>
    <row r="364" spans="1:8" ht="20.100000000000001" customHeight="1" x14ac:dyDescent="0.25">
      <c r="A364" s="110"/>
      <c r="B364" s="110"/>
      <c r="C364" s="110"/>
      <c r="D364" s="110"/>
      <c r="E364" s="110"/>
      <c r="F364" s="110"/>
      <c r="G364" s="110"/>
      <c r="H364" s="110"/>
    </row>
    <row r="367" spans="1:8" ht="20.100000000000001" customHeight="1" x14ac:dyDescent="0.25">
      <c r="D367" s="1"/>
      <c r="E367" s="1"/>
    </row>
    <row r="368" spans="1:8" ht="20.100000000000001" customHeight="1" x14ac:dyDescent="0.25">
      <c r="D368" s="1"/>
      <c r="E368" s="1"/>
    </row>
    <row r="369" spans="4:5" ht="20.100000000000001" customHeight="1" x14ac:dyDescent="0.25">
      <c r="D369" s="1"/>
      <c r="E369" s="1"/>
    </row>
    <row r="370" spans="4:5" ht="20.100000000000001" customHeight="1" x14ac:dyDescent="0.25">
      <c r="D370" s="1"/>
      <c r="E370" s="1"/>
    </row>
    <row r="371" spans="4:5" ht="20.100000000000001" customHeight="1" x14ac:dyDescent="0.25">
      <c r="D371" s="1"/>
      <c r="E371" s="1"/>
    </row>
    <row r="372" spans="4:5" ht="20.100000000000001" customHeight="1" x14ac:dyDescent="0.25">
      <c r="D372" s="1"/>
      <c r="E372" s="1"/>
    </row>
    <row r="373" spans="4:5" ht="20.100000000000001" customHeight="1" x14ac:dyDescent="0.25">
      <c r="D373" s="1"/>
      <c r="E373" s="1"/>
    </row>
    <row r="374" spans="4:5" ht="20.100000000000001" customHeight="1" x14ac:dyDescent="0.25">
      <c r="D374" s="1"/>
      <c r="E374" s="1"/>
    </row>
    <row r="375" spans="4:5" ht="20.100000000000001" customHeight="1" x14ac:dyDescent="0.25">
      <c r="D375" s="1"/>
      <c r="E375" s="1"/>
    </row>
    <row r="376" spans="4:5" ht="20.100000000000001" customHeight="1" x14ac:dyDescent="0.25">
      <c r="D376" s="1"/>
      <c r="E376" s="1"/>
    </row>
    <row r="377" spans="4:5" ht="20.100000000000001" customHeight="1" x14ac:dyDescent="0.25">
      <c r="D377" s="1"/>
      <c r="E377" s="1"/>
    </row>
    <row r="378" spans="4:5" ht="20.100000000000001" customHeight="1" x14ac:dyDescent="0.25">
      <c r="D378" s="1"/>
      <c r="E378" s="1"/>
    </row>
    <row r="379" spans="4:5" ht="20.100000000000001" customHeight="1" x14ac:dyDescent="0.25">
      <c r="D379" s="1"/>
      <c r="E379" s="1"/>
    </row>
    <row r="380" spans="4:5" ht="20.100000000000001" customHeight="1" x14ac:dyDescent="0.25">
      <c r="D380" s="1"/>
      <c r="E380" s="1"/>
    </row>
    <row r="381" spans="4:5" ht="20.100000000000001" customHeight="1" x14ac:dyDescent="0.25">
      <c r="D381" s="1"/>
      <c r="E381" s="1"/>
    </row>
    <row r="382" spans="4:5" ht="20.100000000000001" customHeight="1" x14ac:dyDescent="0.25">
      <c r="D382" s="1"/>
      <c r="E382" s="1"/>
    </row>
    <row r="383" spans="4:5" ht="20.100000000000001" customHeight="1" x14ac:dyDescent="0.25">
      <c r="D383" s="1"/>
      <c r="E383" s="1"/>
    </row>
    <row r="385" spans="1:8" ht="20.100000000000001" customHeight="1" x14ac:dyDescent="0.25">
      <c r="D385" s="1"/>
      <c r="E385" s="1"/>
    </row>
    <row r="386" spans="1:8" ht="20.100000000000001" customHeight="1" x14ac:dyDescent="0.25">
      <c r="D386" s="1"/>
      <c r="E386" s="1"/>
    </row>
    <row r="387" spans="1:8" ht="20.100000000000001" customHeight="1" x14ac:dyDescent="0.25">
      <c r="D387" s="1"/>
      <c r="E387" s="1"/>
    </row>
    <row r="388" spans="1:8" ht="20.100000000000001" customHeight="1" x14ac:dyDescent="0.25">
      <c r="A388" s="101" t="s">
        <v>59</v>
      </c>
      <c r="B388" s="101"/>
      <c r="C388" s="101"/>
      <c r="D388" s="101"/>
      <c r="E388" s="101"/>
      <c r="F388" s="101"/>
      <c r="G388" s="101"/>
      <c r="H388" s="101"/>
    </row>
    <row r="391" spans="1:8" ht="20.100000000000001" customHeight="1" x14ac:dyDescent="0.25">
      <c r="A391" s="109" t="s">
        <v>258</v>
      </c>
      <c r="B391" s="109"/>
      <c r="C391" s="109"/>
      <c r="D391" s="109"/>
      <c r="E391" s="109"/>
      <c r="F391" s="109"/>
      <c r="G391" s="68"/>
      <c r="H391" s="68"/>
    </row>
    <row r="393" spans="1:8" ht="20.100000000000001" customHeight="1" x14ac:dyDescent="0.25">
      <c r="A393" s="101" t="s">
        <v>175</v>
      </c>
      <c r="B393" s="101"/>
      <c r="C393" s="101"/>
      <c r="D393" s="101"/>
      <c r="E393" s="101"/>
      <c r="F393" s="101"/>
      <c r="G393" s="101"/>
      <c r="H393" s="101"/>
    </row>
    <row r="414" spans="1:8" ht="20.100000000000001" customHeight="1" x14ac:dyDescent="0.25">
      <c r="A414" s="101" t="s">
        <v>236</v>
      </c>
      <c r="B414" s="101"/>
      <c r="C414" s="101"/>
      <c r="D414" s="101"/>
      <c r="E414" s="101"/>
      <c r="F414" s="101"/>
      <c r="G414" s="101"/>
      <c r="H414" s="101"/>
    </row>
    <row r="415" spans="1:8" ht="20.100000000000001" customHeight="1" x14ac:dyDescent="0.25">
      <c r="A415" s="101" t="s">
        <v>237</v>
      </c>
      <c r="B415" s="101"/>
      <c r="C415" s="101"/>
      <c r="D415" s="101"/>
      <c r="E415" s="101"/>
      <c r="F415" s="101"/>
      <c r="G415" s="101"/>
      <c r="H415" s="101"/>
    </row>
    <row r="417" spans="1:8" ht="20.100000000000001" customHeight="1" x14ac:dyDescent="0.25">
      <c r="A417" s="13" t="s">
        <v>12</v>
      </c>
      <c r="B417" s="43">
        <f>AP691</f>
        <v>0.6838519228236497</v>
      </c>
    </row>
    <row r="418" spans="1:8" ht="20.100000000000001" customHeight="1" x14ac:dyDescent="0.25">
      <c r="A418" s="13" t="s">
        <v>238</v>
      </c>
      <c r="B418" s="43">
        <f>AO689</f>
        <v>0.13144813558082658</v>
      </c>
    </row>
    <row r="420" spans="1:8" ht="20.100000000000001" customHeight="1" x14ac:dyDescent="0.25">
      <c r="A420" s="101" t="s">
        <v>239</v>
      </c>
      <c r="B420" s="101"/>
      <c r="C420" s="101"/>
      <c r="D420" s="101"/>
      <c r="E420" s="101"/>
      <c r="F420" s="101"/>
      <c r="G420" s="101"/>
      <c r="H420" s="101"/>
    </row>
    <row r="421" spans="1:8" ht="20.100000000000001" customHeight="1" x14ac:dyDescent="0.25">
      <c r="A421" s="101" t="s">
        <v>240</v>
      </c>
      <c r="B421" s="101"/>
      <c r="C421" s="101"/>
      <c r="D421" s="101"/>
      <c r="E421" s="101"/>
      <c r="F421" s="101"/>
      <c r="G421" s="101"/>
      <c r="H421" s="101"/>
    </row>
    <row r="423" spans="1:8" ht="20.100000000000001" customHeight="1" x14ac:dyDescent="0.25">
      <c r="A423" s="1"/>
      <c r="B423" s="1"/>
      <c r="C423" s="1"/>
      <c r="D423" s="1"/>
      <c r="E423" s="1"/>
      <c r="F423" s="1"/>
    </row>
    <row r="424" spans="1:8" ht="20.100000000000001" customHeight="1" x14ac:dyDescent="0.25">
      <c r="A424" s="109" t="s">
        <v>257</v>
      </c>
      <c r="B424" s="109"/>
      <c r="C424" s="109"/>
      <c r="D424" s="109"/>
      <c r="E424" s="109"/>
      <c r="F424" s="109"/>
      <c r="G424" s="68"/>
      <c r="H424" s="68"/>
    </row>
    <row r="426" spans="1:8" ht="20.100000000000001" customHeight="1" x14ac:dyDescent="0.25">
      <c r="A426" s="110" t="s">
        <v>62</v>
      </c>
      <c r="B426" s="110"/>
      <c r="C426" s="110"/>
      <c r="D426" s="110"/>
      <c r="E426" s="110"/>
      <c r="F426" s="110"/>
      <c r="G426" s="110"/>
      <c r="H426" s="110"/>
    </row>
    <row r="427" spans="1:8" ht="20.100000000000001" customHeight="1" x14ac:dyDescent="0.25">
      <c r="A427" s="110"/>
      <c r="B427" s="110"/>
      <c r="C427" s="110"/>
      <c r="D427" s="110"/>
      <c r="E427" s="110"/>
      <c r="F427" s="110"/>
      <c r="G427" s="110"/>
      <c r="H427" s="110"/>
    </row>
    <row r="428" spans="1:8" ht="20.100000000000001" customHeight="1" x14ac:dyDescent="0.25">
      <c r="A428" s="110"/>
      <c r="B428" s="110"/>
      <c r="C428" s="110"/>
      <c r="D428" s="110"/>
      <c r="E428" s="110"/>
      <c r="F428" s="110"/>
      <c r="G428" s="110"/>
      <c r="H428" s="110"/>
    </row>
    <row r="429" spans="1:8" ht="20.100000000000001" customHeight="1" x14ac:dyDescent="0.25">
      <c r="A429" s="110"/>
      <c r="B429" s="110"/>
      <c r="C429" s="110"/>
      <c r="D429" s="110"/>
      <c r="E429" s="110"/>
      <c r="F429" s="110"/>
      <c r="G429" s="110"/>
      <c r="H429" s="110"/>
    </row>
    <row r="451" spans="1:2" ht="20.100000000000001" customHeight="1" x14ac:dyDescent="0.25">
      <c r="A451" s="13" t="s">
        <v>256</v>
      </c>
      <c r="B451" s="13">
        <f>AE803</f>
        <v>1.5045573049951402</v>
      </c>
    </row>
    <row r="478" spans="1:8" ht="20.100000000000001" customHeight="1" x14ac:dyDescent="0.25">
      <c r="A478" s="110" t="s">
        <v>63</v>
      </c>
      <c r="B478" s="110"/>
      <c r="C478" s="110"/>
      <c r="D478" s="110"/>
      <c r="E478" s="110"/>
      <c r="F478" s="110"/>
      <c r="G478" s="110"/>
      <c r="H478" s="110"/>
    </row>
    <row r="479" spans="1:8" ht="20.100000000000001" customHeight="1" x14ac:dyDescent="0.25">
      <c r="A479" s="110"/>
      <c r="B479" s="110"/>
      <c r="C479" s="110"/>
      <c r="D479" s="110"/>
      <c r="E479" s="110"/>
      <c r="F479" s="110"/>
      <c r="G479" s="110"/>
      <c r="H479" s="110"/>
    </row>
    <row r="482" spans="1:8" ht="20.100000000000001" customHeight="1" x14ac:dyDescent="0.25">
      <c r="A482" s="109" t="s">
        <v>19</v>
      </c>
      <c r="B482" s="109"/>
      <c r="C482" s="109"/>
      <c r="D482" s="109"/>
      <c r="E482" s="109"/>
      <c r="F482" s="109"/>
      <c r="G482" s="109"/>
      <c r="H482" s="109"/>
    </row>
    <row r="484" spans="1:8" ht="20.100000000000001" customHeight="1" x14ac:dyDescent="0.25">
      <c r="A484" s="101" t="s">
        <v>34</v>
      </c>
      <c r="B484" s="101"/>
      <c r="C484" s="101"/>
      <c r="D484" s="101"/>
      <c r="E484" s="101"/>
      <c r="F484" s="101"/>
      <c r="G484" s="101"/>
      <c r="H484" s="101"/>
    </row>
    <row r="485" spans="1:8" ht="20.100000000000001" customHeight="1" x14ac:dyDescent="0.25">
      <c r="A485" s="101" t="s">
        <v>20</v>
      </c>
      <c r="B485" s="101"/>
      <c r="C485" s="101"/>
      <c r="D485" s="101"/>
      <c r="E485" s="101"/>
      <c r="F485" s="101"/>
      <c r="G485" s="101"/>
      <c r="H485" s="101"/>
    </row>
    <row r="486" spans="1:8" ht="20.100000000000001" customHeight="1" x14ac:dyDescent="0.25">
      <c r="A486" s="101" t="s">
        <v>22</v>
      </c>
      <c r="B486" s="101"/>
      <c r="C486" s="101"/>
      <c r="D486" s="101"/>
      <c r="E486" s="101"/>
      <c r="F486" s="101"/>
      <c r="G486" s="101"/>
      <c r="H486" s="101"/>
    </row>
    <row r="488" spans="1:8" ht="20.100000000000001" customHeight="1" x14ac:dyDescent="0.25">
      <c r="B488" s="10" t="str">
        <f t="shared" ref="B488:B500" si="59">A10</f>
        <v>Item</v>
      </c>
      <c r="C488" s="70" t="str">
        <f t="shared" ref="C488:D500" si="60">C10</f>
        <v>Área do terreno</v>
      </c>
      <c r="D488" s="70" t="str">
        <f t="shared" si="60"/>
        <v>Área construída</v>
      </c>
    </row>
    <row r="489" spans="1:8" ht="20.100000000000001" customHeight="1" x14ac:dyDescent="0.25">
      <c r="B489" s="12">
        <f t="shared" si="59"/>
        <v>1</v>
      </c>
      <c r="C489" s="2">
        <f t="shared" si="60"/>
        <v>223.3</v>
      </c>
      <c r="D489" s="2">
        <f t="shared" si="60"/>
        <v>150</v>
      </c>
    </row>
    <row r="490" spans="1:8" ht="20.100000000000001" customHeight="1" x14ac:dyDescent="0.25">
      <c r="B490" s="63">
        <f t="shared" si="59"/>
        <v>2</v>
      </c>
      <c r="C490" s="11">
        <f t="shared" si="60"/>
        <v>223.3</v>
      </c>
      <c r="D490" s="11">
        <f t="shared" si="60"/>
        <v>150</v>
      </c>
    </row>
    <row r="491" spans="1:8" ht="20.100000000000001" customHeight="1" x14ac:dyDescent="0.25">
      <c r="B491" s="12">
        <f t="shared" si="59"/>
        <v>3</v>
      </c>
      <c r="C491" s="2">
        <f t="shared" si="60"/>
        <v>223.3</v>
      </c>
      <c r="D491" s="2">
        <f t="shared" si="60"/>
        <v>100</v>
      </c>
    </row>
    <row r="492" spans="1:8" ht="20.100000000000001" customHeight="1" x14ac:dyDescent="0.25">
      <c r="B492" s="63">
        <f t="shared" si="59"/>
        <v>4</v>
      </c>
      <c r="C492" s="11">
        <f t="shared" si="60"/>
        <v>236.25</v>
      </c>
      <c r="D492" s="11">
        <f t="shared" si="60"/>
        <v>250</v>
      </c>
    </row>
    <row r="493" spans="1:8" ht="20.100000000000001" customHeight="1" x14ac:dyDescent="0.25">
      <c r="B493" s="12">
        <f t="shared" si="59"/>
        <v>5</v>
      </c>
      <c r="C493" s="2">
        <f t="shared" si="60"/>
        <v>236.25</v>
      </c>
      <c r="D493" s="2">
        <f t="shared" si="60"/>
        <v>150</v>
      </c>
    </row>
    <row r="494" spans="1:8" ht="20.100000000000001" customHeight="1" x14ac:dyDescent="0.25">
      <c r="B494" s="63">
        <f t="shared" si="59"/>
        <v>6</v>
      </c>
      <c r="C494" s="11">
        <f t="shared" si="60"/>
        <v>236.25</v>
      </c>
      <c r="D494" s="11">
        <f t="shared" si="60"/>
        <v>150</v>
      </c>
    </row>
    <row r="495" spans="1:8" ht="20.100000000000001" customHeight="1" x14ac:dyDescent="0.25">
      <c r="B495" s="12">
        <f t="shared" si="59"/>
        <v>7</v>
      </c>
      <c r="C495" s="2">
        <f t="shared" si="60"/>
        <v>303.85000000000002</v>
      </c>
      <c r="D495" s="2">
        <f t="shared" si="60"/>
        <v>250</v>
      </c>
    </row>
    <row r="496" spans="1:8" ht="20.100000000000001" customHeight="1" x14ac:dyDescent="0.25">
      <c r="B496" s="63">
        <f t="shared" si="59"/>
        <v>8</v>
      </c>
      <c r="C496" s="11">
        <f t="shared" si="60"/>
        <v>303.85000000000002</v>
      </c>
      <c r="D496" s="11">
        <f t="shared" si="60"/>
        <v>150</v>
      </c>
    </row>
    <row r="497" spans="1:8" ht="20.100000000000001" customHeight="1" x14ac:dyDescent="0.25">
      <c r="B497" s="12">
        <f t="shared" si="59"/>
        <v>9</v>
      </c>
      <c r="C497" s="2">
        <f t="shared" si="60"/>
        <v>284.5</v>
      </c>
      <c r="D497" s="2">
        <f t="shared" si="60"/>
        <v>250</v>
      </c>
    </row>
    <row r="498" spans="1:8" ht="20.100000000000001" customHeight="1" x14ac:dyDescent="0.25">
      <c r="B498" s="63">
        <f t="shared" si="59"/>
        <v>10</v>
      </c>
      <c r="C498" s="11">
        <f t="shared" si="60"/>
        <v>290.39999999999998</v>
      </c>
      <c r="D498" s="11">
        <f t="shared" si="60"/>
        <v>200</v>
      </c>
    </row>
    <row r="499" spans="1:8" ht="20.100000000000001" customHeight="1" x14ac:dyDescent="0.25">
      <c r="B499" s="12">
        <f t="shared" si="59"/>
        <v>11</v>
      </c>
      <c r="C499" s="2">
        <f t="shared" si="60"/>
        <v>284.5</v>
      </c>
      <c r="D499" s="2">
        <f t="shared" si="60"/>
        <v>225</v>
      </c>
    </row>
    <row r="500" spans="1:8" ht="20.100000000000001" customHeight="1" x14ac:dyDescent="0.25">
      <c r="B500" s="64">
        <f t="shared" si="59"/>
        <v>12</v>
      </c>
      <c r="C500" s="65">
        <f t="shared" si="60"/>
        <v>284.5</v>
      </c>
      <c r="D500" s="65">
        <f t="shared" si="60"/>
        <v>235</v>
      </c>
    </row>
    <row r="501" spans="1:8" ht="20.100000000000001" customHeight="1" x14ac:dyDescent="0.25">
      <c r="D501" s="9"/>
    </row>
    <row r="502" spans="1:8" ht="20.100000000000001" customHeight="1" x14ac:dyDescent="0.25">
      <c r="B502" s="2" t="s">
        <v>93</v>
      </c>
      <c r="C502" s="2">
        <f>MIN(C11:C22)</f>
        <v>223.3</v>
      </c>
      <c r="D502" s="2">
        <f>MIN(D11:D22)</f>
        <v>100</v>
      </c>
    </row>
    <row r="503" spans="1:8" ht="20.100000000000001" customHeight="1" x14ac:dyDescent="0.25">
      <c r="B503" s="16" t="s">
        <v>94</v>
      </c>
      <c r="C503" s="16">
        <f>MAX(C11:C22)</f>
        <v>303.85000000000002</v>
      </c>
      <c r="D503" s="16">
        <f>MAX(D11:D22)</f>
        <v>250</v>
      </c>
    </row>
    <row r="505" spans="1:8" ht="20.100000000000001" customHeight="1" x14ac:dyDescent="0.25">
      <c r="A505" s="13" t="s">
        <v>95</v>
      </c>
      <c r="B505" s="2" t="s">
        <v>23</v>
      </c>
      <c r="C505" s="2">
        <f>C502*0.5</f>
        <v>111.65</v>
      </c>
      <c r="D505" s="2">
        <f>D502</f>
        <v>100</v>
      </c>
    </row>
    <row r="506" spans="1:8" ht="20.100000000000001" customHeight="1" x14ac:dyDescent="0.25">
      <c r="B506" s="16" t="s">
        <v>24</v>
      </c>
      <c r="C506" s="16">
        <f>C503*2</f>
        <v>607.70000000000005</v>
      </c>
      <c r="D506" s="16">
        <f>D503</f>
        <v>250</v>
      </c>
    </row>
    <row r="509" spans="1:8" ht="20.100000000000001" customHeight="1" x14ac:dyDescent="0.25">
      <c r="A509" s="102" t="s">
        <v>61</v>
      </c>
      <c r="B509" s="102"/>
      <c r="C509" s="102"/>
      <c r="D509" s="102"/>
      <c r="E509" s="102"/>
      <c r="F509" s="102"/>
      <c r="G509" s="68"/>
      <c r="H509" s="68"/>
    </row>
    <row r="511" spans="1:8" ht="20.100000000000001" customHeight="1" x14ac:dyDescent="0.25">
      <c r="B511" s="13" t="s">
        <v>90</v>
      </c>
      <c r="C511" s="71" t="str">
        <f>C10</f>
        <v>Área do terreno</v>
      </c>
      <c r="D511" s="71" t="str">
        <f>D10</f>
        <v>Área construída</v>
      </c>
    </row>
    <row r="512" spans="1:8" ht="20.100000000000001" customHeight="1" x14ac:dyDescent="0.25">
      <c r="B512" s="16" t="s">
        <v>91</v>
      </c>
      <c r="C512" s="16">
        <f>B39</f>
        <v>360</v>
      </c>
      <c r="D512" s="13">
        <f>B40</f>
        <v>215</v>
      </c>
    </row>
    <row r="513" spans="1:10" ht="20.100000000000001" customHeight="1" x14ac:dyDescent="0.25">
      <c r="B513" s="13" t="s">
        <v>88</v>
      </c>
      <c r="C513" s="31" t="str">
        <f>IF(OR(C512&lt;C502,C512&gt;C503),"Extrapolou","Não extrapolou")</f>
        <v>Extrapolou</v>
      </c>
      <c r="D513" s="31" t="str">
        <f>IF(OR(D512&lt;D502,D512&gt;D503),"Extrapolou","Não extrapolou")</f>
        <v>Não extrapolou</v>
      </c>
    </row>
    <row r="514" spans="1:10" ht="20.100000000000001" customHeight="1" x14ac:dyDescent="0.25">
      <c r="B514" s="16" t="s">
        <v>89</v>
      </c>
      <c r="C514" s="31" t="str">
        <f>IF(OR(C512&lt;C505,C512&gt;C506),"Inadmissível","Admissível")</f>
        <v>Admissível</v>
      </c>
      <c r="D514" s="31" t="str">
        <f>IF(OR(D512&lt;D505,D512&gt;D506),"Inadmissível","Admissível")</f>
        <v>Admissível</v>
      </c>
    </row>
    <row r="516" spans="1:10" ht="20.100000000000001" customHeight="1" x14ac:dyDescent="0.25">
      <c r="F516" s="32"/>
      <c r="J516" s="146" t="s">
        <v>106</v>
      </c>
    </row>
    <row r="517" spans="1:10" ht="20.100000000000001" customHeight="1" x14ac:dyDescent="0.25">
      <c r="A517" s="102" t="s">
        <v>25</v>
      </c>
      <c r="B517" s="102"/>
      <c r="C517" s="102"/>
      <c r="D517" s="102"/>
      <c r="E517" s="102"/>
      <c r="F517" s="102"/>
      <c r="G517" s="68"/>
      <c r="H517" s="68"/>
      <c r="J517" s="146" t="s">
        <v>107</v>
      </c>
    </row>
    <row r="518" spans="1:10" ht="20.100000000000001" customHeight="1" x14ac:dyDescent="0.25">
      <c r="J518" s="146" t="s">
        <v>108</v>
      </c>
    </row>
    <row r="519" spans="1:10" ht="20.100000000000001" customHeight="1" x14ac:dyDescent="0.25">
      <c r="B519" s="46" t="s">
        <v>26</v>
      </c>
      <c r="C519" s="53" t="s">
        <v>91</v>
      </c>
      <c r="D519" s="53" t="s">
        <v>27</v>
      </c>
      <c r="E519" s="53"/>
      <c r="F519" s="53" t="s">
        <v>28</v>
      </c>
      <c r="J519" s="146" t="s">
        <v>109</v>
      </c>
    </row>
    <row r="520" spans="1:10" ht="20.100000000000001" customHeight="1" x14ac:dyDescent="0.25">
      <c r="B520" s="71" t="str">
        <f>C10</f>
        <v>Área do terreno</v>
      </c>
      <c r="C520" s="16">
        <f>B39</f>
        <v>360</v>
      </c>
      <c r="D520" s="16">
        <f>C99</f>
        <v>1129.6112150616755</v>
      </c>
      <c r="E520" s="16"/>
      <c r="F520" s="16">
        <f>C520*D520</f>
        <v>406660.03742220317</v>
      </c>
    </row>
    <row r="521" spans="1:10" ht="20.100000000000001" customHeight="1" x14ac:dyDescent="0.25">
      <c r="B521" s="59" t="str">
        <f>D10</f>
        <v>Área construída</v>
      </c>
      <c r="C521" s="16">
        <f>B40</f>
        <v>215</v>
      </c>
      <c r="D521" s="16">
        <f>C100</f>
        <v>190.05588961395551</v>
      </c>
      <c r="E521" s="16"/>
      <c r="F521" s="16">
        <f>C521*D521</f>
        <v>40862.016267000436</v>
      </c>
    </row>
    <row r="524" spans="1:10" ht="20.100000000000001" customHeight="1" x14ac:dyDescent="0.25">
      <c r="D524" s="108" t="s">
        <v>81</v>
      </c>
      <c r="E524" s="108"/>
      <c r="F524" s="13">
        <f>F520+F521</f>
        <v>447522.05368920357</v>
      </c>
    </row>
    <row r="526" spans="1:10" ht="20.100000000000001" customHeight="1" x14ac:dyDescent="0.25">
      <c r="D526" s="108" t="s">
        <v>5</v>
      </c>
      <c r="E526" s="108"/>
      <c r="F526" s="13">
        <f>C98</f>
        <v>111292.34862714354</v>
      </c>
    </row>
    <row r="528" spans="1:10" ht="20.100000000000001" customHeight="1" x14ac:dyDescent="0.25">
      <c r="D528" s="108" t="s">
        <v>29</v>
      </c>
      <c r="E528" s="108"/>
      <c r="F528" s="13">
        <f>F524+F526</f>
        <v>558814.40231634711</v>
      </c>
    </row>
    <row r="531" spans="1:8" ht="20.100000000000001" customHeight="1" x14ac:dyDescent="0.25">
      <c r="A531" s="102" t="s">
        <v>73</v>
      </c>
      <c r="B531" s="102"/>
      <c r="C531" s="102"/>
      <c r="D531" s="102"/>
      <c r="E531" s="102"/>
      <c r="F531" s="102"/>
      <c r="G531" s="68"/>
      <c r="H531" s="68"/>
    </row>
    <row r="533" spans="1:8" ht="20.100000000000001" customHeight="1" x14ac:dyDescent="0.25">
      <c r="A533" s="25" t="s">
        <v>60</v>
      </c>
      <c r="B533" s="25" t="s">
        <v>74</v>
      </c>
      <c r="C533" s="25"/>
      <c r="D533" s="30" t="s">
        <v>75</v>
      </c>
      <c r="E533" s="30" t="s">
        <v>76</v>
      </c>
      <c r="F533" s="30" t="s">
        <v>77</v>
      </c>
    </row>
    <row r="534" spans="1:8" ht="20.100000000000001" customHeight="1" x14ac:dyDescent="0.25">
      <c r="B534" s="2" t="s">
        <v>48</v>
      </c>
      <c r="C534" s="33"/>
      <c r="D534" s="33" t="s">
        <v>78</v>
      </c>
      <c r="E534" s="66">
        <v>0.15</v>
      </c>
      <c r="F534" s="66">
        <v>0.2</v>
      </c>
    </row>
    <row r="535" spans="1:8" ht="20.100000000000001" customHeight="1" x14ac:dyDescent="0.25">
      <c r="B535" s="16" t="s">
        <v>79</v>
      </c>
      <c r="C535" s="16">
        <f>MIN(H11:H22)</f>
        <v>378000</v>
      </c>
      <c r="D535" s="16">
        <f>C535</f>
        <v>378000</v>
      </c>
      <c r="E535" s="16">
        <f>C535</f>
        <v>378000</v>
      </c>
      <c r="F535" s="16">
        <f>C535</f>
        <v>378000</v>
      </c>
    </row>
    <row r="536" spans="1:8" ht="20.100000000000001" customHeight="1" x14ac:dyDescent="0.25">
      <c r="B536" s="16" t="s">
        <v>80</v>
      </c>
      <c r="C536" s="16">
        <f>MAX(H11:H22)</f>
        <v>486000</v>
      </c>
      <c r="D536" s="16">
        <f>C536</f>
        <v>486000</v>
      </c>
      <c r="E536" s="16">
        <f>C536*(1+0.15)</f>
        <v>558900</v>
      </c>
      <c r="F536" s="16">
        <f>C536*(1+0.2)</f>
        <v>583200</v>
      </c>
    </row>
    <row r="538" spans="1:8" ht="20.100000000000001" customHeight="1" x14ac:dyDescent="0.25">
      <c r="B538" s="134" t="s">
        <v>29</v>
      </c>
      <c r="C538" s="134"/>
      <c r="D538" s="46" t="str">
        <f>IF(AND($F$528&gt;D535,$F$528&lt;D536),"Admitido","Inadmissível")</f>
        <v>Inadmissível</v>
      </c>
      <c r="E538" s="46" t="str">
        <f>IF(AND($F$528&gt;E535,$F$528&lt;E536),"Admitido","Inadmissível")</f>
        <v>Admitido</v>
      </c>
      <c r="F538" s="46" t="str">
        <f>IF(AND($F$528&gt;F535,$F$528&lt;F536),"Admitido","Inadmissível")</f>
        <v>Admitido</v>
      </c>
    </row>
    <row r="541" spans="1:8" ht="20.100000000000001" customHeight="1" x14ac:dyDescent="0.25">
      <c r="A541" s="102" t="s">
        <v>98</v>
      </c>
      <c r="B541" s="102"/>
      <c r="C541" s="102"/>
      <c r="D541" s="102"/>
      <c r="E541" s="102"/>
      <c r="F541" s="102"/>
      <c r="G541" s="102"/>
      <c r="H541" s="102"/>
    </row>
    <row r="543" spans="1:8" ht="20.100000000000001" customHeight="1" x14ac:dyDescent="0.25">
      <c r="A543" s="137" t="s">
        <v>35</v>
      </c>
      <c r="B543" s="137"/>
      <c r="C543" s="137" t="s">
        <v>52</v>
      </c>
      <c r="D543" s="137"/>
      <c r="E543" s="137"/>
    </row>
    <row r="544" spans="1:8" ht="20.100000000000001" customHeight="1" x14ac:dyDescent="0.25">
      <c r="A544" s="137"/>
      <c r="B544" s="137"/>
      <c r="C544" s="34" t="s">
        <v>53</v>
      </c>
      <c r="D544" s="34" t="s">
        <v>54</v>
      </c>
      <c r="E544" s="34" t="s">
        <v>55</v>
      </c>
    </row>
    <row r="546" spans="1:8" ht="20.100000000000001" customHeight="1" x14ac:dyDescent="0.25">
      <c r="A546" s="114" t="s">
        <v>99</v>
      </c>
      <c r="B546" s="114"/>
      <c r="C546" s="138" t="s">
        <v>100</v>
      </c>
      <c r="D546" s="138" t="s">
        <v>101</v>
      </c>
      <c r="E546" s="138" t="s">
        <v>102</v>
      </c>
    </row>
    <row r="547" spans="1:8" ht="20.100000000000001" customHeight="1" x14ac:dyDescent="0.25">
      <c r="A547" s="114"/>
      <c r="B547" s="114"/>
      <c r="C547" s="138"/>
      <c r="D547" s="138"/>
      <c r="E547" s="138"/>
    </row>
    <row r="550" spans="1:8" ht="20.100000000000001" customHeight="1" x14ac:dyDescent="0.25">
      <c r="A550" s="13" t="s">
        <v>69</v>
      </c>
      <c r="B550" s="26">
        <v>0.8</v>
      </c>
      <c r="D550" s="13" t="s">
        <v>25</v>
      </c>
      <c r="E550" s="13">
        <f>F528</f>
        <v>558814.40231634711</v>
      </c>
    </row>
    <row r="551" spans="1:8" ht="20.100000000000001" customHeight="1" x14ac:dyDescent="0.25">
      <c r="A551" s="16" t="s">
        <v>13</v>
      </c>
      <c r="B551" s="18">
        <f>B94</f>
        <v>9</v>
      </c>
    </row>
    <row r="552" spans="1:8" ht="20.100000000000001" customHeight="1" x14ac:dyDescent="0.25">
      <c r="A552" s="16" t="s">
        <v>103</v>
      </c>
      <c r="B552" s="35">
        <f>_xlfn.T.INV.2T(1-B550,B551)</f>
        <v>1.3830287383966327</v>
      </c>
      <c r="D552" s="13" t="s">
        <v>23</v>
      </c>
      <c r="E552" s="13">
        <f>E550-B556</f>
        <v>537702.54954698787</v>
      </c>
    </row>
    <row r="553" spans="1:8" ht="20.100000000000001" customHeight="1" x14ac:dyDescent="0.25">
      <c r="A553" s="8"/>
      <c r="D553" s="13" t="s">
        <v>24</v>
      </c>
      <c r="E553" s="13">
        <f>E550+B556</f>
        <v>579926.25508570636</v>
      </c>
    </row>
    <row r="554" spans="1:8" ht="20.100000000000001" customHeight="1" x14ac:dyDescent="0.25">
      <c r="A554" s="13" t="s">
        <v>1</v>
      </c>
      <c r="B554" s="13">
        <f>B87</f>
        <v>14584.971092283824</v>
      </c>
    </row>
    <row r="555" spans="1:8" ht="20.100000000000001" customHeight="1" x14ac:dyDescent="0.25">
      <c r="A555" s="13" t="s">
        <v>110</v>
      </c>
      <c r="B555" s="13">
        <f>V646*B554</f>
        <v>15264.941489093409</v>
      </c>
      <c r="D555" s="13" t="s">
        <v>105</v>
      </c>
      <c r="E555" s="26">
        <f>(E553-E552)/E550</f>
        <v>7.5559444000900117E-2</v>
      </c>
    </row>
    <row r="556" spans="1:8" ht="20.100000000000001" customHeight="1" x14ac:dyDescent="0.25">
      <c r="A556" s="16" t="s">
        <v>104</v>
      </c>
      <c r="B556" s="16">
        <f>B552*B555</f>
        <v>21111.852769359273</v>
      </c>
      <c r="G556" s="48"/>
    </row>
    <row r="559" spans="1:8" ht="20.100000000000001" customHeight="1" x14ac:dyDescent="0.25">
      <c r="A559" s="110" t="str" cm="1">
        <f t="array" ref="A559">_xlfn.IFS(E555&lt;0.3,J516,AND(E555&gt;0.3,E555&lt;0.4),J517,E555&lt;0.5,J518,E555&gt;0.5,J519)</f>
        <v>A amplitude do intervalo de confiança de 80% em torno da estimativa de tendência central é inferior a 30%; portanto, o laudo se enquadra no grau de fundamentação III da NBR 14653-2:2011 (Item 9.2.3, tabela 5).</v>
      </c>
      <c r="B559" s="110"/>
      <c r="C559" s="110"/>
      <c r="D559" s="110"/>
      <c r="E559" s="110"/>
      <c r="F559" s="110"/>
      <c r="G559" s="110"/>
      <c r="H559" s="110"/>
    </row>
    <row r="560" spans="1:8" ht="20.100000000000001" customHeight="1" x14ac:dyDescent="0.25">
      <c r="A560" s="118" t="s">
        <v>120</v>
      </c>
      <c r="B560" s="118"/>
      <c r="C560" s="118"/>
      <c r="D560" s="118"/>
      <c r="E560" s="118"/>
      <c r="F560" s="118"/>
      <c r="G560" s="118"/>
      <c r="H560" s="118"/>
    </row>
    <row r="561" spans="1:22" ht="20.100000000000001" customHeight="1" x14ac:dyDescent="0.25">
      <c r="A561" s="118"/>
      <c r="B561" s="118"/>
      <c r="C561" s="118"/>
      <c r="D561" s="118"/>
      <c r="E561" s="118"/>
      <c r="F561" s="118"/>
      <c r="G561" s="118"/>
      <c r="H561" s="118"/>
    </row>
    <row r="562" spans="1:22" ht="20.100000000000001" customHeight="1" x14ac:dyDescent="0.25">
      <c r="A562" s="118"/>
      <c r="B562" s="118"/>
      <c r="C562" s="118"/>
      <c r="D562" s="118"/>
      <c r="E562" s="118"/>
      <c r="F562" s="118"/>
      <c r="G562" s="118"/>
      <c r="H562" s="118"/>
    </row>
    <row r="563" spans="1:22" ht="20.100000000000001" customHeight="1" x14ac:dyDescent="0.25">
      <c r="G563" s="48"/>
      <c r="H563" s="48"/>
    </row>
    <row r="564" spans="1:22" ht="20.100000000000001" customHeight="1" x14ac:dyDescent="0.25">
      <c r="A564" s="76" t="s">
        <v>74</v>
      </c>
      <c r="B564" s="132" t="s">
        <v>112</v>
      </c>
      <c r="C564" s="132"/>
      <c r="D564" s="132" t="s">
        <v>188</v>
      </c>
      <c r="E564" s="132"/>
      <c r="F564" s="132" t="s">
        <v>113</v>
      </c>
      <c r="G564" s="132"/>
      <c r="H564" s="54"/>
      <c r="I564" s="154"/>
    </row>
    <row r="565" spans="1:22" ht="20.100000000000001" customHeight="1" x14ac:dyDescent="0.25">
      <c r="A565" s="16" t="s">
        <v>114</v>
      </c>
      <c r="B565" s="133">
        <f>E552</f>
        <v>537702.54954698787</v>
      </c>
      <c r="C565" s="133"/>
      <c r="D565" s="133">
        <f>E550*(1-0.15)</f>
        <v>474992.24196889502</v>
      </c>
      <c r="E565" s="133"/>
      <c r="F565" s="133">
        <f>MAX(B565:D565)</f>
        <v>537702.54954698787</v>
      </c>
      <c r="G565" s="133"/>
      <c r="I565" s="154"/>
    </row>
    <row r="566" spans="1:22" ht="20.100000000000001" customHeight="1" x14ac:dyDescent="0.25">
      <c r="A566" s="16" t="s">
        <v>115</v>
      </c>
      <c r="B566" s="133">
        <f>E553</f>
        <v>579926.25508570636</v>
      </c>
      <c r="C566" s="133"/>
      <c r="D566" s="133">
        <f>E550*(1+0.15)</f>
        <v>642636.56266379915</v>
      </c>
      <c r="E566" s="133"/>
      <c r="F566" s="133">
        <f>MIN(B566:D566)</f>
        <v>579926.25508570636</v>
      </c>
      <c r="G566" s="133"/>
      <c r="I566" s="154"/>
    </row>
    <row r="567" spans="1:22" ht="20.100000000000001" customHeight="1" x14ac:dyDescent="0.25">
      <c r="E567" s="22"/>
    </row>
    <row r="568" spans="1:22" ht="20.100000000000001" customHeight="1" x14ac:dyDescent="0.25">
      <c r="B568" s="1"/>
      <c r="D568" s="135">
        <f>E550</f>
        <v>558814.40231634711</v>
      </c>
      <c r="E568" s="135"/>
    </row>
    <row r="569" spans="1:22" ht="20.100000000000001" customHeight="1" x14ac:dyDescent="0.25">
      <c r="B569" s="1"/>
      <c r="D569" s="36"/>
    </row>
    <row r="570" spans="1:22" ht="20.100000000000001" customHeight="1" x14ac:dyDescent="0.25">
      <c r="B570" s="1"/>
      <c r="C570" s="13">
        <f>B565</f>
        <v>537702.54954698787</v>
      </c>
      <c r="D570" s="131" t="s">
        <v>112</v>
      </c>
      <c r="E570" s="131"/>
      <c r="F570" s="31">
        <f>B566</f>
        <v>579926.25508570636</v>
      </c>
    </row>
    <row r="571" spans="1:22" ht="20.100000000000001" customHeight="1" x14ac:dyDescent="0.25">
      <c r="B571" s="1"/>
      <c r="C571" s="53" t="s">
        <v>116</v>
      </c>
      <c r="D571" s="36"/>
      <c r="F571" s="53" t="s">
        <v>117</v>
      </c>
    </row>
    <row r="572" spans="1:22" ht="20.100000000000001" customHeight="1" x14ac:dyDescent="0.25">
      <c r="B572" s="1"/>
      <c r="C572" s="13">
        <f>F565</f>
        <v>537702.54954698787</v>
      </c>
      <c r="D572" s="100" t="s">
        <v>113</v>
      </c>
      <c r="E572" s="100"/>
      <c r="F572" s="31">
        <f>F566</f>
        <v>579926.25508570636</v>
      </c>
    </row>
    <row r="573" spans="1:22" ht="20.100000000000001" customHeight="1" x14ac:dyDescent="0.25">
      <c r="B573" s="1"/>
      <c r="C573" s="53" t="s">
        <v>118</v>
      </c>
      <c r="F573" s="53" t="s">
        <v>119</v>
      </c>
    </row>
    <row r="575" spans="1:22" ht="20.100000000000001" customHeight="1" x14ac:dyDescent="0.25">
      <c r="U575" s="147" t="s">
        <v>150</v>
      </c>
      <c r="V575" s="147" t="s">
        <v>151</v>
      </c>
    </row>
    <row r="576" spans="1:22" ht="20.100000000000001" customHeight="1" x14ac:dyDescent="0.25">
      <c r="U576" s="147">
        <f>B566-B565</f>
        <v>42223.705538718496</v>
      </c>
      <c r="V576" s="147">
        <f>F566-F565</f>
        <v>42223.705538718496</v>
      </c>
    </row>
    <row r="583" spans="1:10" ht="20.100000000000001" customHeight="1" x14ac:dyDescent="0.25">
      <c r="A583" s="134" t="s">
        <v>30</v>
      </c>
      <c r="B583" s="134"/>
      <c r="C583" s="134"/>
      <c r="D583" s="134"/>
      <c r="E583" s="134"/>
      <c r="F583" s="134"/>
      <c r="G583" s="134"/>
      <c r="H583" s="134"/>
    </row>
    <row r="585" spans="1:10" ht="20.100000000000001" customHeight="1" x14ac:dyDescent="0.25">
      <c r="A585" s="119" t="s">
        <v>33</v>
      </c>
      <c r="B585" s="119"/>
      <c r="C585" s="119"/>
      <c r="D585" s="119"/>
      <c r="E585" s="119"/>
      <c r="F585" s="119"/>
    </row>
    <row r="586" spans="1:10" ht="20.100000000000001" customHeight="1" x14ac:dyDescent="0.25">
      <c r="A586" s="22"/>
      <c r="B586" s="22"/>
      <c r="C586" s="22"/>
      <c r="D586" s="22"/>
      <c r="E586" s="22"/>
      <c r="F586" s="22"/>
    </row>
    <row r="587" spans="1:10" ht="20.100000000000001" customHeight="1" x14ac:dyDescent="0.25">
      <c r="C587" s="108" t="s">
        <v>31</v>
      </c>
      <c r="D587" s="108"/>
      <c r="E587" s="108"/>
      <c r="F587" s="37">
        <v>3</v>
      </c>
      <c r="I587" s="165" t="str">
        <f>IF(F589&gt;0.01,"Reduzir o número de casas decimais","")</f>
        <v/>
      </c>
      <c r="J587" s="165"/>
    </row>
    <row r="588" spans="1:10" ht="20.100000000000001" customHeight="1" x14ac:dyDescent="0.25">
      <c r="C588" s="133" t="s">
        <v>83</v>
      </c>
      <c r="D588" s="133"/>
      <c r="E588" s="133"/>
      <c r="F588" s="16">
        <f>F592-F528</f>
        <v>185.59768365288619</v>
      </c>
      <c r="I588" s="147"/>
    </row>
    <row r="589" spans="1:10" ht="20.100000000000001" customHeight="1" x14ac:dyDescent="0.25">
      <c r="C589" s="133" t="s">
        <v>32</v>
      </c>
      <c r="D589" s="133"/>
      <c r="E589" s="133"/>
      <c r="F589" s="20">
        <f>F588/F528</f>
        <v>3.321275952866701E-4</v>
      </c>
    </row>
    <row r="592" spans="1:10" ht="20.100000000000001" customHeight="1" x14ac:dyDescent="0.25">
      <c r="C592" s="134" t="s">
        <v>195</v>
      </c>
      <c r="D592" s="134"/>
      <c r="E592" s="134"/>
      <c r="F592" s="25">
        <f>ROUNDUP(F528,-F587)</f>
        <v>559000</v>
      </c>
    </row>
    <row r="593" spans="1:10" ht="20.100000000000001" customHeight="1" x14ac:dyDescent="0.25">
      <c r="G593" s="52"/>
      <c r="H593" s="52"/>
      <c r="I593" s="155"/>
    </row>
    <row r="597" spans="1:10" ht="20.100000000000001" customHeight="1" x14ac:dyDescent="0.25">
      <c r="A597" s="118" t="s">
        <v>126</v>
      </c>
      <c r="B597" s="118"/>
      <c r="C597" s="118"/>
      <c r="D597" s="118"/>
      <c r="E597" s="118"/>
      <c r="F597" s="118"/>
      <c r="G597" s="118"/>
      <c r="H597" s="118"/>
    </row>
    <row r="598" spans="1:10" ht="20.100000000000001" customHeight="1" x14ac:dyDescent="0.25">
      <c r="A598" s="118" t="s">
        <v>212</v>
      </c>
      <c r="B598" s="118"/>
      <c r="C598" s="118"/>
      <c r="D598" s="118"/>
      <c r="E598" s="118"/>
      <c r="F598" s="118"/>
      <c r="G598" s="118"/>
      <c r="H598" s="118"/>
      <c r="I598" s="166"/>
    </row>
    <row r="599" spans="1:10" ht="20.100000000000001" customHeight="1" x14ac:dyDescent="0.25">
      <c r="A599" s="118" t="s">
        <v>165</v>
      </c>
      <c r="B599" s="118"/>
      <c r="C599" s="118"/>
      <c r="D599" s="118"/>
      <c r="E599" s="118"/>
      <c r="F599" s="118"/>
      <c r="G599" s="118"/>
      <c r="H599" s="118"/>
      <c r="I599" s="167"/>
    </row>
    <row r="600" spans="1:10" ht="20.100000000000001" customHeight="1" x14ac:dyDescent="0.25">
      <c r="A600" s="118" t="s">
        <v>156</v>
      </c>
      <c r="B600" s="118"/>
      <c r="C600" s="118"/>
      <c r="D600" s="118"/>
      <c r="E600" s="118"/>
      <c r="F600" s="118"/>
      <c r="G600" s="118"/>
      <c r="H600" s="118"/>
      <c r="I600" s="167"/>
    </row>
    <row r="601" spans="1:10" ht="20.100000000000001" customHeight="1" x14ac:dyDescent="0.25">
      <c r="A601" s="118" t="s">
        <v>127</v>
      </c>
      <c r="B601" s="118"/>
      <c r="C601" s="118"/>
      <c r="D601" s="118"/>
      <c r="E601" s="118"/>
      <c r="F601" s="118"/>
      <c r="G601" s="118"/>
      <c r="H601" s="118"/>
      <c r="I601" s="167"/>
    </row>
    <row r="602" spans="1:10" ht="20.100000000000001" customHeight="1" x14ac:dyDescent="0.25">
      <c r="A602" s="118" t="s">
        <v>128</v>
      </c>
      <c r="B602" s="118"/>
      <c r="C602" s="118"/>
      <c r="D602" s="118"/>
      <c r="E602" s="118"/>
      <c r="F602" s="118"/>
      <c r="G602" s="118"/>
      <c r="H602" s="118"/>
      <c r="I602" s="167"/>
    </row>
    <row r="603" spans="1:10" ht="20.100000000000001" customHeight="1" x14ac:dyDescent="0.25">
      <c r="A603" s="118" t="s">
        <v>157</v>
      </c>
      <c r="B603" s="118"/>
      <c r="C603" s="118"/>
      <c r="D603" s="118"/>
      <c r="E603" s="118"/>
      <c r="F603" s="118"/>
      <c r="G603" s="118"/>
      <c r="H603" s="118"/>
      <c r="I603" s="167"/>
    </row>
    <row r="604" spans="1:10" ht="20.100000000000001" customHeight="1" x14ac:dyDescent="0.25">
      <c r="A604" s="118" t="s">
        <v>166</v>
      </c>
      <c r="B604" s="118"/>
      <c r="C604" s="118"/>
      <c r="D604" s="118"/>
      <c r="E604" s="118"/>
      <c r="F604" s="118"/>
      <c r="G604" s="118"/>
      <c r="H604" s="118"/>
      <c r="I604" s="167"/>
    </row>
    <row r="605" spans="1:10" ht="20.100000000000001" customHeight="1" x14ac:dyDescent="0.25">
      <c r="A605" s="118" t="s">
        <v>196</v>
      </c>
      <c r="B605" s="118"/>
      <c r="C605" s="118"/>
      <c r="D605" s="118"/>
      <c r="E605" s="118"/>
      <c r="F605" s="118"/>
      <c r="G605" s="118"/>
      <c r="H605" s="118"/>
      <c r="I605" s="167"/>
    </row>
    <row r="606" spans="1:10" ht="20.100000000000001" customHeight="1" x14ac:dyDescent="0.25">
      <c r="A606" s="118" t="s">
        <v>129</v>
      </c>
      <c r="B606" s="118"/>
      <c r="C606" s="118"/>
      <c r="D606" s="118"/>
      <c r="E606" s="118"/>
      <c r="F606" s="118"/>
      <c r="G606" s="118"/>
      <c r="H606" s="118"/>
      <c r="I606" s="167"/>
    </row>
    <row r="607" spans="1:10" ht="20.100000000000001" customHeight="1" x14ac:dyDescent="0.25">
      <c r="A607" s="118" t="s">
        <v>213</v>
      </c>
      <c r="B607" s="118"/>
      <c r="C607" s="118"/>
      <c r="D607" s="118"/>
      <c r="E607" s="118"/>
      <c r="F607" s="118"/>
      <c r="G607" s="118"/>
      <c r="H607" s="118"/>
      <c r="I607" s="167"/>
      <c r="J607" s="147" t="str">
        <f>IF(G304&gt;1,"Ponto influenciante","")</f>
        <v/>
      </c>
    </row>
    <row r="608" spans="1:10" ht="20.100000000000001" customHeight="1" x14ac:dyDescent="0.25">
      <c r="J608" s="147" t="str">
        <f>IF(G305&gt;1,"Ponto influenciante","")</f>
        <v/>
      </c>
    </row>
    <row r="610" spans="10:72" ht="20.100000000000001" customHeight="1" x14ac:dyDescent="0.25">
      <c r="J610" s="147" t="str">
        <f>IF(G307&gt;1,"Ponto influenciante","")</f>
        <v/>
      </c>
    </row>
    <row r="613" spans="10:72" ht="20.100000000000001" customHeight="1" x14ac:dyDescent="0.25">
      <c r="U613" s="147">
        <v>1</v>
      </c>
      <c r="V613" s="147">
        <f t="shared" ref="V613:V624" si="61">C11</f>
        <v>223.3</v>
      </c>
      <c r="W613" s="147">
        <f t="shared" ref="W613:W624" si="62">D11</f>
        <v>150</v>
      </c>
      <c r="Y613" s="147">
        <f t="shared" ref="Y613:Y624" si="63">H11</f>
        <v>378000</v>
      </c>
      <c r="AA613" s="147" cm="1">
        <f t="array" ref="AA613:AL615">TRANSPOSE(U613:W624)</f>
        <v>1</v>
      </c>
      <c r="AB613" s="147">
        <v>1</v>
      </c>
      <c r="AC613" s="147">
        <v>1</v>
      </c>
      <c r="AD613" s="147">
        <v>1</v>
      </c>
      <c r="AE613" s="147">
        <v>1</v>
      </c>
      <c r="AF613" s="147">
        <v>1</v>
      </c>
      <c r="AG613" s="147">
        <v>1</v>
      </c>
      <c r="AH613" s="147">
        <v>1</v>
      </c>
      <c r="AI613" s="147">
        <v>1</v>
      </c>
      <c r="AJ613" s="147">
        <v>1</v>
      </c>
      <c r="AK613" s="147">
        <v>1</v>
      </c>
      <c r="AL613" s="147">
        <v>1</v>
      </c>
      <c r="AT613" s="147" t="s">
        <v>215</v>
      </c>
      <c r="AU613" s="147" t="str">
        <f t="shared" ref="AU613:AU625" si="64">C10</f>
        <v>Área do terreno</v>
      </c>
      <c r="AV613" s="152" t="str">
        <f t="shared" ref="AV613:AV625" si="65">D10</f>
        <v>Área construída</v>
      </c>
      <c r="AX613" s="147" t="s">
        <v>216</v>
      </c>
      <c r="AZ613" s="147" t="s">
        <v>2</v>
      </c>
      <c r="BA613" s="147" t="s">
        <v>3</v>
      </c>
      <c r="BB613" s="147" t="s">
        <v>4</v>
      </c>
      <c r="BD613" s="147" t="s">
        <v>222</v>
      </c>
      <c r="BE613" s="147" t="s">
        <v>224</v>
      </c>
      <c r="BF613" s="147" t="s">
        <v>223</v>
      </c>
      <c r="BH613" s="147" t="s">
        <v>215</v>
      </c>
      <c r="BI613" s="147" t="str">
        <f t="shared" ref="BI613:BI625" si="66">D10</f>
        <v>Área construída</v>
      </c>
      <c r="BJ613" s="152" t="str">
        <f t="shared" ref="BJ613:BJ625" si="67">C10</f>
        <v>Área do terreno</v>
      </c>
      <c r="BL613" s="147" t="s">
        <v>216</v>
      </c>
      <c r="BN613" s="147" t="s">
        <v>2</v>
      </c>
      <c r="BO613" s="147" t="s">
        <v>3</v>
      </c>
      <c r="BP613" s="147" t="s">
        <v>4</v>
      </c>
      <c r="BR613" s="147" t="s">
        <v>222</v>
      </c>
      <c r="BS613" s="147" t="s">
        <v>224</v>
      </c>
      <c r="BT613" s="147" t="s">
        <v>223</v>
      </c>
    </row>
    <row r="614" spans="10:72" ht="20.100000000000001" customHeight="1" x14ac:dyDescent="0.25">
      <c r="U614" s="147">
        <v>1</v>
      </c>
      <c r="V614" s="147">
        <f t="shared" si="61"/>
        <v>223.3</v>
      </c>
      <c r="W614" s="147">
        <f t="shared" si="62"/>
        <v>150</v>
      </c>
      <c r="Y614" s="147">
        <f t="shared" si="63"/>
        <v>378000</v>
      </c>
      <c r="AA614" s="147">
        <v>223.3</v>
      </c>
      <c r="AB614" s="147">
        <v>223.3</v>
      </c>
      <c r="AC614" s="147">
        <v>223.3</v>
      </c>
      <c r="AD614" s="147">
        <v>236.25</v>
      </c>
      <c r="AE614" s="147">
        <v>236.25</v>
      </c>
      <c r="AF614" s="147">
        <v>236.25</v>
      </c>
      <c r="AG614" s="147">
        <v>303.85000000000002</v>
      </c>
      <c r="AH614" s="147">
        <v>303.85000000000002</v>
      </c>
      <c r="AI614" s="147">
        <v>284.5</v>
      </c>
      <c r="AJ614" s="147">
        <v>290.39999999999998</v>
      </c>
      <c r="AK614" s="147">
        <v>284.5</v>
      </c>
      <c r="AL614" s="147">
        <v>284.5</v>
      </c>
      <c r="AT614" s="147">
        <v>1</v>
      </c>
      <c r="AU614" s="147">
        <f t="shared" si="64"/>
        <v>223.3</v>
      </c>
      <c r="AV614" s="152">
        <f t="shared" si="65"/>
        <v>150</v>
      </c>
      <c r="AX614" s="147" cm="1">
        <f t="array" ref="AX614:AX625">MMULT(AT614:AU625,MMULT((MINVERSE(MMULT(TRANSPOSE(AT614:AU625),AT614:AU625))),MMULT(TRANSPOSE(AT614:AU625),AV614:AV625)))</f>
        <v>153.68881435711748</v>
      </c>
      <c r="AZ614" s="147">
        <f t="shared" ref="AZ614:AZ625" si="68">AX614-(AVERAGE($AX$614:$AX$625))</f>
        <v>-34.64451897621646</v>
      </c>
      <c r="BA614" s="147">
        <f>AV614-AX614</f>
        <v>-3.6888143571174794</v>
      </c>
      <c r="BB614" s="147">
        <f t="shared" ref="BB614:BB625" si="69">AV614-(AVERAGE($AV$614:$AV$625))</f>
        <v>-38.333333333333343</v>
      </c>
      <c r="BD614" s="147">
        <f>SUMSQ(AZ614:AZ625)</f>
        <v>10463.313558766131</v>
      </c>
      <c r="BE614" s="147">
        <f>SUMSQ(BA614:BA625)</f>
        <v>19753.353107900613</v>
      </c>
      <c r="BF614" s="147">
        <f>SUMSQ(BB614:BB625)</f>
        <v>30216.666666666668</v>
      </c>
      <c r="BH614" s="147">
        <v>1</v>
      </c>
      <c r="BI614" s="147">
        <f t="shared" si="66"/>
        <v>150</v>
      </c>
      <c r="BJ614" s="152">
        <f t="shared" si="67"/>
        <v>223.3</v>
      </c>
      <c r="BL614" s="147" cm="1">
        <f t="array" ref="BL614:BL625">MMULT(BH614:BI625,MMULT((MINVERSE(MMULT(TRANSPOSE(BH614:BI625),BH614:BI625))),MMULT(TRANSPOSE(BH614:BI625),BJ614:BJ625)))</f>
        <v>246.46542333149483</v>
      </c>
      <c r="BN614" s="147">
        <f t="shared" ref="BN614:BN625" si="70">BL614-(AVERAGE($AX$614:$AX$625))</f>
        <v>58.132089998160893</v>
      </c>
      <c r="BO614" s="147">
        <f>BJ614-BL614</f>
        <v>-23.165423331494821</v>
      </c>
      <c r="BP614" s="147">
        <f t="shared" ref="BP614:BP625" si="71">BJ614-(AVERAGE($AV$614:$AV$625))</f>
        <v>34.966666666666669</v>
      </c>
      <c r="BR614" s="147">
        <f>SUMSQ(BN614:BN625)</f>
        <v>67368.602842318331</v>
      </c>
      <c r="BS614" s="147">
        <f>SUMSQ(BO614:BO625)</f>
        <v>8037.3096576806411</v>
      </c>
      <c r="BT614" s="147">
        <f>SUMSQ(BP614:BP625)</f>
        <v>75405.912500000006</v>
      </c>
    </row>
    <row r="615" spans="10:72" ht="20.100000000000001" customHeight="1" x14ac:dyDescent="0.25">
      <c r="U615" s="147">
        <v>1</v>
      </c>
      <c r="V615" s="147">
        <f t="shared" si="61"/>
        <v>223.3</v>
      </c>
      <c r="W615" s="147">
        <f t="shared" si="62"/>
        <v>100</v>
      </c>
      <c r="Y615" s="147">
        <f t="shared" si="63"/>
        <v>378000</v>
      </c>
      <c r="AA615" s="147">
        <v>150</v>
      </c>
      <c r="AB615" s="147">
        <v>150</v>
      </c>
      <c r="AC615" s="147">
        <v>100</v>
      </c>
      <c r="AD615" s="147">
        <v>250</v>
      </c>
      <c r="AE615" s="147">
        <v>150</v>
      </c>
      <c r="AF615" s="147">
        <v>150</v>
      </c>
      <c r="AG615" s="147">
        <v>250</v>
      </c>
      <c r="AH615" s="147">
        <v>150</v>
      </c>
      <c r="AI615" s="147">
        <v>250</v>
      </c>
      <c r="AJ615" s="147">
        <v>200</v>
      </c>
      <c r="AK615" s="147">
        <v>225</v>
      </c>
      <c r="AL615" s="147">
        <v>235</v>
      </c>
      <c r="AT615" s="147">
        <v>1</v>
      </c>
      <c r="AU615" s="147">
        <f t="shared" si="64"/>
        <v>223.3</v>
      </c>
      <c r="AV615" s="152">
        <f t="shared" si="65"/>
        <v>150</v>
      </c>
      <c r="AX615" s="147">
        <v>153.68881435711748</v>
      </c>
      <c r="AZ615" s="147">
        <f t="shared" si="68"/>
        <v>-34.64451897621646</v>
      </c>
      <c r="BA615" s="147">
        <f t="shared" ref="BA615:BA625" si="72">AV615-AX615</f>
        <v>-3.6888143571174794</v>
      </c>
      <c r="BB615" s="147">
        <f t="shared" si="69"/>
        <v>-38.333333333333343</v>
      </c>
      <c r="BH615" s="147">
        <v>1</v>
      </c>
      <c r="BI615" s="147">
        <f t="shared" si="66"/>
        <v>150</v>
      </c>
      <c r="BJ615" s="152">
        <f t="shared" si="67"/>
        <v>223.3</v>
      </c>
      <c r="BL615" s="147">
        <v>246.46542333149483</v>
      </c>
      <c r="BN615" s="147">
        <f t="shared" si="70"/>
        <v>58.132089998160893</v>
      </c>
      <c r="BO615" s="147">
        <f t="shared" ref="BO615:BO625" si="73">BJ615-BL615</f>
        <v>-23.165423331494821</v>
      </c>
      <c r="BP615" s="147">
        <f t="shared" si="71"/>
        <v>34.966666666666669</v>
      </c>
    </row>
    <row r="616" spans="10:72" ht="20.100000000000001" customHeight="1" x14ac:dyDescent="0.25">
      <c r="U616" s="147">
        <v>1</v>
      </c>
      <c r="V616" s="147">
        <f t="shared" si="61"/>
        <v>236.25</v>
      </c>
      <c r="W616" s="147">
        <f t="shared" si="62"/>
        <v>250</v>
      </c>
      <c r="Y616" s="147">
        <f t="shared" si="63"/>
        <v>423000</v>
      </c>
      <c r="AT616" s="147">
        <v>1</v>
      </c>
      <c r="AU616" s="147">
        <f t="shared" si="64"/>
        <v>223.3</v>
      </c>
      <c r="AV616" s="152">
        <f t="shared" si="65"/>
        <v>100</v>
      </c>
      <c r="AX616" s="147">
        <v>153.68881435711748</v>
      </c>
      <c r="AZ616" s="147">
        <f t="shared" si="68"/>
        <v>-34.64451897621646</v>
      </c>
      <c r="BA616" s="147">
        <f t="shared" si="72"/>
        <v>-53.688814357117479</v>
      </c>
      <c r="BB616" s="147">
        <f t="shared" si="69"/>
        <v>-88.333333333333343</v>
      </c>
      <c r="BD616" s="152" t="s">
        <v>6</v>
      </c>
      <c r="BE616" s="147">
        <f>BD614/BF614</f>
        <v>0.34627623470820068</v>
      </c>
      <c r="BH616" s="147">
        <v>1</v>
      </c>
      <c r="BI616" s="147">
        <f t="shared" si="66"/>
        <v>100</v>
      </c>
      <c r="BJ616" s="152">
        <f t="shared" si="67"/>
        <v>223.3</v>
      </c>
      <c r="BL616" s="147">
        <v>227.69749724214023</v>
      </c>
      <c r="BN616" s="147">
        <f t="shared" si="70"/>
        <v>39.36416390880629</v>
      </c>
      <c r="BO616" s="147">
        <f t="shared" si="73"/>
        <v>-4.3974972421402185</v>
      </c>
      <c r="BP616" s="147">
        <f t="shared" si="71"/>
        <v>34.966666666666669</v>
      </c>
      <c r="BR616" s="152" t="s">
        <v>6</v>
      </c>
      <c r="BS616" s="147">
        <f>BR614/BT614</f>
        <v>0.89341273925063003</v>
      </c>
    </row>
    <row r="617" spans="10:72" ht="20.100000000000001" customHeight="1" x14ac:dyDescent="0.25">
      <c r="U617" s="147">
        <v>1</v>
      </c>
      <c r="V617" s="147">
        <f t="shared" si="61"/>
        <v>236.25</v>
      </c>
      <c r="W617" s="147">
        <f t="shared" si="62"/>
        <v>150</v>
      </c>
      <c r="Y617" s="147">
        <f t="shared" si="63"/>
        <v>423000</v>
      </c>
      <c r="AT617" s="147">
        <v>1</v>
      </c>
      <c r="AU617" s="147">
        <f t="shared" si="64"/>
        <v>236.25</v>
      </c>
      <c r="AV617" s="152">
        <f t="shared" si="65"/>
        <v>250</v>
      </c>
      <c r="AX617" s="147">
        <v>165.63546530331527</v>
      </c>
      <c r="AZ617" s="147">
        <f t="shared" si="68"/>
        <v>-22.697868030018668</v>
      </c>
      <c r="BA617" s="147">
        <f t="shared" si="72"/>
        <v>84.364534696684728</v>
      </c>
      <c r="BB617" s="147">
        <f t="shared" si="69"/>
        <v>61.666666666666657</v>
      </c>
      <c r="BD617" s="152"/>
      <c r="BH617" s="147">
        <v>1</v>
      </c>
      <c r="BI617" s="147">
        <f t="shared" si="66"/>
        <v>250</v>
      </c>
      <c r="BJ617" s="152">
        <f t="shared" si="67"/>
        <v>236.25</v>
      </c>
      <c r="BL617" s="147">
        <v>284.00127551020404</v>
      </c>
      <c r="BN617" s="147">
        <f t="shared" si="70"/>
        <v>95.667942176870099</v>
      </c>
      <c r="BO617" s="147">
        <f t="shared" si="73"/>
        <v>-47.751275510204039</v>
      </c>
      <c r="BP617" s="147">
        <f t="shared" si="71"/>
        <v>47.916666666666657</v>
      </c>
      <c r="BR617" s="152"/>
    </row>
    <row r="618" spans="10:72" ht="20.100000000000001" customHeight="1" x14ac:dyDescent="0.25">
      <c r="U618" s="147">
        <v>1</v>
      </c>
      <c r="V618" s="147">
        <f t="shared" si="61"/>
        <v>236.25</v>
      </c>
      <c r="W618" s="147">
        <f t="shared" si="62"/>
        <v>150</v>
      </c>
      <c r="Y618" s="147">
        <f t="shared" si="63"/>
        <v>423000</v>
      </c>
      <c r="AA618" s="147" cm="1">
        <f t="array" ref="AA618:AC620">MMULT(AA613:AL615,U613:W624)</f>
        <v>12</v>
      </c>
      <c r="AB618" s="147">
        <v>3130.25</v>
      </c>
      <c r="AC618" s="147">
        <v>2260</v>
      </c>
      <c r="AT618" s="147">
        <v>1</v>
      </c>
      <c r="AU618" s="147">
        <f t="shared" si="64"/>
        <v>236.25</v>
      </c>
      <c r="AV618" s="152">
        <f t="shared" si="65"/>
        <v>150</v>
      </c>
      <c r="AX618" s="147">
        <v>165.63546530331527</v>
      </c>
      <c r="AZ618" s="147">
        <f t="shared" si="68"/>
        <v>-22.697868030018668</v>
      </c>
      <c r="BA618" s="147">
        <f t="shared" si="72"/>
        <v>-15.635465303315272</v>
      </c>
      <c r="BB618" s="147">
        <f t="shared" si="69"/>
        <v>-38.333333333333343</v>
      </c>
      <c r="BD618" s="152" t="s">
        <v>225</v>
      </c>
      <c r="BE618" s="147">
        <f>1/(1-BE616)</f>
        <v>1.5296980974121923</v>
      </c>
      <c r="BH618" s="147">
        <v>1</v>
      </c>
      <c r="BI618" s="147">
        <f t="shared" si="66"/>
        <v>150</v>
      </c>
      <c r="BJ618" s="152">
        <f t="shared" si="67"/>
        <v>236.25</v>
      </c>
      <c r="BL618" s="147">
        <v>246.46542333149483</v>
      </c>
      <c r="BN618" s="147">
        <f t="shared" si="70"/>
        <v>58.132089998160893</v>
      </c>
      <c r="BO618" s="147">
        <f t="shared" si="73"/>
        <v>-10.215423331494833</v>
      </c>
      <c r="BP618" s="147">
        <f t="shared" si="71"/>
        <v>47.916666666666657</v>
      </c>
      <c r="BR618" s="152" t="s">
        <v>225</v>
      </c>
      <c r="BS618" s="147">
        <f>1/(1-BS616)</f>
        <v>9.3819842349772635</v>
      </c>
    </row>
    <row r="619" spans="10:72" ht="20.100000000000001" customHeight="1" x14ac:dyDescent="0.25">
      <c r="U619" s="147">
        <v>1</v>
      </c>
      <c r="V619" s="147">
        <f t="shared" si="61"/>
        <v>303.85000000000002</v>
      </c>
      <c r="W619" s="147">
        <f t="shared" si="62"/>
        <v>250</v>
      </c>
      <c r="Y619" s="147">
        <f t="shared" si="63"/>
        <v>477000</v>
      </c>
      <c r="AA619" s="147">
        <v>3130.25</v>
      </c>
      <c r="AB619" s="147">
        <v>828833.41250000009</v>
      </c>
      <c r="AC619" s="147">
        <v>600872.5</v>
      </c>
      <c r="AT619" s="147">
        <v>1</v>
      </c>
      <c r="AU619" s="147">
        <f t="shared" si="64"/>
        <v>236.25</v>
      </c>
      <c r="AV619" s="152">
        <f t="shared" si="65"/>
        <v>150</v>
      </c>
      <c r="AX619" s="147">
        <v>165.63546530331527</v>
      </c>
      <c r="AZ619" s="147">
        <f t="shared" si="68"/>
        <v>-22.697868030018668</v>
      </c>
      <c r="BA619" s="147">
        <f t="shared" si="72"/>
        <v>-15.635465303315272</v>
      </c>
      <c r="BB619" s="147">
        <f t="shared" si="69"/>
        <v>-38.333333333333343</v>
      </c>
      <c r="BH619" s="147">
        <v>1</v>
      </c>
      <c r="BI619" s="147">
        <f t="shared" si="66"/>
        <v>150</v>
      </c>
      <c r="BJ619" s="152">
        <f t="shared" si="67"/>
        <v>236.25</v>
      </c>
      <c r="BL619" s="147">
        <v>246.46542333149483</v>
      </c>
      <c r="BN619" s="147">
        <f t="shared" si="70"/>
        <v>58.132089998160893</v>
      </c>
      <c r="BO619" s="147">
        <f t="shared" si="73"/>
        <v>-10.215423331494833</v>
      </c>
      <c r="BP619" s="147">
        <f t="shared" si="71"/>
        <v>47.916666666666657</v>
      </c>
    </row>
    <row r="620" spans="10:72" ht="20.100000000000001" customHeight="1" x14ac:dyDescent="0.25">
      <c r="U620" s="147">
        <v>1</v>
      </c>
      <c r="V620" s="147">
        <f t="shared" si="61"/>
        <v>303.85000000000002</v>
      </c>
      <c r="W620" s="147">
        <f t="shared" si="62"/>
        <v>150</v>
      </c>
      <c r="Y620" s="147">
        <f t="shared" si="63"/>
        <v>477000</v>
      </c>
      <c r="AA620" s="147">
        <v>2260</v>
      </c>
      <c r="AB620" s="147">
        <v>600872.5</v>
      </c>
      <c r="AC620" s="147">
        <v>455850</v>
      </c>
      <c r="AT620" s="147">
        <v>1</v>
      </c>
      <c r="AU620" s="147">
        <f t="shared" si="64"/>
        <v>303.85000000000002</v>
      </c>
      <c r="AV620" s="152">
        <f t="shared" si="65"/>
        <v>250</v>
      </c>
      <c r="AX620" s="147">
        <v>227.99790576377637</v>
      </c>
      <c r="AZ620" s="147">
        <f t="shared" si="68"/>
        <v>39.664572430442433</v>
      </c>
      <c r="BA620" s="147">
        <f t="shared" si="72"/>
        <v>22.002094236223627</v>
      </c>
      <c r="BB620" s="147">
        <f t="shared" si="69"/>
        <v>61.666666666666657</v>
      </c>
      <c r="BH620" s="147">
        <v>1</v>
      </c>
      <c r="BI620" s="147">
        <f t="shared" si="66"/>
        <v>250</v>
      </c>
      <c r="BJ620" s="152">
        <f t="shared" si="67"/>
        <v>303.85000000000002</v>
      </c>
      <c r="BL620" s="147">
        <v>284.00127551020404</v>
      </c>
      <c r="BN620" s="147">
        <f t="shared" si="70"/>
        <v>95.667942176870099</v>
      </c>
      <c r="BO620" s="147">
        <f t="shared" si="73"/>
        <v>19.848724489795984</v>
      </c>
      <c r="BP620" s="147">
        <f t="shared" si="71"/>
        <v>115.51666666666668</v>
      </c>
    </row>
    <row r="621" spans="10:72" ht="20.100000000000001" customHeight="1" x14ac:dyDescent="0.25">
      <c r="U621" s="147">
        <v>1</v>
      </c>
      <c r="V621" s="147">
        <f t="shared" si="61"/>
        <v>284.5</v>
      </c>
      <c r="W621" s="147">
        <f t="shared" si="62"/>
        <v>250</v>
      </c>
      <c r="Y621" s="147">
        <f t="shared" si="63"/>
        <v>486000</v>
      </c>
      <c r="AT621" s="147">
        <v>1</v>
      </c>
      <c r="AU621" s="147">
        <f t="shared" si="64"/>
        <v>303.85000000000002</v>
      </c>
      <c r="AV621" s="152">
        <f t="shared" si="65"/>
        <v>150</v>
      </c>
      <c r="AX621" s="147">
        <v>227.99790576377637</v>
      </c>
      <c r="AZ621" s="147">
        <f t="shared" si="68"/>
        <v>39.664572430442433</v>
      </c>
      <c r="BA621" s="147">
        <f t="shared" si="72"/>
        <v>-77.997905763776373</v>
      </c>
      <c r="BB621" s="147">
        <f t="shared" si="69"/>
        <v>-38.333333333333343</v>
      </c>
      <c r="BH621" s="147">
        <v>1</v>
      </c>
      <c r="BI621" s="147">
        <f t="shared" si="66"/>
        <v>150</v>
      </c>
      <c r="BJ621" s="152">
        <f t="shared" si="67"/>
        <v>303.85000000000002</v>
      </c>
      <c r="BL621" s="147">
        <v>246.46542333149483</v>
      </c>
      <c r="BN621" s="147">
        <f t="shared" si="70"/>
        <v>58.132089998160893</v>
      </c>
      <c r="BO621" s="147">
        <f t="shared" si="73"/>
        <v>57.38457666850519</v>
      </c>
      <c r="BP621" s="147">
        <f t="shared" si="71"/>
        <v>115.51666666666668</v>
      </c>
    </row>
    <row r="622" spans="10:72" ht="20.100000000000001" customHeight="1" x14ac:dyDescent="0.25">
      <c r="U622" s="147">
        <v>1</v>
      </c>
      <c r="V622" s="147">
        <f t="shared" si="61"/>
        <v>290.39999999999998</v>
      </c>
      <c r="W622" s="147">
        <f t="shared" si="62"/>
        <v>200</v>
      </c>
      <c r="Y622" s="147">
        <f t="shared" si="63"/>
        <v>486000</v>
      </c>
      <c r="AT622" s="147">
        <v>1</v>
      </c>
      <c r="AU622" s="147">
        <f t="shared" si="64"/>
        <v>284.5</v>
      </c>
      <c r="AV622" s="152">
        <f t="shared" si="65"/>
        <v>250</v>
      </c>
      <c r="AX622" s="147">
        <v>210.14711844262365</v>
      </c>
      <c r="AZ622" s="147">
        <f t="shared" si="68"/>
        <v>21.813785109289711</v>
      </c>
      <c r="BA622" s="147">
        <f t="shared" si="72"/>
        <v>39.85288155737635</v>
      </c>
      <c r="BB622" s="147">
        <f t="shared" si="69"/>
        <v>61.666666666666657</v>
      </c>
      <c r="BH622" s="147">
        <v>1</v>
      </c>
      <c r="BI622" s="147">
        <f t="shared" si="66"/>
        <v>250</v>
      </c>
      <c r="BJ622" s="152">
        <f t="shared" si="67"/>
        <v>284.5</v>
      </c>
      <c r="BL622" s="147">
        <v>284.00127551020404</v>
      </c>
      <c r="BN622" s="147">
        <f t="shared" si="70"/>
        <v>95.667942176870099</v>
      </c>
      <c r="BO622" s="147">
        <f t="shared" si="73"/>
        <v>0.49872448979596129</v>
      </c>
      <c r="BP622" s="147">
        <f t="shared" si="71"/>
        <v>96.166666666666657</v>
      </c>
    </row>
    <row r="623" spans="10:72" ht="20.100000000000001" customHeight="1" x14ac:dyDescent="0.25">
      <c r="U623" s="147">
        <v>1</v>
      </c>
      <c r="V623" s="147">
        <f t="shared" si="61"/>
        <v>284.5</v>
      </c>
      <c r="W623" s="147">
        <f t="shared" si="62"/>
        <v>225</v>
      </c>
      <c r="Y623" s="147">
        <f t="shared" si="63"/>
        <v>486000</v>
      </c>
      <c r="AA623" s="147" cm="1">
        <f t="array" ref="AA623:AC625">MINVERSE(_xlfn.ANCHORARRAY(AA618))</f>
        <v>5.7563688980871701</v>
      </c>
      <c r="AB623" s="147">
        <v>-2.3659862959455023E-2</v>
      </c>
      <c r="AC623" s="147">
        <v>2.6481678105257111E-3</v>
      </c>
      <c r="AT623" s="147">
        <v>1</v>
      </c>
      <c r="AU623" s="147">
        <f t="shared" si="64"/>
        <v>290.39999999999998</v>
      </c>
      <c r="AV623" s="152">
        <f t="shared" si="65"/>
        <v>200</v>
      </c>
      <c r="AX623" s="147">
        <v>215.58999416328521</v>
      </c>
      <c r="AZ623" s="147">
        <f t="shared" si="68"/>
        <v>27.256660829951272</v>
      </c>
      <c r="BA623" s="147">
        <f t="shared" si="72"/>
        <v>-15.589994163285212</v>
      </c>
      <c r="BB623" s="147">
        <f t="shared" si="69"/>
        <v>11.666666666666657</v>
      </c>
      <c r="BH623" s="147">
        <v>1</v>
      </c>
      <c r="BI623" s="147">
        <f t="shared" si="66"/>
        <v>200</v>
      </c>
      <c r="BJ623" s="152">
        <f t="shared" si="67"/>
        <v>290.39999999999998</v>
      </c>
      <c r="BL623" s="147">
        <v>265.23334942084944</v>
      </c>
      <c r="BN623" s="147">
        <f t="shared" si="70"/>
        <v>76.900016087515496</v>
      </c>
      <c r="BO623" s="147">
        <f t="shared" si="73"/>
        <v>25.166650579150541</v>
      </c>
      <c r="BP623" s="147">
        <f t="shared" si="71"/>
        <v>102.06666666666663</v>
      </c>
    </row>
    <row r="624" spans="10:72" ht="20.100000000000001" customHeight="1" x14ac:dyDescent="0.25">
      <c r="U624" s="147">
        <v>1</v>
      </c>
      <c r="V624" s="147">
        <f t="shared" si="61"/>
        <v>284.5</v>
      </c>
      <c r="W624" s="147">
        <f t="shared" si="62"/>
        <v>235</v>
      </c>
      <c r="Y624" s="147">
        <f t="shared" si="63"/>
        <v>486000</v>
      </c>
      <c r="Z624" s="146"/>
      <c r="AA624" s="146">
        <v>-2.3659862959455057E-2</v>
      </c>
      <c r="AB624" s="146">
        <v>1.2441974274866513E-4</v>
      </c>
      <c r="AC624" s="146">
        <v>-4.6702010719269278E-5</v>
      </c>
      <c r="AD624" s="146"/>
      <c r="AE624" s="146"/>
      <c r="AF624" s="146"/>
      <c r="AG624" s="146"/>
      <c r="AH624" s="146"/>
      <c r="AI624" s="146"/>
      <c r="AJ624" s="146"/>
      <c r="AK624" s="146"/>
      <c r="AL624" s="146"/>
      <c r="AM624" s="146"/>
      <c r="AN624" s="146"/>
      <c r="AO624" s="146"/>
      <c r="AP624" s="146"/>
      <c r="AQ624" s="146"/>
      <c r="AR624" s="146"/>
      <c r="AS624" s="146"/>
      <c r="AT624" s="146">
        <v>1</v>
      </c>
      <c r="AU624" s="147">
        <f t="shared" si="64"/>
        <v>284.5</v>
      </c>
      <c r="AV624" s="152">
        <f t="shared" si="65"/>
        <v>225</v>
      </c>
      <c r="AW624" s="146"/>
      <c r="AX624" s="146">
        <v>210.14711844262365</v>
      </c>
      <c r="AY624" s="146"/>
      <c r="AZ624" s="147">
        <f t="shared" si="68"/>
        <v>21.813785109289711</v>
      </c>
      <c r="BA624" s="147">
        <f t="shared" si="72"/>
        <v>14.85288155737635</v>
      </c>
      <c r="BB624" s="147">
        <f t="shared" si="69"/>
        <v>36.666666666666657</v>
      </c>
      <c r="BC624" s="146"/>
      <c r="BD624" s="146"/>
      <c r="BE624" s="146"/>
      <c r="BF624" s="146"/>
      <c r="BG624" s="146"/>
      <c r="BH624" s="146">
        <v>1</v>
      </c>
      <c r="BI624" s="147">
        <f t="shared" si="66"/>
        <v>225</v>
      </c>
      <c r="BJ624" s="152">
        <f t="shared" si="67"/>
        <v>284.5</v>
      </c>
      <c r="BK624" s="146"/>
      <c r="BL624" s="146">
        <v>274.61731246552677</v>
      </c>
      <c r="BM624" s="146"/>
      <c r="BN624" s="147">
        <f t="shared" si="70"/>
        <v>86.283979132192826</v>
      </c>
      <c r="BO624" s="147">
        <f t="shared" si="73"/>
        <v>9.8826875344732343</v>
      </c>
      <c r="BP624" s="147">
        <f t="shared" si="71"/>
        <v>96.166666666666657</v>
      </c>
      <c r="BQ624" s="146"/>
      <c r="BR624" s="146"/>
      <c r="BS624" s="146"/>
      <c r="BT624" s="146"/>
    </row>
    <row r="625" spans="21:190" ht="20.100000000000001" customHeight="1" x14ac:dyDescent="0.25">
      <c r="AA625" s="147">
        <v>2.6481678105257302E-3</v>
      </c>
      <c r="AB625" s="147">
        <v>-4.6702010719269352E-5</v>
      </c>
      <c r="AC625" s="147">
        <v>5.0624316516674397E-5</v>
      </c>
      <c r="AT625" s="147">
        <v>1</v>
      </c>
      <c r="AU625" s="147">
        <f t="shared" si="64"/>
        <v>284.5</v>
      </c>
      <c r="AV625" s="152">
        <f t="shared" si="65"/>
        <v>235</v>
      </c>
      <c r="AX625" s="147">
        <v>210.14711844262365</v>
      </c>
      <c r="AZ625" s="147">
        <f t="shared" si="68"/>
        <v>21.813785109289711</v>
      </c>
      <c r="BA625" s="147">
        <f t="shared" si="72"/>
        <v>24.85288155737635</v>
      </c>
      <c r="BB625" s="147">
        <f t="shared" si="69"/>
        <v>46.666666666666657</v>
      </c>
      <c r="BH625" s="147">
        <v>1</v>
      </c>
      <c r="BI625" s="147">
        <f t="shared" si="66"/>
        <v>235</v>
      </c>
      <c r="BJ625" s="152">
        <f t="shared" si="67"/>
        <v>284.5</v>
      </c>
      <c r="BL625" s="147">
        <v>278.37089768339763</v>
      </c>
      <c r="BN625" s="147">
        <f t="shared" si="70"/>
        <v>90.03756435006369</v>
      </c>
      <c r="BO625" s="147">
        <f t="shared" si="73"/>
        <v>6.1291023166023706</v>
      </c>
      <c r="BP625" s="147">
        <f t="shared" si="71"/>
        <v>96.166666666666657</v>
      </c>
    </row>
    <row r="627" spans="21:190" ht="20.100000000000001" customHeight="1" x14ac:dyDescent="0.25">
      <c r="AA627" s="147" cm="1">
        <f t="array" ref="AA627:AA629">MMULT(_xlfn.ANCHORARRAY(AA613),Y613:Y624)</f>
        <v>5301000</v>
      </c>
      <c r="AC627" s="147" cm="1">
        <f t="array" ref="AC627:AC629">MMULT(_xlfn.ANCHORARRAY(AA623),_xlfn.ANCHORARRAY(AA627))</f>
        <v>111292.34862714354</v>
      </c>
    </row>
    <row r="628" spans="21:190" ht="20.100000000000001" customHeight="1" x14ac:dyDescent="0.25">
      <c r="AA628" s="147">
        <v>1398831750</v>
      </c>
      <c r="AC628" s="147">
        <v>1129.6112150616755</v>
      </c>
    </row>
    <row r="629" spans="21:190" ht="20.100000000000001" customHeight="1" x14ac:dyDescent="0.25">
      <c r="AA629" s="147">
        <v>1016910000</v>
      </c>
      <c r="AC629" s="147">
        <v>190.05588961395551</v>
      </c>
    </row>
    <row r="630" spans="21:190" ht="20.100000000000001" customHeight="1" x14ac:dyDescent="0.25">
      <c r="FF630" s="168"/>
      <c r="FU630" s="168"/>
      <c r="GH630" s="168"/>
    </row>
    <row r="631" spans="21:190" ht="20.100000000000001" customHeight="1" x14ac:dyDescent="0.25">
      <c r="FF631" s="168"/>
      <c r="FU631" s="168"/>
      <c r="GH631" s="168"/>
    </row>
    <row r="632" spans="21:190" ht="20.100000000000001" customHeight="1" x14ac:dyDescent="0.25">
      <c r="FF632" s="168"/>
      <c r="FU632" s="168"/>
      <c r="GH632" s="168"/>
    </row>
    <row r="633" spans="21:190" ht="20.100000000000001" customHeight="1" x14ac:dyDescent="0.25">
      <c r="AA633" s="147" cm="1">
        <f t="array" ref="AA633:AL635">MMULT(_xlfn.ANCHORARRAY(AA623),AA613:AL615)</f>
        <v>0.87034667081972028</v>
      </c>
      <c r="AB633" s="147">
        <v>0.87034667081972028</v>
      </c>
      <c r="AC633" s="147">
        <v>0.73793828029343478</v>
      </c>
      <c r="AD633" s="147">
        <v>0.8287682265473485</v>
      </c>
      <c r="AE633" s="147">
        <v>0.56395144549477738</v>
      </c>
      <c r="AF633" s="147">
        <v>0.56395144549477738</v>
      </c>
      <c r="AG633" s="147">
        <v>-0.77063850951181101</v>
      </c>
      <c r="AH633" s="147">
        <v>-1.0354552905643821</v>
      </c>
      <c r="AI633" s="147">
        <v>-0.31282016124635581</v>
      </c>
      <c r="AJ633" s="147">
        <v>-0.58482174323342595</v>
      </c>
      <c r="AK633" s="147">
        <v>-0.37902435650949851</v>
      </c>
      <c r="AL633" s="147">
        <v>-0.35254267840424147</v>
      </c>
      <c r="FF633" s="168"/>
      <c r="FU633" s="168"/>
      <c r="GH633" s="168"/>
    </row>
    <row r="634" spans="21:190" ht="20.100000000000001" customHeight="1" x14ac:dyDescent="0.25">
      <c r="AA634" s="147">
        <v>-2.8822360115685229E-3</v>
      </c>
      <c r="AB634" s="147">
        <v>-2.8822360115685229E-3</v>
      </c>
      <c r="AC634" s="147">
        <v>-5.4713547560505862E-4</v>
      </c>
      <c r="AD634" s="147">
        <v>-5.9412014149002376E-3</v>
      </c>
      <c r="AE634" s="147">
        <v>-1.2710003429733099E-3</v>
      </c>
      <c r="AF634" s="147">
        <v>-1.2710003429733099E-3</v>
      </c>
      <c r="AG634" s="147">
        <v>2.4695731949095235E-3</v>
      </c>
      <c r="AH634" s="147">
        <v>7.1397742668364511E-3</v>
      </c>
      <c r="AI634" s="147">
        <v>6.2051172722852113E-5</v>
      </c>
      <c r="AJ634" s="147">
        <v>3.1312281909034369E-3</v>
      </c>
      <c r="AK634" s="147">
        <v>1.2296014407045842E-3</v>
      </c>
      <c r="AL634" s="147">
        <v>7.6258133351189174E-4</v>
      </c>
    </row>
    <row r="635" spans="21:190" ht="20.100000000000001" customHeight="1" x14ac:dyDescent="0.25">
      <c r="AA635" s="147">
        <v>-1.8674370558595822E-4</v>
      </c>
      <c r="AB635" s="147">
        <v>-1.8674370558595822E-4</v>
      </c>
      <c r="AC635" s="147">
        <v>-2.7179595314196781E-3</v>
      </c>
      <c r="AD635" s="147">
        <v>4.2708969072669453E-3</v>
      </c>
      <c r="AE635" s="147">
        <v>-7.9153474440049523E-4</v>
      </c>
      <c r="AF635" s="147">
        <v>-7.9153474440049523E-4</v>
      </c>
      <c r="AG635" s="147">
        <v>1.1138409826443353E-3</v>
      </c>
      <c r="AH635" s="147">
        <v>-3.9485906690231052E-3</v>
      </c>
      <c r="AI635" s="147">
        <v>2.017524890062199E-3</v>
      </c>
      <c r="AJ635" s="147">
        <v>-7.8923279901520899E-4</v>
      </c>
      <c r="AK635" s="147">
        <v>7.5191697714533864E-4</v>
      </c>
      <c r="AL635" s="147">
        <v>1.2581601423120817E-3</v>
      </c>
    </row>
    <row r="639" spans="21:190" ht="20.100000000000001" customHeight="1" x14ac:dyDescent="0.25">
      <c r="V639" s="147" cm="1">
        <f t="array" ref="V639:X639">TRANSPOSE(U640:U642)</f>
        <v>1</v>
      </c>
      <c r="W639" s="147">
        <v>360</v>
      </c>
      <c r="X639" s="147">
        <v>215</v>
      </c>
      <c r="AA639" s="147" cm="1">
        <f t="array" ref="AA639:AL650">MMULT(U613:W624,_xlfn.ANCHORARRAY(AA633))</f>
        <v>0.19873181359857539</v>
      </c>
      <c r="AB639" s="147">
        <v>0.19873181359857539</v>
      </c>
      <c r="AC639" s="147">
        <v>0.20806899887787345</v>
      </c>
      <c r="AD639" s="147">
        <v>0.14273248669016725</v>
      </c>
      <c r="AE639" s="147">
        <v>0.16140685724876297</v>
      </c>
      <c r="AF639" s="147">
        <v>0.16140685724876297</v>
      </c>
      <c r="AG639" s="147">
        <v>-5.2106667691864034E-2</v>
      </c>
      <c r="AH639" s="147">
        <v>-3.3432297133268341E-2</v>
      </c>
      <c r="AI639" s="147">
        <v>3.664599131986912E-3</v>
      </c>
      <c r="AJ639" s="147">
        <v>-4.0034080569698177E-3</v>
      </c>
      <c r="AK639" s="147">
        <v>8.3331917716359394E-3</v>
      </c>
      <c r="AL639" s="147">
        <v>6.4657547157762341E-3</v>
      </c>
    </row>
    <row r="640" spans="21:190" ht="20.100000000000001" customHeight="1" x14ac:dyDescent="0.25">
      <c r="U640" s="147">
        <v>1</v>
      </c>
      <c r="AA640" s="147">
        <v>0.19873181359857539</v>
      </c>
      <c r="AB640" s="147">
        <v>0.19873181359857539</v>
      </c>
      <c r="AC640" s="147">
        <v>0.20806899887787345</v>
      </c>
      <c r="AD640" s="147">
        <v>0.14273248669016725</v>
      </c>
      <c r="AE640" s="147">
        <v>0.16140685724876297</v>
      </c>
      <c r="AF640" s="147">
        <v>0.16140685724876297</v>
      </c>
      <c r="AG640" s="147">
        <v>-5.2106667691864034E-2</v>
      </c>
      <c r="AH640" s="147">
        <v>-3.3432297133268341E-2</v>
      </c>
      <c r="AI640" s="147">
        <v>3.664599131986912E-3</v>
      </c>
      <c r="AJ640" s="147">
        <v>-4.0034080569698177E-3</v>
      </c>
      <c r="AK640" s="147">
        <v>8.3331917716359394E-3</v>
      </c>
      <c r="AL640" s="147">
        <v>6.4657547157762341E-3</v>
      </c>
    </row>
    <row r="641" spans="21:44" ht="20.100000000000001" customHeight="1" x14ac:dyDescent="0.25">
      <c r="U641" s="147">
        <f>C520</f>
        <v>360</v>
      </c>
      <c r="AA641" s="147">
        <v>0.20806899887787328</v>
      </c>
      <c r="AB641" s="147">
        <v>0.20806899887787328</v>
      </c>
      <c r="AC641" s="147">
        <v>0.34396697544885735</v>
      </c>
      <c r="AD641" s="147">
        <v>-7.0812358673180031E-2</v>
      </c>
      <c r="AE641" s="147">
        <v>0.20098359446878775</v>
      </c>
      <c r="AF641" s="147">
        <v>0.20098359446878775</v>
      </c>
      <c r="AG641" s="147">
        <v>-0.10779871682408081</v>
      </c>
      <c r="AH641" s="147">
        <v>0.16399723631788687</v>
      </c>
      <c r="AI641" s="147">
        <v>-9.7211645371123034E-2</v>
      </c>
      <c r="AJ641" s="147">
        <v>3.5458231893790632E-2</v>
      </c>
      <c r="AK641" s="147">
        <v>-2.9262657085630986E-2</v>
      </c>
      <c r="AL641" s="147">
        <v>-5.6442252399827864E-2</v>
      </c>
    </row>
    <row r="642" spans="21:44" ht="20.100000000000001" customHeight="1" x14ac:dyDescent="0.25">
      <c r="U642" s="147">
        <f>C521</f>
        <v>215</v>
      </c>
      <c r="V642" s="147" cm="1">
        <f t="array" ref="V642:X642">MMULT(V639:X639,_xlfn.ANCHORARRAY(AA623))</f>
        <v>-2.1918256880536187</v>
      </c>
      <c r="W642" s="147">
        <v>1.1090312125421515E-2</v>
      </c>
      <c r="X642" s="147">
        <v>-3.280327997326235E-3</v>
      </c>
      <c r="AA642" s="147">
        <v>0.14273248669016719</v>
      </c>
      <c r="AB642" s="147">
        <v>0.14273248669016719</v>
      </c>
      <c r="AC642" s="147">
        <v>-7.0812358673179809E-2</v>
      </c>
      <c r="AD642" s="147">
        <v>0.49288361909390377</v>
      </c>
      <c r="AE642" s="147">
        <v>6.5793928367209098E-2</v>
      </c>
      <c r="AF642" s="147">
        <v>6.5793928367209098E-2</v>
      </c>
      <c r="AG642" s="147">
        <v>9.1258403446647818E-2</v>
      </c>
      <c r="AH642" s="147">
        <v>-0.33583128728004674</v>
      </c>
      <c r="AI642" s="147">
        <v>0.20622065082496771</v>
      </c>
      <c r="AJ642" s="147">
        <v>-4.2377282886291223E-2</v>
      </c>
      <c r="AK642" s="147">
        <v>9.9448228143294182E-2</v>
      </c>
      <c r="AL642" s="147">
        <v>0.1421571972159634</v>
      </c>
    </row>
    <row r="643" spans="21:44" ht="20.100000000000001" customHeight="1" x14ac:dyDescent="0.25">
      <c r="AA643" s="147">
        <v>0.16140685724876302</v>
      </c>
      <c r="AB643" s="147">
        <v>0.16140685724876302</v>
      </c>
      <c r="AC643" s="147">
        <v>0.200983594468788</v>
      </c>
      <c r="AD643" s="147">
        <v>6.5793928367209209E-2</v>
      </c>
      <c r="AE643" s="147">
        <v>0.1449474028072586</v>
      </c>
      <c r="AF643" s="147">
        <v>0.1449474028072586</v>
      </c>
      <c r="AG643" s="147">
        <v>-2.0125694817785728E-2</v>
      </c>
      <c r="AH643" s="147">
        <v>5.9027779622263798E-2</v>
      </c>
      <c r="AI643" s="147">
        <v>4.4681618187478178E-3</v>
      </c>
      <c r="AJ643" s="147">
        <v>3.6545997015229689E-2</v>
      </c>
      <c r="AK643" s="147">
        <v>2.4256530428760303E-2</v>
      </c>
      <c r="AL643" s="147">
        <v>1.6341182984755204E-2</v>
      </c>
    </row>
    <row r="644" spans="21:44" ht="20.100000000000001" customHeight="1" x14ac:dyDescent="0.25">
      <c r="V644" s="147" cm="1">
        <f t="array" ref="V644">MMULT(_xlfn.ANCHORARRAY(V642),U640:U642)</f>
        <v>1.0954161576729862</v>
      </c>
      <c r="AA644" s="147">
        <v>0.16140685724876302</v>
      </c>
      <c r="AB644" s="147">
        <v>0.16140685724876302</v>
      </c>
      <c r="AC644" s="147">
        <v>0.200983594468788</v>
      </c>
      <c r="AD644" s="147">
        <v>6.5793928367209209E-2</v>
      </c>
      <c r="AE644" s="147">
        <v>0.1449474028072586</v>
      </c>
      <c r="AF644" s="147">
        <v>0.1449474028072586</v>
      </c>
      <c r="AG644" s="147">
        <v>-2.0125694817785728E-2</v>
      </c>
      <c r="AH644" s="147">
        <v>5.9027779622263798E-2</v>
      </c>
      <c r="AI644" s="147">
        <v>4.4681618187478178E-3</v>
      </c>
      <c r="AJ644" s="147">
        <v>3.6545997015229689E-2</v>
      </c>
      <c r="AK644" s="147">
        <v>2.4256530428760303E-2</v>
      </c>
      <c r="AL644" s="147">
        <v>1.6341182984755204E-2</v>
      </c>
    </row>
    <row r="645" spans="21:44" ht="20.100000000000001" customHeight="1" x14ac:dyDescent="0.25">
      <c r="AA645" s="147">
        <v>-5.2106667691865061E-2</v>
      </c>
      <c r="AB645" s="147">
        <v>-5.2106667691865061E-2</v>
      </c>
      <c r="AC645" s="147">
        <v>-0.10779871682408182</v>
      </c>
      <c r="AD645" s="147">
        <v>9.1258403446647596E-2</v>
      </c>
      <c r="AE645" s="147">
        <v>-2.0125694817786643E-2</v>
      </c>
      <c r="AF645" s="147">
        <v>-2.0125694817786643E-2</v>
      </c>
      <c r="AG645" s="147">
        <v>0.25820155142253165</v>
      </c>
      <c r="AH645" s="147">
        <v>0.14681745315809758</v>
      </c>
      <c r="AI645" s="147">
        <v>0.21041531010103254</v>
      </c>
      <c r="AJ645" s="147">
        <v>0.16929374281878112</v>
      </c>
      <c r="AK645" s="147">
        <v>0.18256928553492413</v>
      </c>
      <c r="AL645" s="147">
        <v>0.19370769536136731</v>
      </c>
    </row>
    <row r="646" spans="21:44" ht="20.100000000000001" customHeight="1" x14ac:dyDescent="0.25">
      <c r="U646" s="147" t="s">
        <v>111</v>
      </c>
      <c r="V646" s="147">
        <f>V644^(1/2)</f>
        <v>1.0466213057610601</v>
      </c>
      <c r="AA646" s="147">
        <v>-3.3432297133269243E-2</v>
      </c>
      <c r="AB646" s="147">
        <v>-3.3432297133269243E-2</v>
      </c>
      <c r="AC646" s="147">
        <v>0.16399723631788599</v>
      </c>
      <c r="AD646" s="147">
        <v>-0.33583128728004696</v>
      </c>
      <c r="AE646" s="147">
        <v>5.9027779622262869E-2</v>
      </c>
      <c r="AF646" s="147">
        <v>5.9027779622262869E-2</v>
      </c>
      <c r="AG646" s="147">
        <v>0.1468174531580981</v>
      </c>
      <c r="AH646" s="147">
        <v>0.54167652006040812</v>
      </c>
      <c r="AI646" s="147">
        <v>8.662821094812645E-3</v>
      </c>
      <c r="AJ646" s="147">
        <v>0.24821702272030205</v>
      </c>
      <c r="AK646" s="147">
        <v>0.10737758782039025</v>
      </c>
      <c r="AL646" s="147">
        <v>6.7891681130159115E-2</v>
      </c>
    </row>
    <row r="647" spans="21:44" ht="20.100000000000001" customHeight="1" x14ac:dyDescent="0.25">
      <c r="U647" s="160"/>
      <c r="V647" s="160"/>
      <c r="W647" s="160"/>
      <c r="X647" s="160"/>
      <c r="Y647" s="160"/>
      <c r="Z647" s="160"/>
      <c r="AA647" s="160">
        <v>3.6645991319859683E-3</v>
      </c>
      <c r="AB647" s="160">
        <v>3.6645991319859683E-3</v>
      </c>
      <c r="AC647" s="160">
        <v>-9.7211645371123923E-2</v>
      </c>
      <c r="AD647" s="160">
        <v>0.20622065082496721</v>
      </c>
      <c r="AE647" s="160">
        <v>4.4681618187469296E-3</v>
      </c>
      <c r="AF647" s="160">
        <v>4.4681618187469296E-3</v>
      </c>
      <c r="AG647" s="160">
        <v>0.21041531010103232</v>
      </c>
      <c r="AH647" s="160">
        <v>8.6628210948117568E-3</v>
      </c>
      <c r="AI647" s="160">
        <v>0.20921461990884532</v>
      </c>
      <c r="AJ647" s="160">
        <v>0.10870447732479965</v>
      </c>
      <c r="AK647" s="160">
        <v>0.15877649765729041</v>
      </c>
      <c r="AL647" s="160">
        <v>0.17895174655791218</v>
      </c>
      <c r="AM647" s="160"/>
      <c r="AN647" s="160"/>
      <c r="AO647" s="160"/>
      <c r="AP647" s="160"/>
      <c r="AQ647" s="160"/>
      <c r="AR647" s="160"/>
    </row>
    <row r="648" spans="21:44" ht="20.100000000000001" customHeight="1" x14ac:dyDescent="0.25">
      <c r="U648" s="160"/>
      <c r="V648" s="160"/>
      <c r="W648" s="160"/>
      <c r="X648" s="160"/>
      <c r="Y648" s="160"/>
      <c r="Z648" s="160"/>
      <c r="AA648" s="160">
        <v>-4.0034080569703936E-3</v>
      </c>
      <c r="AB648" s="160">
        <v>-4.0034080569703936E-3</v>
      </c>
      <c r="AC648" s="160">
        <v>3.545823189379016E-2</v>
      </c>
      <c r="AD648" s="160">
        <v>-4.2377282886291279E-2</v>
      </c>
      <c r="AE648" s="160">
        <v>3.6545997015229148E-2</v>
      </c>
      <c r="AF648" s="160">
        <v>3.6545997015229148E-2</v>
      </c>
      <c r="AG648" s="160">
        <v>0.16929374281878165</v>
      </c>
      <c r="AH648" s="160">
        <v>0.24821702272030222</v>
      </c>
      <c r="AI648" s="160">
        <v>0.10870447732480021</v>
      </c>
      <c r="AJ648" s="160">
        <v>0.16664036360189022</v>
      </c>
      <c r="AK648" s="160">
        <v>0.12843529730018047</v>
      </c>
      <c r="AL648" s="160">
        <v>0.1205429693100282</v>
      </c>
      <c r="AM648" s="160"/>
      <c r="AN648" s="160"/>
      <c r="AO648" s="160"/>
      <c r="AP648" s="160"/>
      <c r="AQ648" s="160"/>
      <c r="AR648" s="160"/>
    </row>
    <row r="649" spans="21:44" ht="20.100000000000001" customHeight="1" x14ac:dyDescent="0.25">
      <c r="U649" s="160"/>
      <c r="V649" s="160"/>
      <c r="W649" s="160"/>
      <c r="X649" s="160"/>
      <c r="Y649" s="160"/>
      <c r="Z649" s="160"/>
      <c r="AA649" s="160">
        <v>8.3331917716349194E-3</v>
      </c>
      <c r="AB649" s="160">
        <v>8.3331917716349194E-3</v>
      </c>
      <c r="AC649" s="160">
        <v>-2.9262657085632027E-2</v>
      </c>
      <c r="AD649" s="160">
        <v>9.944822814329346E-2</v>
      </c>
      <c r="AE649" s="160">
        <v>2.4256530428759304E-2</v>
      </c>
      <c r="AF649" s="160">
        <v>2.4256530428759304E-2</v>
      </c>
      <c r="AG649" s="160">
        <v>0.18256928553492391</v>
      </c>
      <c r="AH649" s="160">
        <v>0.10737758782038942</v>
      </c>
      <c r="AI649" s="160">
        <v>0.15877649765729035</v>
      </c>
      <c r="AJ649" s="160">
        <v>0.12843529730017988</v>
      </c>
      <c r="AK649" s="160">
        <v>0.13997857322865692</v>
      </c>
      <c r="AL649" s="160">
        <v>0.14749774300011009</v>
      </c>
      <c r="AM649" s="160"/>
      <c r="AN649" s="160"/>
      <c r="AO649" s="160"/>
      <c r="AP649" s="160"/>
      <c r="AQ649" s="160"/>
      <c r="AR649" s="160"/>
    </row>
    <row r="650" spans="21:44" ht="20.100000000000001" customHeight="1" x14ac:dyDescent="0.25">
      <c r="U650" s="160"/>
      <c r="V650" s="160"/>
      <c r="W650" s="160"/>
      <c r="X650" s="160"/>
      <c r="Y650" s="160"/>
      <c r="Z650" s="160"/>
      <c r="AA650" s="160">
        <v>6.4657547157753389E-3</v>
      </c>
      <c r="AB650" s="160">
        <v>6.4657547157753389E-3</v>
      </c>
      <c r="AC650" s="160">
        <v>-5.6442252399828696E-2</v>
      </c>
      <c r="AD650" s="160">
        <v>0.14215719721596287</v>
      </c>
      <c r="AE650" s="160">
        <v>1.6341182984754343E-2</v>
      </c>
      <c r="AF650" s="160">
        <v>1.6341182984754343E-2</v>
      </c>
      <c r="AG650" s="160">
        <v>0.19370769536136728</v>
      </c>
      <c r="AH650" s="160">
        <v>6.789168113015831E-2</v>
      </c>
      <c r="AI650" s="160">
        <v>0.17895174655791235</v>
      </c>
      <c r="AJ650" s="160">
        <v>0.12054296931002781</v>
      </c>
      <c r="AK650" s="160">
        <v>0.14749774300011032</v>
      </c>
      <c r="AL650" s="160">
        <v>0.16007934442323091</v>
      </c>
      <c r="AM650" s="160"/>
      <c r="AN650" s="160"/>
      <c r="AO650" s="160"/>
      <c r="AP650" s="160"/>
      <c r="AQ650" s="160"/>
      <c r="AR650" s="160"/>
    </row>
    <row r="651" spans="21:44" ht="20.100000000000001" customHeight="1" x14ac:dyDescent="0.25">
      <c r="U651" s="160"/>
      <c r="V651" s="160"/>
      <c r="W651" s="160"/>
      <c r="X651" s="160"/>
      <c r="Y651" s="160"/>
      <c r="Z651" s="160"/>
      <c r="AA651" s="160"/>
      <c r="AB651" s="160"/>
      <c r="AC651" s="160"/>
      <c r="AD651" s="160"/>
      <c r="AE651" s="160"/>
      <c r="AF651" s="160"/>
      <c r="AG651" s="160"/>
      <c r="AH651" s="160"/>
      <c r="AI651" s="160"/>
      <c r="AJ651" s="160"/>
      <c r="AK651" s="160"/>
      <c r="AL651" s="160"/>
      <c r="AM651" s="160"/>
      <c r="AN651" s="160"/>
      <c r="AO651" s="160"/>
      <c r="AP651" s="160"/>
      <c r="AQ651" s="160"/>
      <c r="AR651" s="160"/>
    </row>
    <row r="652" spans="21:44" ht="20.100000000000001" customHeight="1" x14ac:dyDescent="0.25">
      <c r="Y652" s="160"/>
      <c r="Z652" s="160"/>
      <c r="AA652" s="160"/>
      <c r="AB652" s="160"/>
      <c r="AC652" s="160"/>
      <c r="AD652" s="160"/>
      <c r="AE652" s="160"/>
      <c r="AF652" s="160"/>
      <c r="AG652" s="160"/>
      <c r="AH652" s="160"/>
      <c r="AI652" s="160"/>
      <c r="AJ652" s="160"/>
      <c r="AK652" s="160"/>
      <c r="AL652" s="160"/>
      <c r="AM652" s="160"/>
      <c r="AN652" s="160"/>
      <c r="AO652" s="160"/>
      <c r="AP652" s="160"/>
      <c r="AQ652" s="160"/>
      <c r="AR652" s="160"/>
    </row>
    <row r="653" spans="21:44" ht="20.100000000000001" customHeight="1" x14ac:dyDescent="0.25">
      <c r="Y653" s="160"/>
      <c r="Z653" s="160"/>
      <c r="AA653" s="160"/>
      <c r="AB653" s="160"/>
      <c r="AC653" s="160"/>
      <c r="AD653" s="160"/>
      <c r="AE653" s="160"/>
      <c r="AF653" s="160"/>
      <c r="AG653" s="160"/>
      <c r="AH653" s="160"/>
      <c r="AI653" s="160"/>
      <c r="AJ653" s="160"/>
      <c r="AK653" s="160"/>
      <c r="AL653" s="160"/>
      <c r="AM653" s="160"/>
      <c r="AN653" s="160"/>
      <c r="AO653" s="160"/>
      <c r="AP653" s="160"/>
      <c r="AQ653" s="160"/>
      <c r="AR653" s="160"/>
    </row>
    <row r="654" spans="21:44" ht="20.100000000000001" customHeight="1" x14ac:dyDescent="0.25">
      <c r="Y654" s="160"/>
      <c r="Z654" s="160"/>
      <c r="AA654" s="160"/>
      <c r="AB654" s="160"/>
      <c r="AC654" s="160"/>
      <c r="AD654" s="160"/>
      <c r="AE654" s="160"/>
      <c r="AF654" s="160"/>
      <c r="AG654" s="160"/>
      <c r="AH654" s="160"/>
      <c r="AI654" s="160"/>
      <c r="AJ654" s="160"/>
      <c r="AK654" s="160"/>
      <c r="AL654" s="160"/>
      <c r="AM654" s="160"/>
      <c r="AN654" s="160"/>
      <c r="AO654" s="160"/>
      <c r="AP654" s="160"/>
      <c r="AQ654" s="160"/>
      <c r="AR654" s="160"/>
    </row>
    <row r="655" spans="21:44" ht="20.100000000000001" customHeight="1" x14ac:dyDescent="0.25">
      <c r="Y655" s="160"/>
      <c r="Z655" s="160"/>
      <c r="AA655" s="160"/>
      <c r="AB655" s="160"/>
      <c r="AC655" s="160"/>
      <c r="AD655" s="160"/>
      <c r="AE655" s="160"/>
      <c r="AF655" s="160"/>
      <c r="AG655" s="160"/>
      <c r="AH655" s="160"/>
      <c r="AI655" s="160"/>
      <c r="AJ655" s="160"/>
      <c r="AK655" s="160"/>
      <c r="AL655" s="160"/>
      <c r="AM655" s="160"/>
      <c r="AN655" s="160"/>
      <c r="AO655" s="160"/>
      <c r="AP655" s="160"/>
      <c r="AQ655" s="160"/>
      <c r="AR655" s="160"/>
    </row>
    <row r="656" spans="21:44" ht="20.100000000000001" customHeight="1" x14ac:dyDescent="0.25">
      <c r="Y656" s="160"/>
      <c r="Z656" s="160"/>
      <c r="AA656" s="160"/>
      <c r="AB656" s="160"/>
      <c r="AC656" s="160"/>
      <c r="AD656" s="160"/>
      <c r="AE656" s="160"/>
      <c r="AF656" s="160"/>
      <c r="AG656" s="160"/>
      <c r="AH656" s="160"/>
      <c r="AI656" s="160"/>
      <c r="AJ656" s="160"/>
      <c r="AK656" s="160"/>
      <c r="AL656" s="160"/>
      <c r="AM656" s="160"/>
      <c r="AN656" s="160"/>
      <c r="AO656" s="160"/>
      <c r="AP656" s="160"/>
      <c r="AQ656" s="160"/>
      <c r="AR656" s="160"/>
    </row>
    <row r="664" spans="25:28" ht="20.100000000000001" customHeight="1" x14ac:dyDescent="0.25">
      <c r="Z664" s="147" t="s">
        <v>189</v>
      </c>
      <c r="AA664" s="147" t="s">
        <v>190</v>
      </c>
      <c r="AB664" s="147" t="s">
        <v>191</v>
      </c>
    </row>
    <row r="665" spans="25:28" ht="20.100000000000001" customHeight="1" x14ac:dyDescent="0.25">
      <c r="Y665" s="169">
        <v>1</v>
      </c>
      <c r="Z665" s="160">
        <f>AA639</f>
        <v>0.19873181359857539</v>
      </c>
      <c r="AA665" s="160">
        <f>($B$83-1)*(Z665 - (1/$B$83))</f>
        <v>1.2693832829176628</v>
      </c>
      <c r="AB665" s="170">
        <f t="shared" ref="AB665:AB676" si="74">(D229^2/($B$85*$D$94))*((Z665/((1-Z665)^2)))</f>
        <v>9.565194743497972E-2</v>
      </c>
    </row>
    <row r="666" spans="25:28" ht="20.100000000000001" customHeight="1" x14ac:dyDescent="0.25">
      <c r="Y666" s="169">
        <v>2</v>
      </c>
      <c r="Z666" s="160">
        <f>AB640</f>
        <v>0.19873181359857539</v>
      </c>
      <c r="AA666" s="160">
        <f t="shared" ref="AA666:AA676" si="75">($B$83-1)*(Z666 - (1/$B$83))</f>
        <v>1.2693832829176628</v>
      </c>
      <c r="AB666" s="170">
        <f t="shared" si="74"/>
        <v>9.565194743497972E-2</v>
      </c>
    </row>
    <row r="667" spans="25:28" ht="20.100000000000001" customHeight="1" x14ac:dyDescent="0.25">
      <c r="Y667" s="169">
        <v>3</v>
      </c>
      <c r="Z667" s="160">
        <f>AC641</f>
        <v>0.34396697544885735</v>
      </c>
      <c r="AA667" s="160">
        <f t="shared" si="75"/>
        <v>2.8669700632707644</v>
      </c>
      <c r="AB667" s="170">
        <f t="shared" si="74"/>
        <v>2.5814752915330627E-2</v>
      </c>
    </row>
    <row r="668" spans="25:28" ht="20.100000000000001" customHeight="1" x14ac:dyDescent="0.25">
      <c r="Y668" s="169">
        <v>4</v>
      </c>
      <c r="Z668" s="160">
        <f>AD642</f>
        <v>0.49288361909390377</v>
      </c>
      <c r="AA668" s="160">
        <f t="shared" si="75"/>
        <v>4.5050531433662746</v>
      </c>
      <c r="AB668" s="170">
        <f t="shared" si="74"/>
        <v>2.1522063347650063E-2</v>
      </c>
    </row>
    <row r="669" spans="25:28" ht="20.100000000000001" customHeight="1" x14ac:dyDescent="0.25">
      <c r="Y669" s="171">
        <v>5</v>
      </c>
      <c r="Z669" s="147">
        <f>AE643</f>
        <v>0.1449474028072586</v>
      </c>
      <c r="AA669" s="160">
        <f t="shared" si="75"/>
        <v>0.67775476421317793</v>
      </c>
      <c r="AB669" s="170">
        <f t="shared" si="74"/>
        <v>8.2830685368785281E-2</v>
      </c>
    </row>
    <row r="670" spans="25:28" ht="20.100000000000001" customHeight="1" x14ac:dyDescent="0.25">
      <c r="Y670" s="171">
        <v>6</v>
      </c>
      <c r="Z670" s="147">
        <f>AF644</f>
        <v>0.1449474028072586</v>
      </c>
      <c r="AA670" s="160">
        <f t="shared" si="75"/>
        <v>0.67775476421317793</v>
      </c>
      <c r="AB670" s="170">
        <f t="shared" si="74"/>
        <v>8.2830685368785281E-2</v>
      </c>
    </row>
    <row r="671" spans="25:28" ht="20.100000000000001" customHeight="1" x14ac:dyDescent="0.25">
      <c r="Y671" s="171">
        <v>7</v>
      </c>
      <c r="Z671" s="147">
        <f>AG645</f>
        <v>0.25820155142253165</v>
      </c>
      <c r="AA671" s="160">
        <f t="shared" si="75"/>
        <v>1.9235503989811817</v>
      </c>
      <c r="AB671" s="170">
        <f t="shared" si="74"/>
        <v>0.46097541963692162</v>
      </c>
    </row>
    <row r="672" spans="25:28" ht="20.100000000000001" customHeight="1" x14ac:dyDescent="0.25">
      <c r="Y672" s="171">
        <v>8</v>
      </c>
      <c r="Z672" s="147">
        <f>AH646</f>
        <v>0.54167652006040812</v>
      </c>
      <c r="AA672" s="160">
        <f t="shared" si="75"/>
        <v>5.0417750539978226</v>
      </c>
      <c r="AB672" s="170">
        <f t="shared" si="74"/>
        <v>0.14707688094862087</v>
      </c>
    </row>
    <row r="673" spans="25:42" ht="20.100000000000001" customHeight="1" x14ac:dyDescent="0.25">
      <c r="Y673" s="171">
        <v>9</v>
      </c>
      <c r="Z673" s="147">
        <f>AI647</f>
        <v>0.20921461990884532</v>
      </c>
      <c r="AA673" s="160">
        <f t="shared" si="75"/>
        <v>1.3846941523306322</v>
      </c>
      <c r="AB673" s="170">
        <f t="shared" si="74"/>
        <v>1.7753423431674634E-2</v>
      </c>
    </row>
    <row r="674" spans="25:42" ht="20.100000000000001" customHeight="1" x14ac:dyDescent="0.25">
      <c r="Y674" s="171">
        <v>10</v>
      </c>
      <c r="Z674" s="147">
        <f>AJ648</f>
        <v>0.16664036360189022</v>
      </c>
      <c r="AA674" s="160">
        <f t="shared" si="75"/>
        <v>0.91637733295412582</v>
      </c>
      <c r="AB674" s="170">
        <f t="shared" si="74"/>
        <v>2.8180941645410042E-2</v>
      </c>
    </row>
    <row r="675" spans="25:42" ht="20.100000000000001" customHeight="1" x14ac:dyDescent="0.25">
      <c r="Y675" s="171">
        <v>11</v>
      </c>
      <c r="Z675" s="147">
        <f>AK649</f>
        <v>0.13997857322865692</v>
      </c>
      <c r="AA675" s="160">
        <f t="shared" si="75"/>
        <v>0.62309763884855951</v>
      </c>
      <c r="AB675" s="170">
        <f t="shared" si="74"/>
        <v>3.3137285169517597E-2</v>
      </c>
    </row>
    <row r="676" spans="25:42" ht="20.100000000000001" customHeight="1" x14ac:dyDescent="0.25">
      <c r="Y676" s="171">
        <v>12</v>
      </c>
      <c r="Z676" s="147">
        <f>AL650</f>
        <v>0.16007934442323091</v>
      </c>
      <c r="AA676" s="160">
        <f t="shared" si="75"/>
        <v>0.84420612198887335</v>
      </c>
      <c r="AB676" s="170">
        <f t="shared" si="74"/>
        <v>2.6728664178916884E-2</v>
      </c>
    </row>
    <row r="677" spans="25:42" ht="20.100000000000001" customHeight="1" x14ac:dyDescent="0.25">
      <c r="Y677" s="169"/>
      <c r="AA677" s="160"/>
      <c r="AB677" s="170"/>
    </row>
    <row r="678" spans="25:42" ht="20.100000000000001" customHeight="1" x14ac:dyDescent="0.25">
      <c r="Y678" s="169"/>
      <c r="AA678" s="160"/>
      <c r="AB678" s="170"/>
    </row>
    <row r="679" spans="25:42" ht="20.100000000000001" customHeight="1" x14ac:dyDescent="0.25">
      <c r="Y679" s="169"/>
      <c r="AA679" s="160"/>
      <c r="AB679" s="170"/>
    </row>
    <row r="680" spans="25:42" ht="20.100000000000001" customHeight="1" x14ac:dyDescent="0.25">
      <c r="Y680" s="169"/>
      <c r="AA680" s="160"/>
      <c r="AB680" s="170"/>
    </row>
    <row r="681" spans="25:42" ht="20.100000000000001" customHeight="1" x14ac:dyDescent="0.25">
      <c r="Y681" s="169"/>
      <c r="AA681" s="160"/>
      <c r="AB681" s="170"/>
    </row>
    <row r="682" spans="25:42" ht="20.100000000000001" customHeight="1" x14ac:dyDescent="0.25">
      <c r="Y682" s="169"/>
      <c r="AA682" s="160"/>
      <c r="AB682" s="170"/>
    </row>
    <row r="685" spans="25:42" ht="20.100000000000001" customHeight="1" x14ac:dyDescent="0.25">
      <c r="Y685" s="152" t="s">
        <v>226</v>
      </c>
    </row>
    <row r="686" spans="25:42" ht="20.100000000000001" customHeight="1" x14ac:dyDescent="0.25">
      <c r="Y686" s="147" t="s">
        <v>227</v>
      </c>
      <c r="Z686" s="147" t="s">
        <v>228</v>
      </c>
      <c r="AB686" s="147" t="s">
        <v>229</v>
      </c>
      <c r="AH686" s="147" t="s">
        <v>227</v>
      </c>
      <c r="AJ686" s="147" t="s">
        <v>230</v>
      </c>
      <c r="AK686" s="147" t="s">
        <v>229</v>
      </c>
      <c r="AL686" s="147" t="s">
        <v>231</v>
      </c>
      <c r="AN686" s="147" t="s">
        <v>232</v>
      </c>
      <c r="AO686" s="147" t="s">
        <v>233</v>
      </c>
      <c r="AP686" s="147" t="s">
        <v>234</v>
      </c>
    </row>
    <row r="687" spans="25:42" ht="20.100000000000001" customHeight="1" x14ac:dyDescent="0.25">
      <c r="Y687" s="172" cm="1">
        <f t="array" ref="Y687:Y698">MMULT(U613:W624,MMULT((MINVERSE(MMULT(TRANSPOSE(U613:W624),U613:W624))),MMULT(TRANSPOSE(U613:W624),H11:H22)))</f>
        <v>392042.91639250901</v>
      </c>
      <c r="Z687" s="172">
        <f t="shared" ref="Z687:Z698" si="76">H11</f>
        <v>378000</v>
      </c>
      <c r="AB687" s="147">
        <f>Z687-Y687</f>
        <v>-14042.916392509011</v>
      </c>
      <c r="AD687" s="147">
        <v>1</v>
      </c>
      <c r="AE687" s="172">
        <f>Y687^2</f>
        <v>153697648293.54382</v>
      </c>
      <c r="AF687" s="172">
        <f>AB687^2</f>
        <v>197203500.80699828</v>
      </c>
      <c r="AH687" s="172" cm="1">
        <f t="array" ref="AH687:AH698">MMULT(AD687:AE698,MMULT((MINVERSE(MMULT(TRANSPOSE(AD687:AE698),AD687:AE698))),MMULT(TRANSPOSE(AD687:AE698),AF687:AF698)))</f>
        <v>134173580.93014044</v>
      </c>
      <c r="AJ687" s="172">
        <f t="shared" ref="AJ687:AJ698" si="77">AH687-AVERAGE($AF$687:$AF$704)</f>
        <v>-25367455.391925663</v>
      </c>
      <c r="AK687" s="172">
        <f>AF687-AH687</f>
        <v>63029919.876857847</v>
      </c>
      <c r="AL687" s="172">
        <f t="shared" ref="AL687:AL698" si="78">AF687-AVERAGE($AF$687:$AF$704)</f>
        <v>37662464.484932184</v>
      </c>
      <c r="AN687" s="172">
        <f>SUMSQ(AJ687:AJ698)</f>
        <v>5775639531183074</v>
      </c>
      <c r="AO687" s="172">
        <f>SUMSQ(AK687:AK698)</f>
        <v>3.2848960208471104E+17</v>
      </c>
      <c r="AP687" s="172">
        <f>SUMSQ(AL687:AL698)</f>
        <v>3.3426524161589395E+17</v>
      </c>
    </row>
    <row r="688" spans="25:42" ht="20.100000000000001" customHeight="1" x14ac:dyDescent="0.25">
      <c r="Y688" s="172">
        <v>392042.91639250901</v>
      </c>
      <c r="Z688" s="172">
        <f t="shared" si="76"/>
        <v>378000</v>
      </c>
      <c r="AB688" s="147">
        <f t="shared" ref="AB688:AB698" si="79">Z688-Y688</f>
        <v>-14042.916392509011</v>
      </c>
      <c r="AD688" s="147">
        <v>1</v>
      </c>
      <c r="AE688" s="172">
        <f t="shared" ref="AE688:AE698" si="80">Y688^2</f>
        <v>153697648293.54382</v>
      </c>
      <c r="AF688" s="172">
        <f t="shared" ref="AF688:AF698" si="81">AB688^2</f>
        <v>197203500.80699828</v>
      </c>
      <c r="AH688" s="172">
        <v>134173580.93014044</v>
      </c>
      <c r="AJ688" s="172">
        <f t="shared" si="77"/>
        <v>-25367455.391925663</v>
      </c>
      <c r="AK688" s="172">
        <f t="shared" ref="AK688:AK698" si="82">AF688-AH688</f>
        <v>63029919.876857847</v>
      </c>
      <c r="AL688" s="172">
        <f t="shared" si="78"/>
        <v>37662464.484932184</v>
      </c>
    </row>
    <row r="689" spans="25:42" ht="20.100000000000001" customHeight="1" x14ac:dyDescent="0.25">
      <c r="Y689" s="172">
        <v>382540.12191181123</v>
      </c>
      <c r="Z689" s="172">
        <f t="shared" si="76"/>
        <v>378000</v>
      </c>
      <c r="AB689" s="147">
        <f t="shared" si="79"/>
        <v>-4540.1219118112349</v>
      </c>
      <c r="AD689" s="147">
        <v>1</v>
      </c>
      <c r="AE689" s="172">
        <f t="shared" si="80"/>
        <v>146336944872.30341</v>
      </c>
      <c r="AF689" s="172">
        <f t="shared" si="81"/>
        <v>20612706.974108502</v>
      </c>
      <c r="AH689" s="172">
        <v>129856258.09961224</v>
      </c>
      <c r="AJ689" s="172">
        <f t="shared" si="77"/>
        <v>-29684778.222453862</v>
      </c>
      <c r="AK689" s="172">
        <f t="shared" si="82"/>
        <v>-109243551.12550373</v>
      </c>
      <c r="AL689" s="172">
        <f t="shared" si="78"/>
        <v>-138928329.34795761</v>
      </c>
      <c r="AN689" s="147" t="s">
        <v>7</v>
      </c>
      <c r="AO689" s="173">
        <f>SQRT(AO690)</f>
        <v>0.13144813558082658</v>
      </c>
    </row>
    <row r="690" spans="25:42" ht="20.100000000000001" customHeight="1" x14ac:dyDescent="0.25">
      <c r="Y690" s="172">
        <v>425676.97058895323</v>
      </c>
      <c r="Z690" s="172">
        <f t="shared" si="76"/>
        <v>423000</v>
      </c>
      <c r="AB690" s="147">
        <f t="shared" si="79"/>
        <v>-2676.9705889532343</v>
      </c>
      <c r="AD690" s="147">
        <v>1</v>
      </c>
      <c r="AE690" s="172">
        <f t="shared" si="80"/>
        <v>181200883289.78854</v>
      </c>
      <c r="AF690" s="172">
        <f t="shared" si="81"/>
        <v>7166171.5341206258</v>
      </c>
      <c r="AH690" s="172">
        <v>150305238.13290542</v>
      </c>
      <c r="AJ690" s="172">
        <f t="shared" si="77"/>
        <v>-9235798.1891606748</v>
      </c>
      <c r="AK690" s="172">
        <f t="shared" si="82"/>
        <v>-143139066.5987848</v>
      </c>
      <c r="AL690" s="172">
        <f t="shared" si="78"/>
        <v>-152374864.78794548</v>
      </c>
      <c r="AN690" s="152" t="s">
        <v>6</v>
      </c>
      <c r="AO690" s="174">
        <f>AN687/AP687</f>
        <v>1.7278612347675363E-2</v>
      </c>
    </row>
    <row r="691" spans="25:42" ht="20.100000000000001" customHeight="1" x14ac:dyDescent="0.25">
      <c r="Y691" s="172">
        <v>406671.38162755768</v>
      </c>
      <c r="Z691" s="172">
        <f t="shared" si="76"/>
        <v>423000</v>
      </c>
      <c r="AB691" s="147">
        <f t="shared" si="79"/>
        <v>16328.618372442317</v>
      </c>
      <c r="AD691" s="147">
        <v>1</v>
      </c>
      <c r="AE691" s="172">
        <f t="shared" si="80"/>
        <v>165381612634.86667</v>
      </c>
      <c r="AF691" s="172">
        <f t="shared" si="81"/>
        <v>266623777.9528608</v>
      </c>
      <c r="AH691" s="172">
        <v>141026655.03394258</v>
      </c>
      <c r="AJ691" s="172">
        <f t="shared" si="77"/>
        <v>-18514381.288123518</v>
      </c>
      <c r="AK691" s="172">
        <f t="shared" si="82"/>
        <v>125597122.91891822</v>
      </c>
      <c r="AL691" s="172">
        <f t="shared" si="78"/>
        <v>107082741.6307947</v>
      </c>
      <c r="AN691" s="152" t="s">
        <v>12</v>
      </c>
      <c r="AP691" s="175">
        <f>_xlfn.T.DIST.2T(ABS(AB712),B83-2)</f>
        <v>0.6838519228236497</v>
      </c>
    </row>
    <row r="692" spans="25:42" ht="20.100000000000001" customHeight="1" x14ac:dyDescent="0.25">
      <c r="Y692" s="172">
        <v>406671.38162755768</v>
      </c>
      <c r="Z692" s="172">
        <f t="shared" si="76"/>
        <v>423000</v>
      </c>
      <c r="AB692" s="147">
        <f t="shared" si="79"/>
        <v>16328.618372442317</v>
      </c>
      <c r="AD692" s="147">
        <v>1</v>
      </c>
      <c r="AE692" s="172">
        <f t="shared" si="80"/>
        <v>165381612634.86667</v>
      </c>
      <c r="AF692" s="172">
        <f t="shared" si="81"/>
        <v>266623777.9528608</v>
      </c>
      <c r="AH692" s="172">
        <v>141026655.03394258</v>
      </c>
      <c r="AJ692" s="172">
        <f t="shared" si="77"/>
        <v>-18514381.288123518</v>
      </c>
      <c r="AK692" s="172">
        <f t="shared" si="82"/>
        <v>125597122.91891822</v>
      </c>
      <c r="AL692" s="172">
        <f t="shared" si="78"/>
        <v>107082741.6307947</v>
      </c>
    </row>
    <row r="693" spans="25:42" ht="20.100000000000001" customHeight="1" x14ac:dyDescent="0.25">
      <c r="Y693" s="172">
        <v>502038.68872712256</v>
      </c>
      <c r="Z693" s="172">
        <f t="shared" si="76"/>
        <v>477000</v>
      </c>
      <c r="AB693" s="147">
        <f t="shared" si="79"/>
        <v>-25038.688727122557</v>
      </c>
      <c r="AD693" s="147">
        <v>1</v>
      </c>
      <c r="AE693" s="172">
        <f t="shared" si="80"/>
        <v>252042844978.84866</v>
      </c>
      <c r="AF693" s="172">
        <f t="shared" si="81"/>
        <v>626935933.17373419</v>
      </c>
      <c r="AH693" s="172">
        <v>191856649.87393749</v>
      </c>
      <c r="AJ693" s="172">
        <f t="shared" si="77"/>
        <v>32315613.551871389</v>
      </c>
      <c r="AK693" s="172">
        <f t="shared" si="82"/>
        <v>435079283.2997967</v>
      </c>
      <c r="AL693" s="172">
        <f t="shared" si="78"/>
        <v>467394896.85166812</v>
      </c>
    </row>
    <row r="694" spans="25:42" ht="20.100000000000001" customHeight="1" x14ac:dyDescent="0.25">
      <c r="Y694" s="172">
        <v>483033.09976572701</v>
      </c>
      <c r="Z694" s="172">
        <f t="shared" si="76"/>
        <v>477000</v>
      </c>
      <c r="AB694" s="147">
        <f t="shared" si="79"/>
        <v>-6033.0997657270054</v>
      </c>
      <c r="AD694" s="147">
        <v>1</v>
      </c>
      <c r="AE694" s="172">
        <f t="shared" si="80"/>
        <v>233320975469.28677</v>
      </c>
      <c r="AF694" s="172">
        <f t="shared" si="81"/>
        <v>36398292.783215247</v>
      </c>
      <c r="AH694" s="172">
        <v>180875585.96765929</v>
      </c>
      <c r="AJ694" s="172">
        <f t="shared" si="77"/>
        <v>21334549.645593196</v>
      </c>
      <c r="AK694" s="172">
        <f t="shared" si="82"/>
        <v>-144477293.18444404</v>
      </c>
      <c r="AL694" s="172">
        <f t="shared" si="78"/>
        <v>-123142743.53885084</v>
      </c>
    </row>
    <row r="695" spans="25:42" ht="20.100000000000001" customHeight="1" x14ac:dyDescent="0.25">
      <c r="Y695" s="172">
        <v>480180.71171567909</v>
      </c>
      <c r="Z695" s="172">
        <f t="shared" si="76"/>
        <v>486000</v>
      </c>
      <c r="AB695" s="147">
        <f t="shared" si="79"/>
        <v>5819.2882843209081</v>
      </c>
      <c r="AD695" s="147">
        <v>1</v>
      </c>
      <c r="AE695" s="172">
        <f t="shared" si="80"/>
        <v>230573515903.77612</v>
      </c>
      <c r="AF695" s="172">
        <f t="shared" si="81"/>
        <v>33864116.136034578</v>
      </c>
      <c r="AH695" s="172">
        <v>179264100.04989991</v>
      </c>
      <c r="AJ695" s="172">
        <f t="shared" si="77"/>
        <v>19723063.727833807</v>
      </c>
      <c r="AK695" s="172">
        <f t="shared" si="82"/>
        <v>-145399983.91386533</v>
      </c>
      <c r="AL695" s="172">
        <f t="shared" si="78"/>
        <v>-125676920.18603152</v>
      </c>
    </row>
    <row r="696" spans="25:42" ht="20.100000000000001" customHeight="1" x14ac:dyDescent="0.25">
      <c r="Y696" s="172">
        <v>477342.62340384518</v>
      </c>
      <c r="Z696" s="172">
        <f t="shared" si="76"/>
        <v>486000</v>
      </c>
      <c r="AB696" s="147">
        <f t="shared" si="79"/>
        <v>8657.3765961548197</v>
      </c>
      <c r="AD696" s="147">
        <v>1</v>
      </c>
      <c r="AE696" s="172">
        <f t="shared" si="80"/>
        <v>227855980118.06516</v>
      </c>
      <c r="AF696" s="172">
        <f t="shared" si="81"/>
        <v>74950169.527649209</v>
      </c>
      <c r="AH696" s="172">
        <v>177670165.5277493</v>
      </c>
      <c r="AJ696" s="172">
        <f t="shared" si="77"/>
        <v>18129129.205683202</v>
      </c>
      <c r="AK696" s="172">
        <f t="shared" si="82"/>
        <v>-102719996.00010009</v>
      </c>
      <c r="AL696" s="172">
        <f t="shared" si="78"/>
        <v>-84590866.79441689</v>
      </c>
    </row>
    <row r="697" spans="25:42" ht="20.100000000000001" customHeight="1" x14ac:dyDescent="0.25">
      <c r="Y697" s="172">
        <v>475429.31447533017</v>
      </c>
      <c r="Z697" s="172">
        <f t="shared" si="76"/>
        <v>486000</v>
      </c>
      <c r="AB697" s="147">
        <f t="shared" si="79"/>
        <v>10570.685524669825</v>
      </c>
      <c r="AD697" s="147">
        <v>1</v>
      </c>
      <c r="AE697" s="172">
        <f t="shared" si="80"/>
        <v>226033033062.48239</v>
      </c>
      <c r="AF697" s="172">
        <f t="shared" si="81"/>
        <v>111739392.46146418</v>
      </c>
      <c r="AH697" s="172">
        <v>176600940.14377296</v>
      </c>
      <c r="AJ697" s="172">
        <f t="shared" si="77"/>
        <v>17059903.821706861</v>
      </c>
      <c r="AK697" s="172">
        <f t="shared" si="82"/>
        <v>-64861547.682308778</v>
      </c>
      <c r="AL697" s="172">
        <f t="shared" si="78"/>
        <v>-47801643.860601917</v>
      </c>
    </row>
    <row r="698" spans="25:42" ht="20.100000000000001" customHeight="1" x14ac:dyDescent="0.25">
      <c r="Y698" s="172">
        <v>477329.87337146979</v>
      </c>
      <c r="Z698" s="172">
        <f t="shared" si="76"/>
        <v>486000</v>
      </c>
      <c r="AB698" s="147">
        <f t="shared" si="79"/>
        <v>8670.1266285302117</v>
      </c>
      <c r="AD698" s="147">
        <v>1</v>
      </c>
      <c r="AE698" s="172">
        <f t="shared" si="80"/>
        <v>227843808012.82339</v>
      </c>
      <c r="AF698" s="172">
        <f t="shared" si="81"/>
        <v>75171095.754748657</v>
      </c>
      <c r="AH698" s="172">
        <v>177663026.14108357</v>
      </c>
      <c r="AJ698" s="172">
        <f t="shared" si="77"/>
        <v>18121989.81901747</v>
      </c>
      <c r="AK698" s="172">
        <f t="shared" si="82"/>
        <v>-102491930.38633491</v>
      </c>
      <c r="AL698" s="172">
        <f t="shared" si="78"/>
        <v>-84369940.567317441</v>
      </c>
    </row>
    <row r="699" spans="25:42" ht="20.100000000000001" customHeight="1" x14ac:dyDescent="0.25">
      <c r="Y699" s="172"/>
      <c r="Z699" s="172"/>
      <c r="AE699" s="172"/>
      <c r="AF699" s="172"/>
      <c r="AH699" s="172"/>
      <c r="AJ699" s="172"/>
      <c r="AK699" s="172"/>
      <c r="AL699" s="172"/>
    </row>
    <row r="700" spans="25:42" ht="20.100000000000001" customHeight="1" x14ac:dyDescent="0.25">
      <c r="Y700" s="172"/>
      <c r="Z700" s="172"/>
      <c r="AE700" s="172"/>
      <c r="AF700" s="172"/>
      <c r="AH700" s="172"/>
      <c r="AJ700" s="172"/>
      <c r="AK700" s="172"/>
      <c r="AL700" s="172"/>
    </row>
    <row r="701" spans="25:42" ht="20.100000000000001" customHeight="1" x14ac:dyDescent="0.25">
      <c r="Y701" s="172"/>
      <c r="Z701" s="172"/>
      <c r="AE701" s="172"/>
      <c r="AF701" s="172"/>
      <c r="AH701" s="172"/>
      <c r="AJ701" s="172"/>
      <c r="AK701" s="172"/>
      <c r="AL701" s="172"/>
    </row>
    <row r="702" spans="25:42" ht="20.100000000000001" customHeight="1" x14ac:dyDescent="0.25">
      <c r="Y702" s="172"/>
      <c r="Z702" s="172"/>
      <c r="AE702" s="172"/>
      <c r="AF702" s="172"/>
      <c r="AH702" s="172"/>
      <c r="AJ702" s="172"/>
      <c r="AK702" s="172"/>
      <c r="AL702" s="172"/>
    </row>
    <row r="703" spans="25:42" ht="20.100000000000001" customHeight="1" x14ac:dyDescent="0.25">
      <c r="Y703" s="176"/>
      <c r="Z703" s="172"/>
      <c r="AA703" s="160"/>
      <c r="AC703" s="160"/>
      <c r="AD703" s="160"/>
      <c r="AE703" s="172"/>
      <c r="AF703" s="172"/>
      <c r="AG703" s="160"/>
      <c r="AH703" s="176"/>
      <c r="AI703" s="160"/>
      <c r="AJ703" s="172"/>
      <c r="AK703" s="172"/>
      <c r="AL703" s="172"/>
    </row>
    <row r="704" spans="25:42" ht="20.100000000000001" customHeight="1" x14ac:dyDescent="0.25">
      <c r="Y704" s="176"/>
      <c r="Z704" s="172"/>
      <c r="AA704" s="160"/>
      <c r="AC704" s="160"/>
      <c r="AD704" s="160"/>
      <c r="AE704" s="172"/>
      <c r="AF704" s="172"/>
      <c r="AG704" s="160"/>
      <c r="AH704" s="176"/>
      <c r="AI704" s="160"/>
      <c r="AJ704" s="172"/>
      <c r="AK704" s="172"/>
      <c r="AL704" s="172"/>
    </row>
    <row r="705" spans="25:38" ht="20.100000000000001" customHeight="1" x14ac:dyDescent="0.25">
      <c r="Y705" s="160"/>
      <c r="Z705" s="160"/>
      <c r="AA705" s="160"/>
      <c r="AB705" s="160"/>
      <c r="AC705" s="160"/>
      <c r="AD705" s="160"/>
      <c r="AE705" s="160"/>
      <c r="AF705" s="160"/>
      <c r="AG705" s="160"/>
      <c r="AH705" s="160"/>
      <c r="AI705" s="160"/>
      <c r="AJ705" s="160"/>
      <c r="AK705" s="160"/>
      <c r="AL705" s="160"/>
    </row>
    <row r="706" spans="25:38" ht="20.100000000000001" customHeight="1" x14ac:dyDescent="0.25">
      <c r="Y706" s="160"/>
      <c r="Z706" s="160"/>
      <c r="AA706" s="160"/>
      <c r="AB706" s="160"/>
      <c r="AC706" s="160"/>
      <c r="AD706" s="160"/>
      <c r="AE706" s="160"/>
      <c r="AF706" s="160"/>
      <c r="AG706" s="160"/>
      <c r="AH706" s="160"/>
      <c r="AI706" s="160"/>
      <c r="AJ706" s="160"/>
      <c r="AK706" s="160"/>
      <c r="AL706" s="160"/>
    </row>
    <row r="707" spans="25:38" ht="20.100000000000001" customHeight="1" x14ac:dyDescent="0.25">
      <c r="Y707" s="160" cm="1">
        <f t="array" ref="Y707:Z708">MINVERSE(MMULT(TRANSPOSE(AD687:AE698),AD687:AE698))</f>
        <v>2.3937483101140002</v>
      </c>
      <c r="Z707" s="160">
        <v>-1.1731138455517323E-11</v>
      </c>
      <c r="AA707" s="160"/>
      <c r="AB707" s="160" t="s">
        <v>1</v>
      </c>
      <c r="AD707" s="160"/>
      <c r="AE707" s="160"/>
      <c r="AF707" s="160"/>
      <c r="AG707" s="160"/>
      <c r="AH707" s="160"/>
      <c r="AI707" s="160"/>
      <c r="AJ707" s="160"/>
      <c r="AK707" s="160"/>
      <c r="AL707" s="160"/>
    </row>
    <row r="708" spans="25:38" ht="20.100000000000001" customHeight="1" x14ac:dyDescent="0.25">
      <c r="Y708" s="160">
        <v>-1.173113845551732E-11</v>
      </c>
      <c r="Z708" s="160">
        <v>5.9564888059320204E-23</v>
      </c>
      <c r="AA708" s="160"/>
      <c r="AB708" s="176">
        <f>(AO687/(B83-2))^(1/2)</f>
        <v>181242821.12257883</v>
      </c>
      <c r="AC708" s="160"/>
      <c r="AD708" s="160"/>
      <c r="AE708" s="160"/>
      <c r="AF708" s="160"/>
      <c r="AG708" s="160"/>
      <c r="AH708" s="160"/>
      <c r="AI708" s="160"/>
      <c r="AJ708" s="160"/>
      <c r="AK708" s="160"/>
      <c r="AL708" s="160"/>
    </row>
    <row r="709" spans="25:38" ht="20.100000000000001" customHeight="1" x14ac:dyDescent="0.25">
      <c r="Y709" s="160"/>
      <c r="Z709" s="160"/>
      <c r="AA709" s="160"/>
      <c r="AB709" s="147" t="s">
        <v>235</v>
      </c>
      <c r="AC709" s="160"/>
      <c r="AD709" s="160"/>
      <c r="AE709" s="160"/>
      <c r="AF709" s="160"/>
      <c r="AG709" s="160"/>
      <c r="AH709" s="160"/>
      <c r="AI709" s="160"/>
      <c r="AJ709" s="160"/>
      <c r="AK709" s="160"/>
      <c r="AL709" s="160"/>
    </row>
    <row r="710" spans="25:38" ht="20.100000000000001" customHeight="1" x14ac:dyDescent="0.25">
      <c r="Y710" s="176" cm="1">
        <f t="array" ref="Y710:Y711">MMULT((MINVERSE(MMULT(TRANSPOSE(AD687:AE698),AD687:AE698))),MMULT(TRANSPOSE(AD687:AE698),AF687:AF698))</f>
        <v>44024266.659251213</v>
      </c>
      <c r="Z710" s="160"/>
      <c r="AA710" s="160"/>
      <c r="AB710" s="176">
        <f>AB708*(SQRT(Z708))</f>
        <v>1.3988011430087714E-3</v>
      </c>
      <c r="AC710" s="160"/>
      <c r="AD710" s="160"/>
      <c r="AE710" s="160"/>
      <c r="AF710" s="160"/>
      <c r="AG710" s="160"/>
      <c r="AH710" s="160"/>
      <c r="AI710" s="160"/>
      <c r="AJ710" s="160"/>
      <c r="AK710" s="160"/>
      <c r="AL710" s="160"/>
    </row>
    <row r="711" spans="25:38" ht="20.100000000000001" customHeight="1" x14ac:dyDescent="0.25">
      <c r="Y711" s="160">
        <v>5.8653671849757255E-4</v>
      </c>
      <c r="Z711" s="160"/>
      <c r="AA711" s="160"/>
      <c r="AB711" s="160" t="s">
        <v>11</v>
      </c>
      <c r="AC711" s="160"/>
      <c r="AD711" s="160"/>
      <c r="AE711" s="160"/>
      <c r="AF711" s="160"/>
      <c r="AG711" s="160"/>
      <c r="AH711" s="160"/>
      <c r="AI711" s="160"/>
      <c r="AJ711" s="160"/>
      <c r="AK711" s="160"/>
      <c r="AL711" s="160"/>
    </row>
    <row r="712" spans="25:38" ht="20.100000000000001" customHeight="1" x14ac:dyDescent="0.25">
      <c r="Y712" s="160"/>
      <c r="Z712" s="160"/>
      <c r="AA712" s="160"/>
      <c r="AB712" s="160">
        <f>Y711/AB710</f>
        <v>0.4193138684716492</v>
      </c>
      <c r="AC712" s="160"/>
      <c r="AD712" s="160"/>
      <c r="AE712" s="160"/>
      <c r="AF712" s="160"/>
      <c r="AG712" s="160"/>
      <c r="AH712" s="160"/>
      <c r="AI712" s="160"/>
      <c r="AJ712" s="160"/>
      <c r="AK712" s="160"/>
      <c r="AL712" s="160"/>
    </row>
    <row r="721" spans="25:28" ht="20.100000000000001" customHeight="1" x14ac:dyDescent="0.25">
      <c r="Y721" s="147" t="s">
        <v>277</v>
      </c>
    </row>
    <row r="723" spans="25:28" ht="20.100000000000001" customHeight="1" x14ac:dyDescent="0.25">
      <c r="Y723" s="147">
        <f t="shared" ref="Y723:Y734" si="83">C11</f>
        <v>223.3</v>
      </c>
      <c r="Z723" s="147">
        <f t="shared" ref="Z723:Z734" si="84">D11</f>
        <v>150</v>
      </c>
      <c r="AA723" s="147">
        <f t="shared" ref="AA723:AA734" si="85">Y723-Y$737</f>
        <v>-37.554166666666674</v>
      </c>
      <c r="AB723" s="147">
        <f t="shared" ref="AB723:AB734" si="86">Z723-Z$737</f>
        <v>-38.333333333333343</v>
      </c>
    </row>
    <row r="724" spans="25:28" ht="20.100000000000001" customHeight="1" x14ac:dyDescent="0.25">
      <c r="Y724" s="147">
        <f t="shared" si="83"/>
        <v>223.3</v>
      </c>
      <c r="Z724" s="147">
        <f t="shared" si="84"/>
        <v>150</v>
      </c>
      <c r="AA724" s="147">
        <f t="shared" si="85"/>
        <v>-37.554166666666674</v>
      </c>
      <c r="AB724" s="147">
        <f t="shared" si="86"/>
        <v>-38.333333333333343</v>
      </c>
    </row>
    <row r="725" spans="25:28" ht="20.100000000000001" customHeight="1" x14ac:dyDescent="0.25">
      <c r="Y725" s="147">
        <f t="shared" si="83"/>
        <v>223.3</v>
      </c>
      <c r="Z725" s="147">
        <f t="shared" si="84"/>
        <v>100</v>
      </c>
      <c r="AA725" s="147">
        <f t="shared" si="85"/>
        <v>-37.554166666666674</v>
      </c>
      <c r="AB725" s="147">
        <f t="shared" si="86"/>
        <v>-88.333333333333343</v>
      </c>
    </row>
    <row r="726" spans="25:28" ht="20.100000000000001" customHeight="1" x14ac:dyDescent="0.25">
      <c r="Y726" s="147">
        <f t="shared" si="83"/>
        <v>236.25</v>
      </c>
      <c r="Z726" s="147">
        <f t="shared" si="84"/>
        <v>250</v>
      </c>
      <c r="AA726" s="147">
        <f t="shared" si="85"/>
        <v>-24.604166666666686</v>
      </c>
      <c r="AB726" s="147">
        <f t="shared" si="86"/>
        <v>61.666666666666657</v>
      </c>
    </row>
    <row r="727" spans="25:28" ht="20.100000000000001" customHeight="1" x14ac:dyDescent="0.25">
      <c r="Y727" s="147">
        <f t="shared" si="83"/>
        <v>236.25</v>
      </c>
      <c r="Z727" s="147">
        <f t="shared" si="84"/>
        <v>150</v>
      </c>
      <c r="AA727" s="147">
        <f t="shared" si="85"/>
        <v>-24.604166666666686</v>
      </c>
      <c r="AB727" s="147">
        <f t="shared" si="86"/>
        <v>-38.333333333333343</v>
      </c>
    </row>
    <row r="728" spans="25:28" ht="20.100000000000001" customHeight="1" x14ac:dyDescent="0.25">
      <c r="Y728" s="147">
        <f t="shared" si="83"/>
        <v>236.25</v>
      </c>
      <c r="Z728" s="147">
        <f t="shared" si="84"/>
        <v>150</v>
      </c>
      <c r="AA728" s="147">
        <f t="shared" si="85"/>
        <v>-24.604166666666686</v>
      </c>
      <c r="AB728" s="147">
        <f t="shared" si="86"/>
        <v>-38.333333333333343</v>
      </c>
    </row>
    <row r="729" spans="25:28" ht="20.100000000000001" customHeight="1" x14ac:dyDescent="0.25">
      <c r="Y729" s="147">
        <f t="shared" si="83"/>
        <v>303.85000000000002</v>
      </c>
      <c r="Z729" s="147">
        <f t="shared" si="84"/>
        <v>250</v>
      </c>
      <c r="AA729" s="147">
        <f t="shared" si="85"/>
        <v>42.995833333333337</v>
      </c>
      <c r="AB729" s="147">
        <f t="shared" si="86"/>
        <v>61.666666666666657</v>
      </c>
    </row>
    <row r="730" spans="25:28" ht="20.100000000000001" customHeight="1" x14ac:dyDescent="0.25">
      <c r="Y730" s="147">
        <f t="shared" si="83"/>
        <v>303.85000000000002</v>
      </c>
      <c r="Z730" s="147">
        <f t="shared" si="84"/>
        <v>150</v>
      </c>
      <c r="AA730" s="147">
        <f t="shared" si="85"/>
        <v>42.995833333333337</v>
      </c>
      <c r="AB730" s="147">
        <f t="shared" si="86"/>
        <v>-38.333333333333343</v>
      </c>
    </row>
    <row r="731" spans="25:28" ht="20.100000000000001" customHeight="1" x14ac:dyDescent="0.25">
      <c r="Y731" s="147">
        <f t="shared" si="83"/>
        <v>284.5</v>
      </c>
      <c r="Z731" s="147">
        <f t="shared" si="84"/>
        <v>250</v>
      </c>
      <c r="AA731" s="147">
        <f t="shared" si="85"/>
        <v>23.645833333333314</v>
      </c>
      <c r="AB731" s="147">
        <f t="shared" si="86"/>
        <v>61.666666666666657</v>
      </c>
    </row>
    <row r="732" spans="25:28" ht="20.100000000000001" customHeight="1" x14ac:dyDescent="0.25">
      <c r="Y732" s="147">
        <f t="shared" si="83"/>
        <v>290.39999999999998</v>
      </c>
      <c r="Z732" s="147">
        <f t="shared" si="84"/>
        <v>200</v>
      </c>
      <c r="AA732" s="147">
        <f t="shared" si="85"/>
        <v>29.545833333333292</v>
      </c>
      <c r="AB732" s="147">
        <f t="shared" si="86"/>
        <v>11.666666666666657</v>
      </c>
    </row>
    <row r="733" spans="25:28" ht="20.100000000000001" customHeight="1" x14ac:dyDescent="0.25">
      <c r="Y733" s="147">
        <f t="shared" si="83"/>
        <v>284.5</v>
      </c>
      <c r="Z733" s="147">
        <f t="shared" si="84"/>
        <v>225</v>
      </c>
      <c r="AA733" s="147">
        <f t="shared" si="85"/>
        <v>23.645833333333314</v>
      </c>
      <c r="AB733" s="147">
        <f t="shared" si="86"/>
        <v>36.666666666666657</v>
      </c>
    </row>
    <row r="734" spans="25:28" ht="20.100000000000001" customHeight="1" x14ac:dyDescent="0.25">
      <c r="Y734" s="147">
        <f t="shared" si="83"/>
        <v>284.5</v>
      </c>
      <c r="Z734" s="147">
        <f t="shared" si="84"/>
        <v>235</v>
      </c>
      <c r="AA734" s="147">
        <f t="shared" si="85"/>
        <v>23.645833333333314</v>
      </c>
      <c r="AB734" s="147">
        <f t="shared" si="86"/>
        <v>46.666666666666657</v>
      </c>
    </row>
    <row r="737" spans="25:39" ht="20.100000000000001" customHeight="1" x14ac:dyDescent="0.25">
      <c r="Y737" s="147">
        <f>AVERAGE(Y723:Y735)</f>
        <v>260.85416666666669</v>
      </c>
      <c r="Z737" s="147">
        <f>AVERAGE(Z723:Z735)</f>
        <v>188.33333333333334</v>
      </c>
      <c r="AA737" s="147">
        <f>AB737</f>
        <v>1.2693832829176566</v>
      </c>
      <c r="AB737" s="147" cm="1">
        <f t="array" ref="AB737:AM748">MMULT(MMULT(AA723:AB734,_xlfn.ANCHORARRAY(Y742)),TRANSPOSE(AA723:AB734))</f>
        <v>1.2693832829176566</v>
      </c>
      <c r="AC737" s="147">
        <v>1.2693832829176566</v>
      </c>
      <c r="AD737" s="147">
        <v>1.3720923209899265</v>
      </c>
      <c r="AE737" s="147">
        <v>0.65339068692517821</v>
      </c>
      <c r="AF737" s="147">
        <v>0.85880876306971821</v>
      </c>
      <c r="AG737" s="147">
        <v>0.85880876306971821</v>
      </c>
      <c r="AH737" s="147">
        <v>-1.489840011277189</v>
      </c>
      <c r="AI737" s="147">
        <v>-1.2844219351326491</v>
      </c>
      <c r="AJ737" s="147">
        <v>-0.87635607621482459</v>
      </c>
      <c r="AK737" s="147">
        <v>-0.96070415529335207</v>
      </c>
      <c r="AL737" s="147">
        <v>-0.8250015571786895</v>
      </c>
      <c r="AM737" s="147">
        <v>-0.84554336479314351</v>
      </c>
    </row>
    <row r="738" spans="25:39" ht="20.100000000000001" customHeight="1" x14ac:dyDescent="0.25">
      <c r="AA738" s="147">
        <f>AC738</f>
        <v>1.2693832829176566</v>
      </c>
      <c r="AB738" s="147">
        <v>1.2693832829176566</v>
      </c>
      <c r="AC738" s="147">
        <v>1.2693832829176566</v>
      </c>
      <c r="AD738" s="147">
        <v>1.3720923209899265</v>
      </c>
      <c r="AE738" s="147">
        <v>0.65339068692517821</v>
      </c>
      <c r="AF738" s="147">
        <v>0.85880876306971821</v>
      </c>
      <c r="AG738" s="147">
        <v>0.85880876306971821</v>
      </c>
      <c r="AH738" s="147">
        <v>-1.489840011277189</v>
      </c>
      <c r="AI738" s="147">
        <v>-1.2844219351326491</v>
      </c>
      <c r="AJ738" s="147">
        <v>-0.87635607621482459</v>
      </c>
      <c r="AK738" s="147">
        <v>-0.96070415529335207</v>
      </c>
      <c r="AL738" s="147">
        <v>-0.8250015571786895</v>
      </c>
      <c r="AM738" s="147">
        <v>-0.84554336479314351</v>
      </c>
    </row>
    <row r="739" spans="25:39" ht="20.100000000000001" customHeight="1" x14ac:dyDescent="0.25">
      <c r="Y739" s="147">
        <f>_xlfn.COVARIANCE.S($Y$723:$Y$735,Y723:Y735)</f>
        <v>1117.6961174242426</v>
      </c>
      <c r="Z739" s="147">
        <f>_xlfn.COVARIANCE.S($Y$723:$Y$735,Z723:Z735)</f>
        <v>1031.098484848485</v>
      </c>
      <c r="AA739" s="147">
        <f>AD739</f>
        <v>2.8669700632707507</v>
      </c>
      <c r="AB739" s="147">
        <v>1.3720923209899265</v>
      </c>
      <c r="AC739" s="147">
        <v>1.3720923209899265</v>
      </c>
      <c r="AD739" s="147">
        <v>2.8669700632707507</v>
      </c>
      <c r="AE739" s="147">
        <v>-1.6956026120716592</v>
      </c>
      <c r="AF739" s="147">
        <v>1.2941528724899884</v>
      </c>
      <c r="AG739" s="147">
        <v>1.2941528724899884</v>
      </c>
      <c r="AH739" s="147">
        <v>-2.1024525517315689</v>
      </c>
      <c r="AI739" s="147">
        <v>0.88730293283007866</v>
      </c>
      <c r="AJ739" s="147">
        <v>-1.9859947657490356</v>
      </c>
      <c r="AK739" s="147">
        <v>-0.52662611583497876</v>
      </c>
      <c r="AL739" s="147">
        <v>-1.2385558946086237</v>
      </c>
      <c r="AM739" s="147">
        <v>-1.5375314430647884</v>
      </c>
    </row>
    <row r="740" spans="25:39" ht="20.100000000000001" customHeight="1" x14ac:dyDescent="0.25">
      <c r="Y740" s="147">
        <f>_xlfn.COVARIANCE.S(Y723:Y735,$Z$723:$Z$735)</f>
        <v>1031.098484848485</v>
      </c>
      <c r="Z740" s="147">
        <f>_xlfn.COVARIANCE.S(Z723:Z735,$Z$723:$Z$735)</f>
        <v>2746.969696969697</v>
      </c>
      <c r="AA740" s="147">
        <f>AE740</f>
        <v>4.5050531433663057</v>
      </c>
      <c r="AB740" s="147">
        <v>0.65339068692517754</v>
      </c>
      <c r="AC740" s="147">
        <v>0.65339068692517754</v>
      </c>
      <c r="AD740" s="147">
        <v>-1.6956026120716596</v>
      </c>
      <c r="AE740" s="147">
        <v>4.5050531433663057</v>
      </c>
      <c r="AF740" s="147">
        <v>-0.19293345462736977</v>
      </c>
      <c r="AG740" s="147">
        <v>-0.19293345462736977</v>
      </c>
      <c r="AH740" s="147">
        <v>8.7175771246438494E-2</v>
      </c>
      <c r="AI740" s="147">
        <v>-4.6108108267472367</v>
      </c>
      <c r="AJ740" s="147">
        <v>1.3517604924079696</v>
      </c>
      <c r="AK740" s="147">
        <v>-1.3828167784158962</v>
      </c>
      <c r="AL740" s="147">
        <v>0.17726384290955077</v>
      </c>
      <c r="AM740" s="147">
        <v>0.64706250270891852</v>
      </c>
    </row>
    <row r="741" spans="25:39" ht="20.100000000000001" customHeight="1" x14ac:dyDescent="0.25">
      <c r="AA741" s="147">
        <f>AF741</f>
        <v>0.67775476421317071</v>
      </c>
      <c r="AB741" s="147">
        <v>0.8588087630697181</v>
      </c>
      <c r="AC741" s="147">
        <v>0.8588087630697181</v>
      </c>
      <c r="AD741" s="147">
        <v>1.2941528724899882</v>
      </c>
      <c r="AE741" s="147">
        <v>-0.19293345462736927</v>
      </c>
      <c r="AF741" s="147">
        <v>0.67775476421317071</v>
      </c>
      <c r="AG741" s="147">
        <v>0.67775476421317071</v>
      </c>
      <c r="AH741" s="147">
        <v>-1.1380493096623212</v>
      </c>
      <c r="AI741" s="147">
        <v>-0.26736109082178128</v>
      </c>
      <c r="AJ741" s="147">
        <v>-0.86751688666045235</v>
      </c>
      <c r="AK741" s="147">
        <v>-0.51466069949914972</v>
      </c>
      <c r="AL741" s="147">
        <v>-0.64984483195031739</v>
      </c>
      <c r="AM741" s="147">
        <v>-0.73691365383437124</v>
      </c>
    </row>
    <row r="742" spans="25:39" ht="20.100000000000001" customHeight="1" x14ac:dyDescent="0.25">
      <c r="Y742" s="147" cm="1">
        <f t="array" ref="Y742:Z743">MINVERSE(Y739:Z740)</f>
        <v>1.368617170235334E-3</v>
      </c>
      <c r="Z742" s="147">
        <v>-5.1372211791196967E-4</v>
      </c>
      <c r="AA742" s="147">
        <f>AG742</f>
        <v>0.67775476421317071</v>
      </c>
      <c r="AB742" s="147">
        <v>0.8588087630697181</v>
      </c>
      <c r="AC742" s="147">
        <v>0.8588087630697181</v>
      </c>
      <c r="AD742" s="147">
        <v>1.2941528724899882</v>
      </c>
      <c r="AE742" s="147">
        <v>-0.19293345462736927</v>
      </c>
      <c r="AF742" s="147">
        <v>0.67775476421317071</v>
      </c>
      <c r="AG742" s="147">
        <v>0.67775476421317071</v>
      </c>
      <c r="AH742" s="147">
        <v>-1.1380493096623212</v>
      </c>
      <c r="AI742" s="147">
        <v>-0.26736109082178128</v>
      </c>
      <c r="AJ742" s="147">
        <v>-0.86751688666045235</v>
      </c>
      <c r="AK742" s="147">
        <v>-0.51466069949914972</v>
      </c>
      <c r="AL742" s="147">
        <v>-0.64984483195031739</v>
      </c>
      <c r="AM742" s="147">
        <v>-0.73691365383437124</v>
      </c>
    </row>
    <row r="743" spans="25:39" ht="20.100000000000001" customHeight="1" x14ac:dyDescent="0.25">
      <c r="Y743" s="147">
        <v>-5.1372211791196956E-4</v>
      </c>
      <c r="Z743" s="147">
        <v>5.5686748168342151E-4</v>
      </c>
      <c r="AA743" s="147">
        <f>AH743</f>
        <v>1.9235503989811946</v>
      </c>
      <c r="AB743" s="147">
        <v>-1.4898400112771892</v>
      </c>
      <c r="AC743" s="147">
        <v>-1.4898400112771892</v>
      </c>
      <c r="AD743" s="147">
        <v>-2.1024525517315684</v>
      </c>
      <c r="AE743" s="147">
        <v>8.7175771246437939E-2</v>
      </c>
      <c r="AF743" s="147">
        <v>-1.1380493096623212</v>
      </c>
      <c r="AG743" s="147">
        <v>-1.1380493096623212</v>
      </c>
      <c r="AH743" s="147">
        <v>1.9235503989811946</v>
      </c>
      <c r="AI743" s="147">
        <v>0.69832531807243536</v>
      </c>
      <c r="AJ743" s="147">
        <v>1.3979017444446922</v>
      </c>
      <c r="AK743" s="147">
        <v>0.94556450433994288</v>
      </c>
      <c r="AL743" s="147">
        <v>1.0915954742175022</v>
      </c>
      <c r="AM743" s="147">
        <v>1.2141179823083781</v>
      </c>
    </row>
    <row r="744" spans="25:39" ht="20.100000000000001" customHeight="1" x14ac:dyDescent="0.25">
      <c r="AA744" s="147">
        <f>AI744</f>
        <v>5.0417750539978909</v>
      </c>
      <c r="AB744" s="147">
        <v>-1.2844219351326489</v>
      </c>
      <c r="AC744" s="147">
        <v>-1.2844219351326489</v>
      </c>
      <c r="AD744" s="147">
        <v>0.88730293283007899</v>
      </c>
      <c r="AE744" s="147">
        <v>-4.6108108267472367</v>
      </c>
      <c r="AF744" s="147">
        <v>-0.26736109082178094</v>
      </c>
      <c r="AG744" s="147">
        <v>-0.26736109082178094</v>
      </c>
      <c r="AH744" s="147">
        <v>0.69832531807243514</v>
      </c>
      <c r="AI744" s="147">
        <v>5.0417750539978909</v>
      </c>
      <c r="AJ744" s="147">
        <v>-0.82137563462372976</v>
      </c>
      <c r="AK744" s="147">
        <v>1.8137205832566896</v>
      </c>
      <c r="AL744" s="147">
        <v>0.26448679935763431</v>
      </c>
      <c r="AM744" s="147">
        <v>-0.16985817423491145</v>
      </c>
    </row>
    <row r="745" spans="25:39" ht="20.100000000000001" customHeight="1" x14ac:dyDescent="0.25">
      <c r="AA745" s="147">
        <f>AJ745</f>
        <v>1.3846941523306302</v>
      </c>
      <c r="AB745" s="147">
        <v>-0.8763560762148247</v>
      </c>
      <c r="AC745" s="147">
        <v>-0.8763560762148247</v>
      </c>
      <c r="AD745" s="147">
        <v>-1.9859947657490356</v>
      </c>
      <c r="AE745" s="147">
        <v>1.3517604924079694</v>
      </c>
      <c r="AF745" s="147">
        <v>-0.86751688666045257</v>
      </c>
      <c r="AG745" s="147">
        <v>-0.86751688666045257</v>
      </c>
      <c r="AH745" s="147">
        <v>1.3979017444446922</v>
      </c>
      <c r="AI745" s="147">
        <v>-0.82137563462372976</v>
      </c>
      <c r="AJ745" s="147">
        <v>1.3846941523306302</v>
      </c>
      <c r="AK745" s="147">
        <v>0.27908258390613327</v>
      </c>
      <c r="AL745" s="147">
        <v>0.82987480756352483</v>
      </c>
      <c r="AM745" s="147">
        <v>1.051802545470367</v>
      </c>
    </row>
    <row r="746" spans="25:39" ht="20.100000000000001" customHeight="1" x14ac:dyDescent="0.25">
      <c r="AA746" s="147">
        <f>AK746</f>
        <v>0.91637733295414281</v>
      </c>
      <c r="AB746" s="147">
        <v>-0.96070415529335207</v>
      </c>
      <c r="AC746" s="147">
        <v>-0.96070415529335207</v>
      </c>
      <c r="AD746" s="147">
        <v>-0.52662611583497865</v>
      </c>
      <c r="AE746" s="147">
        <v>-1.3828167784158967</v>
      </c>
      <c r="AF746" s="147">
        <v>-0.51466069949914972</v>
      </c>
      <c r="AG746" s="147">
        <v>-0.51466069949914972</v>
      </c>
      <c r="AH746" s="147">
        <v>0.94556450433994299</v>
      </c>
      <c r="AI746" s="147">
        <v>1.8137205832566901</v>
      </c>
      <c r="AJ746" s="147">
        <v>0.27908258390613327</v>
      </c>
      <c r="AK746" s="147">
        <v>0.91637733295414281</v>
      </c>
      <c r="AL746" s="147">
        <v>0.49612160363532004</v>
      </c>
      <c r="AM746" s="147">
        <v>0.40930599574364535</v>
      </c>
    </row>
    <row r="747" spans="25:39" ht="20.100000000000001" customHeight="1" x14ac:dyDescent="0.25">
      <c r="AA747" s="147">
        <f>AL747</f>
        <v>0.62309763884855773</v>
      </c>
      <c r="AB747" s="147">
        <v>-0.8250015571786895</v>
      </c>
      <c r="AC747" s="147">
        <v>-0.8250015571786895</v>
      </c>
      <c r="AD747" s="147">
        <v>-1.2385558946086235</v>
      </c>
      <c r="AE747" s="147">
        <v>0.1772638429095505</v>
      </c>
      <c r="AF747" s="147">
        <v>-0.64984483195031739</v>
      </c>
      <c r="AG747" s="147">
        <v>-0.64984483195031739</v>
      </c>
      <c r="AH747" s="147">
        <v>1.091595474217502</v>
      </c>
      <c r="AI747" s="147">
        <v>0.26448679935763431</v>
      </c>
      <c r="AJ747" s="147">
        <v>0.82987480756352472</v>
      </c>
      <c r="AK747" s="147">
        <v>0.49612160363531993</v>
      </c>
      <c r="AL747" s="147">
        <v>0.62309763884855773</v>
      </c>
      <c r="AM747" s="147">
        <v>0.70580850633454451</v>
      </c>
    </row>
    <row r="748" spans="25:39" ht="20.100000000000001" customHeight="1" x14ac:dyDescent="0.25">
      <c r="AA748" s="147">
        <f>AM748</f>
        <v>0.84420612198887335</v>
      </c>
      <c r="AB748" s="147">
        <v>-0.8455433647931434</v>
      </c>
      <c r="AC748" s="147">
        <v>-0.8455433647931434</v>
      </c>
      <c r="AD748" s="147">
        <v>-1.5375314430647882</v>
      </c>
      <c r="AE748" s="147">
        <v>0.64706250270891796</v>
      </c>
      <c r="AF748" s="147">
        <v>-0.73691365383437124</v>
      </c>
      <c r="AG748" s="147">
        <v>-0.73691365383437124</v>
      </c>
      <c r="AH748" s="147">
        <v>1.2141179823083781</v>
      </c>
      <c r="AI748" s="147">
        <v>-0.16985817423491112</v>
      </c>
      <c r="AJ748" s="147">
        <v>1.0518025454703668</v>
      </c>
      <c r="AK748" s="147">
        <v>0.40930599574364523</v>
      </c>
      <c r="AL748" s="147">
        <v>0.70580850633454439</v>
      </c>
      <c r="AM748" s="147">
        <v>0.84420612198887335</v>
      </c>
    </row>
    <row r="757" spans="25:26" ht="20.100000000000001" customHeight="1" x14ac:dyDescent="0.25">
      <c r="Y757" s="146" t="s">
        <v>247</v>
      </c>
      <c r="Z757" s="146"/>
    </row>
    <row r="758" spans="25:26" ht="20.100000000000001" customHeight="1" x14ac:dyDescent="0.25">
      <c r="Y758" s="146">
        <v>0</v>
      </c>
      <c r="Z758" s="146">
        <v>0.2</v>
      </c>
    </row>
    <row r="759" spans="25:26" ht="20.100000000000001" customHeight="1" x14ac:dyDescent="0.25">
      <c r="Y759" s="146">
        <f t="shared" ref="Y759:Y770" si="87">B211</f>
        <v>392042.91639250901</v>
      </c>
      <c r="Z759" s="146"/>
    </row>
    <row r="760" spans="25:26" ht="20.100000000000001" customHeight="1" x14ac:dyDescent="0.25">
      <c r="Y760" s="146">
        <f t="shared" si="87"/>
        <v>392042.91639250901</v>
      </c>
      <c r="Z760" s="146"/>
    </row>
    <row r="761" spans="25:26" ht="20.100000000000001" customHeight="1" x14ac:dyDescent="0.25">
      <c r="Y761" s="146">
        <f t="shared" si="87"/>
        <v>382540.12191181123</v>
      </c>
      <c r="Z761" s="146"/>
    </row>
    <row r="762" spans="25:26" ht="20.100000000000001" customHeight="1" x14ac:dyDescent="0.25">
      <c r="Y762" s="146">
        <f t="shared" si="87"/>
        <v>425676.97058895323</v>
      </c>
      <c r="Z762" s="146"/>
    </row>
    <row r="763" spans="25:26" ht="20.100000000000001" customHeight="1" x14ac:dyDescent="0.25">
      <c r="Y763" s="146">
        <f t="shared" si="87"/>
        <v>406671.38162755768</v>
      </c>
      <c r="Z763" s="146"/>
    </row>
    <row r="764" spans="25:26" ht="20.100000000000001" customHeight="1" x14ac:dyDescent="0.25">
      <c r="Y764" s="146">
        <f t="shared" si="87"/>
        <v>406671.38162755768</v>
      </c>
      <c r="Z764" s="146"/>
    </row>
    <row r="765" spans="25:26" ht="20.100000000000001" customHeight="1" x14ac:dyDescent="0.25">
      <c r="Y765" s="146">
        <f t="shared" si="87"/>
        <v>502038.68872712256</v>
      </c>
      <c r="Z765" s="146"/>
    </row>
    <row r="766" spans="25:26" ht="20.100000000000001" customHeight="1" x14ac:dyDescent="0.25">
      <c r="Y766" s="146">
        <f t="shared" si="87"/>
        <v>483033.09976572701</v>
      </c>
      <c r="Z766" s="146"/>
    </row>
    <row r="767" spans="25:26" ht="20.100000000000001" customHeight="1" x14ac:dyDescent="0.25">
      <c r="Y767" s="146">
        <f t="shared" si="87"/>
        <v>480180.71171567909</v>
      </c>
      <c r="Z767" s="146"/>
    </row>
    <row r="768" spans="25:26" ht="20.100000000000001" customHeight="1" x14ac:dyDescent="0.25">
      <c r="Y768" s="146">
        <f t="shared" si="87"/>
        <v>477342.62340384518</v>
      </c>
      <c r="Z768" s="146"/>
    </row>
    <row r="769" spans="25:31" ht="20.100000000000001" customHeight="1" x14ac:dyDescent="0.25">
      <c r="Y769" s="146">
        <f t="shared" si="87"/>
        <v>475429.31447533017</v>
      </c>
      <c r="Z769" s="146"/>
    </row>
    <row r="770" spans="25:31" ht="20.100000000000001" customHeight="1" x14ac:dyDescent="0.25">
      <c r="Y770" s="146">
        <f t="shared" si="87"/>
        <v>477329.87337146979</v>
      </c>
      <c r="Z770" s="146"/>
    </row>
    <row r="771" spans="25:31" ht="20.100000000000001" customHeight="1" x14ac:dyDescent="0.25">
      <c r="Y771" s="146">
        <f>MAX(Y758:Y770)*(1+Z758)</f>
        <v>602446.426472547</v>
      </c>
      <c r="Z771" s="146"/>
    </row>
    <row r="772" spans="25:31" ht="20.100000000000001" customHeight="1" x14ac:dyDescent="0.25">
      <c r="Y772" s="146"/>
      <c r="Z772" s="146"/>
    </row>
    <row r="773" spans="25:31" ht="20.100000000000001" customHeight="1" x14ac:dyDescent="0.25">
      <c r="Y773" s="146"/>
      <c r="Z773" s="146"/>
    </row>
    <row r="774" spans="25:31" ht="20.100000000000001" customHeight="1" x14ac:dyDescent="0.25">
      <c r="Y774" s="146"/>
      <c r="Z774" s="146"/>
    </row>
    <row r="775" spans="25:31" ht="20.100000000000001" customHeight="1" x14ac:dyDescent="0.25">
      <c r="Y775" s="146"/>
      <c r="Z775" s="146"/>
    </row>
    <row r="776" spans="25:31" ht="20.100000000000001" customHeight="1" x14ac:dyDescent="0.25">
      <c r="Y776" s="146"/>
      <c r="Z776" s="146"/>
    </row>
    <row r="777" spans="25:31" ht="20.100000000000001" customHeight="1" x14ac:dyDescent="0.25">
      <c r="Y777" s="146"/>
      <c r="Z777" s="146"/>
    </row>
    <row r="780" spans="25:31" ht="20.100000000000001" customHeight="1" x14ac:dyDescent="0.25">
      <c r="Y780" s="147" t="s">
        <v>250</v>
      </c>
    </row>
    <row r="781" spans="25:31" ht="20.100000000000001" customHeight="1" x14ac:dyDescent="0.25">
      <c r="Y781" s="147" t="s">
        <v>228</v>
      </c>
      <c r="Z781" s="147" t="s">
        <v>227</v>
      </c>
      <c r="AA781" s="147" t="s">
        <v>229</v>
      </c>
      <c r="AB781" s="147" t="s">
        <v>251</v>
      </c>
      <c r="AC781" s="147" t="s">
        <v>252</v>
      </c>
      <c r="AD781" s="147" t="s">
        <v>253</v>
      </c>
      <c r="AE781" s="147" t="s">
        <v>254</v>
      </c>
    </row>
    <row r="782" spans="25:31" ht="20.100000000000001" customHeight="1" x14ac:dyDescent="0.25">
      <c r="Y782" s="147">
        <f t="shared" ref="Y782:Y793" si="88">H11</f>
        <v>378000</v>
      </c>
      <c r="Z782" s="147">
        <f t="shared" ref="Z782:Z793" si="89">B211</f>
        <v>392042.91639250901</v>
      </c>
      <c r="AA782" s="147">
        <f>Y782-Z782</f>
        <v>-14042.916392509011</v>
      </c>
      <c r="AC782" s="147">
        <f>AA782-AB782</f>
        <v>-14042.916392509011</v>
      </c>
      <c r="AD782" s="147">
        <f>AC782^2</f>
        <v>197203500.80699828</v>
      </c>
      <c r="AE782" s="147">
        <f>AA782^2</f>
        <v>197203500.80699828</v>
      </c>
    </row>
    <row r="783" spans="25:31" ht="20.100000000000001" customHeight="1" x14ac:dyDescent="0.25">
      <c r="Y783" s="147">
        <f t="shared" si="88"/>
        <v>378000</v>
      </c>
      <c r="Z783" s="147">
        <f t="shared" si="89"/>
        <v>392042.91639250901</v>
      </c>
      <c r="AA783" s="147">
        <f t="shared" ref="AA783:AA793" si="90">Y783-Z783</f>
        <v>-14042.916392509011</v>
      </c>
      <c r="AB783" s="147">
        <f>AA782</f>
        <v>-14042.916392509011</v>
      </c>
      <c r="AC783" s="147">
        <f t="shared" ref="AC783:AC793" si="91">AA783-AB783</f>
        <v>0</v>
      </c>
      <c r="AD783" s="147">
        <f t="shared" ref="AD783:AD793" si="92">AC783^2</f>
        <v>0</v>
      </c>
      <c r="AE783" s="147">
        <f t="shared" ref="AE783:AE793" si="93">AA783^2</f>
        <v>197203500.80699828</v>
      </c>
    </row>
    <row r="784" spans="25:31" ht="20.100000000000001" customHeight="1" x14ac:dyDescent="0.25">
      <c r="Y784" s="147">
        <f t="shared" si="88"/>
        <v>378000</v>
      </c>
      <c r="Z784" s="147">
        <f t="shared" si="89"/>
        <v>382540.12191181123</v>
      </c>
      <c r="AA784" s="147">
        <f t="shared" si="90"/>
        <v>-4540.1219118112349</v>
      </c>
      <c r="AB784" s="147">
        <f t="shared" ref="AB784:AB793" si="94">AA783</f>
        <v>-14042.916392509011</v>
      </c>
      <c r="AC784" s="147">
        <f t="shared" si="91"/>
        <v>9502.7944806977757</v>
      </c>
      <c r="AD784" s="147">
        <f t="shared" si="92"/>
        <v>90303102.942380115</v>
      </c>
      <c r="AE784" s="147">
        <f t="shared" si="93"/>
        <v>20612706.974108502</v>
      </c>
    </row>
    <row r="785" spans="25:31" ht="20.100000000000001" customHeight="1" x14ac:dyDescent="0.25">
      <c r="Y785" s="147">
        <f t="shared" si="88"/>
        <v>423000</v>
      </c>
      <c r="Z785" s="147">
        <f t="shared" si="89"/>
        <v>425676.97058895323</v>
      </c>
      <c r="AA785" s="147">
        <f t="shared" si="90"/>
        <v>-2676.9705889532343</v>
      </c>
      <c r="AB785" s="147">
        <f t="shared" si="94"/>
        <v>-4540.1219118112349</v>
      </c>
      <c r="AC785" s="147">
        <f t="shared" si="91"/>
        <v>1863.1513228580006</v>
      </c>
      <c r="AD785" s="147">
        <f t="shared" si="92"/>
        <v>3471332.8518675179</v>
      </c>
      <c r="AE785" s="147">
        <f t="shared" si="93"/>
        <v>7166171.5341206258</v>
      </c>
    </row>
    <row r="786" spans="25:31" ht="20.100000000000001" customHeight="1" x14ac:dyDescent="0.25">
      <c r="Y786" s="147">
        <f t="shared" si="88"/>
        <v>423000</v>
      </c>
      <c r="Z786" s="147">
        <f t="shared" si="89"/>
        <v>406671.38162755768</v>
      </c>
      <c r="AA786" s="147">
        <f t="shared" si="90"/>
        <v>16328.618372442317</v>
      </c>
      <c r="AB786" s="147">
        <f t="shared" si="94"/>
        <v>-2676.9705889532343</v>
      </c>
      <c r="AC786" s="147">
        <f t="shared" si="91"/>
        <v>19005.588961395551</v>
      </c>
      <c r="AD786" s="147">
        <f t="shared" si="92"/>
        <v>361212411.76952046</v>
      </c>
      <c r="AE786" s="147">
        <f t="shared" si="93"/>
        <v>266623777.9528608</v>
      </c>
    </row>
    <row r="787" spans="25:31" ht="20.100000000000001" customHeight="1" x14ac:dyDescent="0.25">
      <c r="Y787" s="147">
        <f t="shared" si="88"/>
        <v>423000</v>
      </c>
      <c r="Z787" s="147">
        <f t="shared" si="89"/>
        <v>406671.38162755768</v>
      </c>
      <c r="AA787" s="147">
        <f t="shared" si="90"/>
        <v>16328.618372442317</v>
      </c>
      <c r="AB787" s="147">
        <f t="shared" si="94"/>
        <v>16328.618372442317</v>
      </c>
      <c r="AC787" s="147">
        <f t="shared" si="91"/>
        <v>0</v>
      </c>
      <c r="AD787" s="147">
        <f t="shared" si="92"/>
        <v>0</v>
      </c>
      <c r="AE787" s="147">
        <f t="shared" si="93"/>
        <v>266623777.9528608</v>
      </c>
    </row>
    <row r="788" spans="25:31" ht="20.100000000000001" customHeight="1" x14ac:dyDescent="0.25">
      <c r="Y788" s="147">
        <f t="shared" si="88"/>
        <v>477000</v>
      </c>
      <c r="Z788" s="147">
        <f t="shared" si="89"/>
        <v>502038.68872712256</v>
      </c>
      <c r="AA788" s="147">
        <f t="shared" si="90"/>
        <v>-25038.688727122557</v>
      </c>
      <c r="AB788" s="147">
        <f t="shared" si="94"/>
        <v>16328.618372442317</v>
      </c>
      <c r="AC788" s="147">
        <f t="shared" si="91"/>
        <v>-41367.307099564874</v>
      </c>
      <c r="AD788" s="147">
        <f t="shared" si="92"/>
        <v>1711254096.6697104</v>
      </c>
      <c r="AE788" s="147">
        <f t="shared" si="93"/>
        <v>626935933.17373419</v>
      </c>
    </row>
    <row r="789" spans="25:31" ht="20.100000000000001" customHeight="1" x14ac:dyDescent="0.25">
      <c r="Y789" s="147">
        <f t="shared" si="88"/>
        <v>477000</v>
      </c>
      <c r="Z789" s="147">
        <f t="shared" si="89"/>
        <v>483033.09976572701</v>
      </c>
      <c r="AA789" s="147">
        <f t="shared" si="90"/>
        <v>-6033.0997657270054</v>
      </c>
      <c r="AB789" s="147">
        <f t="shared" si="94"/>
        <v>-25038.688727122557</v>
      </c>
      <c r="AC789" s="147">
        <f t="shared" si="91"/>
        <v>19005.588961395551</v>
      </c>
      <c r="AD789" s="147">
        <f t="shared" si="92"/>
        <v>361212411.76952046</v>
      </c>
      <c r="AE789" s="147">
        <f t="shared" si="93"/>
        <v>36398292.783215247</v>
      </c>
    </row>
    <row r="790" spans="25:31" ht="20.100000000000001" customHeight="1" x14ac:dyDescent="0.25">
      <c r="Y790" s="147">
        <f t="shared" si="88"/>
        <v>486000</v>
      </c>
      <c r="Z790" s="147">
        <f t="shared" si="89"/>
        <v>480180.71171567909</v>
      </c>
      <c r="AA790" s="147">
        <f t="shared" si="90"/>
        <v>5819.2882843209081</v>
      </c>
      <c r="AB790" s="147">
        <f t="shared" si="94"/>
        <v>-6033.0997657270054</v>
      </c>
      <c r="AC790" s="147">
        <f t="shared" si="91"/>
        <v>11852.388050047914</v>
      </c>
      <c r="AD790" s="147">
        <f t="shared" si="92"/>
        <v>140479102.48891857</v>
      </c>
      <c r="AE790" s="147">
        <f t="shared" si="93"/>
        <v>33864116.136034578</v>
      </c>
    </row>
    <row r="791" spans="25:31" ht="20.100000000000001" customHeight="1" x14ac:dyDescent="0.25">
      <c r="Y791" s="147">
        <f t="shared" si="88"/>
        <v>486000</v>
      </c>
      <c r="Z791" s="147">
        <f t="shared" si="89"/>
        <v>477342.62340384518</v>
      </c>
      <c r="AA791" s="147">
        <f t="shared" si="90"/>
        <v>8657.3765961548197</v>
      </c>
      <c r="AB791" s="147">
        <f t="shared" si="94"/>
        <v>5819.2882843209081</v>
      </c>
      <c r="AC791" s="147">
        <f t="shared" si="91"/>
        <v>2838.0883118339116</v>
      </c>
      <c r="AD791" s="147">
        <f t="shared" si="92"/>
        <v>8054745.2657682626</v>
      </c>
      <c r="AE791" s="147">
        <f t="shared" si="93"/>
        <v>74950169.527649209</v>
      </c>
    </row>
    <row r="792" spans="25:31" ht="20.100000000000001" customHeight="1" x14ac:dyDescent="0.25">
      <c r="Y792" s="147">
        <f t="shared" si="88"/>
        <v>486000</v>
      </c>
      <c r="Z792" s="147">
        <f t="shared" si="89"/>
        <v>475429.31447533017</v>
      </c>
      <c r="AA792" s="147">
        <f t="shared" si="90"/>
        <v>10570.685524669825</v>
      </c>
      <c r="AB792" s="147">
        <f t="shared" si="94"/>
        <v>8657.3765961548197</v>
      </c>
      <c r="AC792" s="147">
        <f t="shared" si="91"/>
        <v>1913.3089285150054</v>
      </c>
      <c r="AD792" s="147">
        <f t="shared" si="92"/>
        <v>3660751.055935238</v>
      </c>
      <c r="AE792" s="147">
        <f t="shared" si="93"/>
        <v>111739392.46146418</v>
      </c>
    </row>
    <row r="793" spans="25:31" ht="20.100000000000001" customHeight="1" x14ac:dyDescent="0.25">
      <c r="Y793" s="147">
        <f t="shared" si="88"/>
        <v>486000</v>
      </c>
      <c r="Z793" s="147">
        <f t="shared" si="89"/>
        <v>477329.87337146979</v>
      </c>
      <c r="AA793" s="147">
        <f t="shared" si="90"/>
        <v>8670.1266285302117</v>
      </c>
      <c r="AB793" s="147">
        <f t="shared" si="94"/>
        <v>10570.685524669825</v>
      </c>
      <c r="AC793" s="147">
        <f t="shared" si="91"/>
        <v>-1900.5588961396134</v>
      </c>
      <c r="AD793" s="147">
        <f t="shared" si="92"/>
        <v>3612124.1176954256</v>
      </c>
      <c r="AE793" s="147">
        <f t="shared" si="93"/>
        <v>75171095.754748657</v>
      </c>
    </row>
    <row r="801" spans="30:31" ht="20.100000000000001" customHeight="1" x14ac:dyDescent="0.25">
      <c r="AD801" s="147">
        <f>SUM(AD782:AD799)</f>
        <v>2880463579.7383146</v>
      </c>
      <c r="AE801" s="147">
        <f>SUM(AE782:AE799)</f>
        <v>1914492435.8647933</v>
      </c>
    </row>
    <row r="803" spans="30:31" ht="20.100000000000001" customHeight="1" x14ac:dyDescent="0.25">
      <c r="AD803" s="147" t="s">
        <v>255</v>
      </c>
      <c r="AE803" s="147">
        <f>AD801/AE801</f>
        <v>1.5045573049951402</v>
      </c>
    </row>
    <row r="821" spans="23:33" ht="20.100000000000001" customHeight="1" x14ac:dyDescent="0.25">
      <c r="AA821" s="147" t="s">
        <v>228</v>
      </c>
      <c r="AB821" s="147" t="s">
        <v>227</v>
      </c>
      <c r="AC821" s="147" t="s">
        <v>261</v>
      </c>
      <c r="AE821" s="147" t="s">
        <v>262</v>
      </c>
      <c r="AF821" s="147" t="s">
        <v>263</v>
      </c>
      <c r="AG821" s="147" t="s">
        <v>264</v>
      </c>
    </row>
    <row r="822" spans="23:33" ht="20.100000000000001" customHeight="1" x14ac:dyDescent="0.25">
      <c r="W822" s="177">
        <v>1</v>
      </c>
      <c r="X822" s="177">
        <v>1</v>
      </c>
      <c r="Y822" s="147">
        <f t="shared" ref="Y822:Y833" si="95">C11</f>
        <v>223.3</v>
      </c>
      <c r="Z822" s="147">
        <f t="shared" ref="Z822:Z833" si="96">D11</f>
        <v>150</v>
      </c>
      <c r="AA822" s="147">
        <f t="shared" ref="AA822:AA833" si="97">H11</f>
        <v>378000</v>
      </c>
      <c r="AB822" s="147" cm="1">
        <f t="array" ref="AB822:AB833">MMULT(X822:Z833,MMULT((MINVERSE(MMULT(TRANSPOSE(X822:Z833),X822:Z833))),MMULT(TRANSPOSE(X822:Z833),AA822:AA833)))</f>
        <v>392042.91639250901</v>
      </c>
      <c r="AC822" s="147">
        <f>AVERAGE(AA822:AA833)</f>
        <v>441750</v>
      </c>
      <c r="AE822" s="147">
        <f>AB822-AC822</f>
        <v>-49707.083607490989</v>
      </c>
      <c r="AF822" s="147">
        <f t="shared" ref="AF822:AF833" si="98">AA822-AB822</f>
        <v>-14042.916392509011</v>
      </c>
      <c r="AG822" s="147">
        <f>AA822-AC822</f>
        <v>-63750</v>
      </c>
    </row>
    <row r="823" spans="23:33" ht="20.100000000000001" customHeight="1" x14ac:dyDescent="0.25">
      <c r="W823" s="177">
        <v>2</v>
      </c>
      <c r="X823" s="177">
        <v>1</v>
      </c>
      <c r="Y823" s="147">
        <f t="shared" si="95"/>
        <v>223.3</v>
      </c>
      <c r="Z823" s="147">
        <f t="shared" si="96"/>
        <v>150</v>
      </c>
      <c r="AA823" s="147">
        <f t="shared" si="97"/>
        <v>378000</v>
      </c>
      <c r="AB823" s="147">
        <v>392042.91639250901</v>
      </c>
      <c r="AC823" s="147">
        <f>AC822</f>
        <v>441750</v>
      </c>
      <c r="AE823" s="147">
        <f t="shared" ref="AE823:AE833" si="99">AB823-AC823</f>
        <v>-49707.083607490989</v>
      </c>
      <c r="AF823" s="147">
        <f t="shared" si="98"/>
        <v>-14042.916392509011</v>
      </c>
      <c r="AG823" s="147">
        <f t="shared" ref="AG823:AG833" si="100">AA823-AC823</f>
        <v>-63750</v>
      </c>
    </row>
    <row r="824" spans="23:33" ht="20.100000000000001" customHeight="1" x14ac:dyDescent="0.25">
      <c r="W824" s="177">
        <v>3</v>
      </c>
      <c r="X824" s="177">
        <v>1</v>
      </c>
      <c r="Y824" s="147">
        <f t="shared" si="95"/>
        <v>223.3</v>
      </c>
      <c r="Z824" s="147">
        <f t="shared" si="96"/>
        <v>100</v>
      </c>
      <c r="AA824" s="147">
        <f t="shared" si="97"/>
        <v>378000</v>
      </c>
      <c r="AB824" s="147">
        <v>382540.12191181123</v>
      </c>
      <c r="AC824" s="147">
        <f t="shared" ref="AC824:AC833" si="101">AC823</f>
        <v>441750</v>
      </c>
      <c r="AE824" s="147">
        <f t="shared" si="99"/>
        <v>-59209.878088188765</v>
      </c>
      <c r="AF824" s="147">
        <f t="shared" si="98"/>
        <v>-4540.1219118112349</v>
      </c>
      <c r="AG824" s="147">
        <f t="shared" si="100"/>
        <v>-63750</v>
      </c>
    </row>
    <row r="825" spans="23:33" ht="20.100000000000001" customHeight="1" x14ac:dyDescent="0.25">
      <c r="W825" s="177">
        <v>4</v>
      </c>
      <c r="X825" s="177">
        <v>1</v>
      </c>
      <c r="Y825" s="147">
        <f t="shared" si="95"/>
        <v>236.25</v>
      </c>
      <c r="Z825" s="147">
        <f t="shared" si="96"/>
        <v>250</v>
      </c>
      <c r="AA825" s="147">
        <f t="shared" si="97"/>
        <v>423000</v>
      </c>
      <c r="AB825" s="147">
        <v>425676.97058895323</v>
      </c>
      <c r="AC825" s="147">
        <f t="shared" si="101"/>
        <v>441750</v>
      </c>
      <c r="AE825" s="147">
        <f t="shared" si="99"/>
        <v>-16073.029411046766</v>
      </c>
      <c r="AF825" s="147">
        <f t="shared" si="98"/>
        <v>-2676.9705889532343</v>
      </c>
      <c r="AG825" s="147">
        <f t="shared" si="100"/>
        <v>-18750</v>
      </c>
    </row>
    <row r="826" spans="23:33" ht="20.100000000000001" customHeight="1" x14ac:dyDescent="0.25">
      <c r="W826" s="177">
        <v>5</v>
      </c>
      <c r="X826" s="177">
        <v>1</v>
      </c>
      <c r="Y826" s="147">
        <f t="shared" si="95"/>
        <v>236.25</v>
      </c>
      <c r="Z826" s="147">
        <f t="shared" si="96"/>
        <v>150</v>
      </c>
      <c r="AA826" s="147">
        <f t="shared" si="97"/>
        <v>423000</v>
      </c>
      <c r="AB826" s="147">
        <v>406671.38162755768</v>
      </c>
      <c r="AC826" s="147">
        <f t="shared" si="101"/>
        <v>441750</v>
      </c>
      <c r="AE826" s="147">
        <f t="shared" si="99"/>
        <v>-35078.618372442317</v>
      </c>
      <c r="AF826" s="147">
        <f t="shared" si="98"/>
        <v>16328.618372442317</v>
      </c>
      <c r="AG826" s="147">
        <f t="shared" si="100"/>
        <v>-18750</v>
      </c>
    </row>
    <row r="827" spans="23:33" ht="20.100000000000001" customHeight="1" x14ac:dyDescent="0.25">
      <c r="W827" s="177">
        <v>6</v>
      </c>
      <c r="X827" s="177">
        <v>1</v>
      </c>
      <c r="Y827" s="147">
        <f t="shared" si="95"/>
        <v>236.25</v>
      </c>
      <c r="Z827" s="147">
        <f t="shared" si="96"/>
        <v>150</v>
      </c>
      <c r="AA827" s="147">
        <f t="shared" si="97"/>
        <v>423000</v>
      </c>
      <c r="AB827" s="147">
        <v>406671.38162755768</v>
      </c>
      <c r="AC827" s="147">
        <f t="shared" si="101"/>
        <v>441750</v>
      </c>
      <c r="AE827" s="147">
        <f t="shared" si="99"/>
        <v>-35078.618372442317</v>
      </c>
      <c r="AF827" s="147">
        <f t="shared" si="98"/>
        <v>16328.618372442317</v>
      </c>
      <c r="AG827" s="147">
        <f t="shared" si="100"/>
        <v>-18750</v>
      </c>
    </row>
    <row r="828" spans="23:33" ht="20.100000000000001" customHeight="1" x14ac:dyDescent="0.25">
      <c r="W828" s="177">
        <v>7</v>
      </c>
      <c r="X828" s="177">
        <v>1</v>
      </c>
      <c r="Y828" s="147">
        <f t="shared" si="95"/>
        <v>303.85000000000002</v>
      </c>
      <c r="Z828" s="147">
        <f t="shared" si="96"/>
        <v>250</v>
      </c>
      <c r="AA828" s="147">
        <f t="shared" si="97"/>
        <v>477000</v>
      </c>
      <c r="AB828" s="147">
        <v>502038.68872712256</v>
      </c>
      <c r="AC828" s="147">
        <f t="shared" si="101"/>
        <v>441750</v>
      </c>
      <c r="AE828" s="147">
        <f t="shared" si="99"/>
        <v>60288.688727122557</v>
      </c>
      <c r="AF828" s="147">
        <f t="shared" si="98"/>
        <v>-25038.688727122557</v>
      </c>
      <c r="AG828" s="147">
        <f t="shared" si="100"/>
        <v>35250</v>
      </c>
    </row>
    <row r="829" spans="23:33" ht="20.100000000000001" customHeight="1" x14ac:dyDescent="0.25">
      <c r="W829" s="177">
        <v>8</v>
      </c>
      <c r="X829" s="177">
        <v>1</v>
      </c>
      <c r="Y829" s="147">
        <f t="shared" si="95"/>
        <v>303.85000000000002</v>
      </c>
      <c r="Z829" s="147">
        <f t="shared" si="96"/>
        <v>150</v>
      </c>
      <c r="AA829" s="147">
        <f t="shared" si="97"/>
        <v>477000</v>
      </c>
      <c r="AB829" s="147">
        <v>483033.09976572701</v>
      </c>
      <c r="AC829" s="147">
        <f t="shared" si="101"/>
        <v>441750</v>
      </c>
      <c r="AE829" s="147">
        <f t="shared" si="99"/>
        <v>41283.099765727005</v>
      </c>
      <c r="AF829" s="147">
        <f t="shared" si="98"/>
        <v>-6033.0997657270054</v>
      </c>
      <c r="AG829" s="147">
        <f t="shared" si="100"/>
        <v>35250</v>
      </c>
    </row>
    <row r="830" spans="23:33" ht="20.100000000000001" customHeight="1" x14ac:dyDescent="0.25">
      <c r="W830" s="177">
        <v>9</v>
      </c>
      <c r="X830" s="177">
        <v>1</v>
      </c>
      <c r="Y830" s="147">
        <f t="shared" si="95"/>
        <v>284.5</v>
      </c>
      <c r="Z830" s="147">
        <f t="shared" si="96"/>
        <v>250</v>
      </c>
      <c r="AA830" s="147">
        <f t="shared" si="97"/>
        <v>486000</v>
      </c>
      <c r="AB830" s="147">
        <v>480180.71171567909</v>
      </c>
      <c r="AC830" s="147">
        <f t="shared" si="101"/>
        <v>441750</v>
      </c>
      <c r="AE830" s="147">
        <f t="shared" si="99"/>
        <v>38430.711715679092</v>
      </c>
      <c r="AF830" s="147">
        <f t="shared" si="98"/>
        <v>5819.2882843209081</v>
      </c>
      <c r="AG830" s="147">
        <f t="shared" si="100"/>
        <v>44250</v>
      </c>
    </row>
    <row r="831" spans="23:33" ht="20.100000000000001" customHeight="1" x14ac:dyDescent="0.25">
      <c r="W831" s="177">
        <v>10</v>
      </c>
      <c r="X831" s="177">
        <v>1</v>
      </c>
      <c r="Y831" s="147">
        <f t="shared" si="95"/>
        <v>290.39999999999998</v>
      </c>
      <c r="Z831" s="147">
        <f t="shared" si="96"/>
        <v>200</v>
      </c>
      <c r="AA831" s="147">
        <f t="shared" si="97"/>
        <v>486000</v>
      </c>
      <c r="AB831" s="147">
        <v>477342.62340384518</v>
      </c>
      <c r="AC831" s="147">
        <f t="shared" si="101"/>
        <v>441750</v>
      </c>
      <c r="AE831" s="147">
        <f t="shared" si="99"/>
        <v>35592.62340384518</v>
      </c>
      <c r="AF831" s="147">
        <f t="shared" si="98"/>
        <v>8657.3765961548197</v>
      </c>
      <c r="AG831" s="147">
        <f t="shared" si="100"/>
        <v>44250</v>
      </c>
    </row>
    <row r="832" spans="23:33" ht="20.100000000000001" customHeight="1" x14ac:dyDescent="0.25">
      <c r="W832" s="177">
        <v>11</v>
      </c>
      <c r="X832" s="177">
        <v>1</v>
      </c>
      <c r="Y832" s="147">
        <f t="shared" si="95"/>
        <v>284.5</v>
      </c>
      <c r="Z832" s="147">
        <f t="shared" si="96"/>
        <v>225</v>
      </c>
      <c r="AA832" s="147">
        <f t="shared" si="97"/>
        <v>486000</v>
      </c>
      <c r="AB832" s="147">
        <v>475429.31447533017</v>
      </c>
      <c r="AC832" s="147">
        <f t="shared" si="101"/>
        <v>441750</v>
      </c>
      <c r="AE832" s="147">
        <f t="shared" si="99"/>
        <v>33679.314475330175</v>
      </c>
      <c r="AF832" s="147">
        <f t="shared" si="98"/>
        <v>10570.685524669825</v>
      </c>
      <c r="AG832" s="147">
        <f t="shared" si="100"/>
        <v>44250</v>
      </c>
    </row>
    <row r="833" spans="23:33" ht="20.100000000000001" customHeight="1" x14ac:dyDescent="0.25">
      <c r="W833" s="177">
        <v>12</v>
      </c>
      <c r="X833" s="177">
        <v>1</v>
      </c>
      <c r="Y833" s="147">
        <f t="shared" si="95"/>
        <v>284.5</v>
      </c>
      <c r="Z833" s="147">
        <f t="shared" si="96"/>
        <v>235</v>
      </c>
      <c r="AA833" s="147">
        <f t="shared" si="97"/>
        <v>486000</v>
      </c>
      <c r="AB833" s="147">
        <v>477329.87337146979</v>
      </c>
      <c r="AC833" s="147">
        <f t="shared" si="101"/>
        <v>441750</v>
      </c>
      <c r="AE833" s="147">
        <f t="shared" si="99"/>
        <v>35579.873371469788</v>
      </c>
      <c r="AF833" s="147">
        <f t="shared" si="98"/>
        <v>8670.1266285302117</v>
      </c>
      <c r="AG833" s="147">
        <f t="shared" si="100"/>
        <v>44250</v>
      </c>
    </row>
    <row r="835" spans="23:33" ht="20.100000000000001" customHeight="1" x14ac:dyDescent="0.25">
      <c r="AE835" s="147">
        <f>SUMSQ(AE822:AE833)</f>
        <v>21649757564.132076</v>
      </c>
      <c r="AF835" s="147">
        <f>SUMSQ(AF822:AF833)</f>
        <v>1914492435.8647933</v>
      </c>
      <c r="AG835" s="147">
        <f>SUMSQ(AG822:AG833)</f>
        <v>23564250000</v>
      </c>
    </row>
    <row r="836" spans="23:33" ht="20.100000000000001" customHeight="1" x14ac:dyDescent="0.25">
      <c r="AB836" s="147" t="s">
        <v>265</v>
      </c>
      <c r="AC836" s="177">
        <f>COUNT(W822:W833)</f>
        <v>12</v>
      </c>
    </row>
    <row r="837" spans="23:33" ht="20.100000000000001" customHeight="1" x14ac:dyDescent="0.25">
      <c r="AB837" s="147" t="s">
        <v>266</v>
      </c>
      <c r="AC837" s="177">
        <v>2</v>
      </c>
      <c r="AE837" s="147" t="s">
        <v>269</v>
      </c>
      <c r="AF837" s="147">
        <f>AF835/AC839</f>
        <v>212721381.7627548</v>
      </c>
    </row>
    <row r="838" spans="23:33" ht="20.100000000000001" customHeight="1" x14ac:dyDescent="0.25">
      <c r="AB838" s="147" t="s">
        <v>267</v>
      </c>
      <c r="AC838" s="177">
        <f>AC837+1</f>
        <v>3</v>
      </c>
    </row>
    <row r="839" spans="23:33" ht="20.100000000000001" customHeight="1" x14ac:dyDescent="0.25">
      <c r="AB839" s="147" t="s">
        <v>268</v>
      </c>
      <c r="AC839" s="177">
        <f>AC836-AC838</f>
        <v>9</v>
      </c>
      <c r="AE839" s="147" t="s">
        <v>270</v>
      </c>
      <c r="AF839" s="147">
        <f>(AF835/AC839)^(1/2)</f>
        <v>14584.971092283824</v>
      </c>
    </row>
    <row r="840" spans="23:33" ht="20.100000000000001" customHeight="1" x14ac:dyDescent="0.25">
      <c r="AC840" s="177"/>
    </row>
    <row r="841" spans="23:33" ht="20.100000000000001" customHeight="1" x14ac:dyDescent="0.25">
      <c r="AE841" s="147" t="s">
        <v>271</v>
      </c>
      <c r="AF841" s="147">
        <f>AF822</f>
        <v>-14042.916392509011</v>
      </c>
    </row>
    <row r="843" spans="23:33" ht="20.100000000000001" customHeight="1" x14ac:dyDescent="0.25">
      <c r="AE843" s="147" t="s">
        <v>272</v>
      </c>
      <c r="AF843" s="178">
        <f>AF841/AF839</f>
        <v>-0.96283470866379794</v>
      </c>
    </row>
    <row r="845" spans="23:33" ht="20.100000000000001" customHeight="1" x14ac:dyDescent="0.25">
      <c r="AE845" s="147" t="s">
        <v>273</v>
      </c>
      <c r="AF845" s="178">
        <f>AF841/(((AF837)*(1-F304))^(1/2))</f>
        <v>-1.0756297055904844</v>
      </c>
    </row>
    <row r="848" spans="23:33" ht="20.100000000000001" customHeight="1" x14ac:dyDescent="0.25">
      <c r="AA848" s="147" t="s">
        <v>228</v>
      </c>
      <c r="AB848" s="147" t="s">
        <v>227</v>
      </c>
      <c r="AC848" s="147" t="s">
        <v>261</v>
      </c>
      <c r="AE848" s="147" t="s">
        <v>262</v>
      </c>
      <c r="AF848" s="147" t="s">
        <v>263</v>
      </c>
      <c r="AG848" s="147" t="s">
        <v>264</v>
      </c>
    </row>
    <row r="849" spans="23:33" ht="20.100000000000001" customHeight="1" x14ac:dyDescent="0.25">
      <c r="W849" s="177">
        <v>2</v>
      </c>
      <c r="X849" s="177">
        <v>1</v>
      </c>
      <c r="Y849" s="147">
        <f t="shared" ref="Y849:Y859" si="102">C12</f>
        <v>223.3</v>
      </c>
      <c r="Z849" s="147">
        <f t="shared" ref="Z849:Z859" si="103">D12</f>
        <v>150</v>
      </c>
      <c r="AA849" s="147">
        <f t="shared" ref="AA849:AA859" si="104">H12</f>
        <v>378000</v>
      </c>
      <c r="AB849" s="147" cm="1">
        <f t="array" ref="AB849:AB859">MMULT(X849:Z859,MMULT((MINVERSE(MMULT(TRANSPOSE(X849:Z859),X849:Z859))),MMULT(TRANSPOSE(X849:Z859),AA849:AA859)))</f>
        <v>395525.86291435378</v>
      </c>
      <c r="AC849" s="147">
        <f>AVERAGE(AA849:AA859)</f>
        <v>447545.45454545453</v>
      </c>
      <c r="AE849" s="147">
        <f t="shared" ref="AE849" si="105">AB849-AC849</f>
        <v>-52019.591631100746</v>
      </c>
      <c r="AF849" s="147">
        <f>AA849-AB849</f>
        <v>-17525.862914353784</v>
      </c>
      <c r="AG849" s="147">
        <f t="shared" ref="AG849" si="106">AA849-AC849</f>
        <v>-69545.45454545453</v>
      </c>
    </row>
    <row r="850" spans="23:33" ht="20.100000000000001" customHeight="1" x14ac:dyDescent="0.25">
      <c r="W850" s="177">
        <v>3</v>
      </c>
      <c r="X850" s="177">
        <v>1</v>
      </c>
      <c r="Y850" s="147">
        <f t="shared" si="102"/>
        <v>223.3</v>
      </c>
      <c r="Z850" s="147">
        <f t="shared" si="103"/>
        <v>100</v>
      </c>
      <c r="AA850" s="147">
        <f t="shared" si="104"/>
        <v>378000</v>
      </c>
      <c r="AB850" s="147">
        <v>386186.71066286712</v>
      </c>
      <c r="AC850" s="147">
        <f t="shared" ref="AC850:AC859" si="107">AC849</f>
        <v>447545.45454545453</v>
      </c>
      <c r="AE850" s="147">
        <f t="shared" ref="AE850:AE859" si="108">AB850-AC850</f>
        <v>-61358.743882587412</v>
      </c>
      <c r="AF850" s="147">
        <f t="shared" ref="AF850:AF859" si="109">AA850-AB850</f>
        <v>-8186.7106628671172</v>
      </c>
      <c r="AG850" s="147">
        <f t="shared" ref="AG850:AG859" si="110">AA850-AC850</f>
        <v>-69545.45454545453</v>
      </c>
    </row>
    <row r="851" spans="23:33" ht="20.100000000000001" customHeight="1" x14ac:dyDescent="0.25">
      <c r="W851" s="177">
        <v>4</v>
      </c>
      <c r="X851" s="177">
        <v>1</v>
      </c>
      <c r="Y851" s="147">
        <f t="shared" si="102"/>
        <v>236.25</v>
      </c>
      <c r="Z851" s="147">
        <f t="shared" si="103"/>
        <v>250</v>
      </c>
      <c r="AA851" s="147">
        <f t="shared" si="104"/>
        <v>423000</v>
      </c>
      <c r="AB851" s="147">
        <v>428178.48058410571</v>
      </c>
      <c r="AC851" s="147">
        <f t="shared" si="107"/>
        <v>447545.45454545453</v>
      </c>
      <c r="AE851" s="147">
        <f t="shared" si="108"/>
        <v>-19366.97396134882</v>
      </c>
      <c r="AF851" s="147">
        <f t="shared" si="109"/>
        <v>-5178.4805841057096</v>
      </c>
      <c r="AG851" s="147">
        <f t="shared" si="110"/>
        <v>-24545.45454545453</v>
      </c>
    </row>
    <row r="852" spans="23:33" ht="20.100000000000001" customHeight="1" x14ac:dyDescent="0.25">
      <c r="W852" s="177">
        <v>5</v>
      </c>
      <c r="X852" s="177">
        <v>1</v>
      </c>
      <c r="Y852" s="147">
        <f t="shared" si="102"/>
        <v>236.25</v>
      </c>
      <c r="Z852" s="147">
        <f t="shared" si="103"/>
        <v>150</v>
      </c>
      <c r="AA852" s="147">
        <f t="shared" si="104"/>
        <v>423000</v>
      </c>
      <c r="AB852" s="147">
        <v>409500.17608113238</v>
      </c>
      <c r="AC852" s="147">
        <f t="shared" si="107"/>
        <v>447545.45454545453</v>
      </c>
      <c r="AE852" s="147">
        <f t="shared" si="108"/>
        <v>-38045.278464322153</v>
      </c>
      <c r="AF852" s="147">
        <f t="shared" si="109"/>
        <v>13499.823918867623</v>
      </c>
      <c r="AG852" s="147">
        <f t="shared" si="110"/>
        <v>-24545.45454545453</v>
      </c>
    </row>
    <row r="853" spans="23:33" ht="20.100000000000001" customHeight="1" x14ac:dyDescent="0.25">
      <c r="W853" s="177">
        <v>6</v>
      </c>
      <c r="X853" s="177">
        <v>1</v>
      </c>
      <c r="Y853" s="147">
        <f t="shared" si="102"/>
        <v>236.25</v>
      </c>
      <c r="Z853" s="147">
        <f t="shared" si="103"/>
        <v>150</v>
      </c>
      <c r="AA853" s="147">
        <f t="shared" si="104"/>
        <v>423000</v>
      </c>
      <c r="AB853" s="147">
        <v>409500.17608113238</v>
      </c>
      <c r="AC853" s="147">
        <f t="shared" si="107"/>
        <v>447545.45454545453</v>
      </c>
      <c r="AE853" s="147">
        <f t="shared" si="108"/>
        <v>-38045.278464322153</v>
      </c>
      <c r="AF853" s="147">
        <f t="shared" si="109"/>
        <v>13499.823918867623</v>
      </c>
      <c r="AG853" s="147">
        <f t="shared" si="110"/>
        <v>-24545.45454545453</v>
      </c>
    </row>
    <row r="854" spans="23:33" ht="20.100000000000001" customHeight="1" x14ac:dyDescent="0.25">
      <c r="W854" s="177">
        <v>7</v>
      </c>
      <c r="X854" s="177">
        <v>1</v>
      </c>
      <c r="Y854" s="147">
        <f t="shared" si="102"/>
        <v>303.85000000000002</v>
      </c>
      <c r="Z854" s="147">
        <f t="shared" si="103"/>
        <v>250</v>
      </c>
      <c r="AA854" s="147">
        <f t="shared" si="104"/>
        <v>477000</v>
      </c>
      <c r="AB854" s="147">
        <v>501125.47441223182</v>
      </c>
      <c r="AC854" s="147">
        <f t="shared" si="107"/>
        <v>447545.45454545453</v>
      </c>
      <c r="AE854" s="147">
        <f t="shared" si="108"/>
        <v>53580.019866777293</v>
      </c>
      <c r="AF854" s="147">
        <f t="shared" si="109"/>
        <v>-24125.474412231822</v>
      </c>
      <c r="AG854" s="147">
        <f t="shared" si="110"/>
        <v>29454.54545454547</v>
      </c>
    </row>
    <row r="855" spans="23:33" ht="20.100000000000001" customHeight="1" x14ac:dyDescent="0.25">
      <c r="W855" s="177">
        <v>8</v>
      </c>
      <c r="X855" s="177">
        <v>1</v>
      </c>
      <c r="Y855" s="147">
        <f t="shared" si="102"/>
        <v>303.85000000000002</v>
      </c>
      <c r="Z855" s="147">
        <f t="shared" si="103"/>
        <v>150</v>
      </c>
      <c r="AA855" s="147">
        <f t="shared" si="104"/>
        <v>477000</v>
      </c>
      <c r="AB855" s="147">
        <v>482447.16990925849</v>
      </c>
      <c r="AC855" s="147">
        <f t="shared" si="107"/>
        <v>447545.45454545453</v>
      </c>
      <c r="AE855" s="147">
        <f t="shared" si="108"/>
        <v>34901.71536380396</v>
      </c>
      <c r="AF855" s="147">
        <f t="shared" si="109"/>
        <v>-5447.1699092584895</v>
      </c>
      <c r="AG855" s="147">
        <f t="shared" si="110"/>
        <v>29454.54545454547</v>
      </c>
    </row>
    <row r="856" spans="23:33" ht="20.100000000000001" customHeight="1" x14ac:dyDescent="0.25">
      <c r="W856" s="177">
        <v>9</v>
      </c>
      <c r="X856" s="177">
        <v>1</v>
      </c>
      <c r="Y856" s="147">
        <f t="shared" si="102"/>
        <v>284.5</v>
      </c>
      <c r="Z856" s="147">
        <f t="shared" si="103"/>
        <v>250</v>
      </c>
      <c r="AA856" s="147">
        <f t="shared" si="104"/>
        <v>486000</v>
      </c>
      <c r="AB856" s="147">
        <v>480244.93697770161</v>
      </c>
      <c r="AC856" s="147">
        <f t="shared" si="107"/>
        <v>447545.45454545453</v>
      </c>
      <c r="AE856" s="147">
        <f t="shared" si="108"/>
        <v>32699.482432247081</v>
      </c>
      <c r="AF856" s="147">
        <f t="shared" si="109"/>
        <v>5755.0630222983891</v>
      </c>
      <c r="AG856" s="147">
        <f t="shared" si="110"/>
        <v>38454.54545454547</v>
      </c>
    </row>
    <row r="857" spans="23:33" ht="20.100000000000001" customHeight="1" x14ac:dyDescent="0.25">
      <c r="W857" s="177">
        <v>10</v>
      </c>
      <c r="X857" s="177">
        <v>1</v>
      </c>
      <c r="Y857" s="147">
        <f t="shared" si="102"/>
        <v>290.39999999999998</v>
      </c>
      <c r="Z857" s="147">
        <f t="shared" si="103"/>
        <v>200</v>
      </c>
      <c r="AA857" s="147">
        <f t="shared" si="104"/>
        <v>486000</v>
      </c>
      <c r="AB857" s="147">
        <v>477272.4602230484</v>
      </c>
      <c r="AC857" s="147">
        <f t="shared" si="107"/>
        <v>447545.45454545453</v>
      </c>
      <c r="AE857" s="147">
        <f t="shared" si="108"/>
        <v>29727.005677593872</v>
      </c>
      <c r="AF857" s="147">
        <f t="shared" si="109"/>
        <v>8727.5397769515985</v>
      </c>
      <c r="AG857" s="147">
        <f t="shared" si="110"/>
        <v>38454.54545454547</v>
      </c>
    </row>
    <row r="858" spans="23:33" ht="20.100000000000001" customHeight="1" x14ac:dyDescent="0.25">
      <c r="W858" s="177">
        <v>11</v>
      </c>
      <c r="X858" s="177">
        <v>1</v>
      </c>
      <c r="Y858" s="147">
        <f t="shared" si="102"/>
        <v>284.5</v>
      </c>
      <c r="Z858" s="147">
        <f t="shared" si="103"/>
        <v>225</v>
      </c>
      <c r="AA858" s="147">
        <f t="shared" si="104"/>
        <v>486000</v>
      </c>
      <c r="AB858" s="147">
        <v>475575.36085195828</v>
      </c>
      <c r="AC858" s="147">
        <f t="shared" si="107"/>
        <v>447545.45454545453</v>
      </c>
      <c r="AE858" s="147">
        <f t="shared" si="108"/>
        <v>28029.906306503748</v>
      </c>
      <c r="AF858" s="147">
        <f t="shared" si="109"/>
        <v>10424.639148041722</v>
      </c>
      <c r="AG858" s="147">
        <f t="shared" si="110"/>
        <v>38454.54545454547</v>
      </c>
    </row>
    <row r="859" spans="23:33" ht="20.100000000000001" customHeight="1" x14ac:dyDescent="0.25">
      <c r="W859" s="177">
        <v>12</v>
      </c>
      <c r="X859" s="177">
        <v>1</v>
      </c>
      <c r="Y859" s="147">
        <f t="shared" si="102"/>
        <v>284.5</v>
      </c>
      <c r="Z859" s="147">
        <f t="shared" si="103"/>
        <v>235</v>
      </c>
      <c r="AA859" s="147">
        <f t="shared" si="104"/>
        <v>486000</v>
      </c>
      <c r="AB859" s="147">
        <v>477443.19130225561</v>
      </c>
      <c r="AC859" s="147">
        <f t="shared" si="107"/>
        <v>447545.45454545453</v>
      </c>
      <c r="AE859" s="147">
        <f t="shared" si="108"/>
        <v>29897.736756801081</v>
      </c>
      <c r="AF859" s="147">
        <f t="shared" si="109"/>
        <v>8556.8086977443891</v>
      </c>
      <c r="AG859" s="147">
        <f t="shared" si="110"/>
        <v>38454.54545454547</v>
      </c>
    </row>
    <row r="861" spans="23:33" ht="20.100000000000001" customHeight="1" x14ac:dyDescent="0.25">
      <c r="AE861" s="147">
        <f>SUMSQ(AE849:AE859)</f>
        <v>17462349064.473763</v>
      </c>
      <c r="AF861" s="147">
        <f>SUMSQ(AF849:AF859)</f>
        <v>1668378208.2522039</v>
      </c>
      <c r="AG861" s="147">
        <f>SUMSQ(AG849:AG859)</f>
        <v>19130727272.727268</v>
      </c>
    </row>
    <row r="862" spans="23:33" ht="20.100000000000001" customHeight="1" x14ac:dyDescent="0.25">
      <c r="AB862" s="147" t="s">
        <v>265</v>
      </c>
      <c r="AC862" s="177">
        <f>COUNT(W849:W859)</f>
        <v>11</v>
      </c>
    </row>
    <row r="863" spans="23:33" ht="20.100000000000001" customHeight="1" x14ac:dyDescent="0.25">
      <c r="AB863" s="147" t="s">
        <v>266</v>
      </c>
      <c r="AC863" s="177">
        <v>2</v>
      </c>
      <c r="AE863" s="147" t="s">
        <v>269</v>
      </c>
      <c r="AF863" s="147">
        <f>AF861/AC865</f>
        <v>208547276.03152549</v>
      </c>
    </row>
    <row r="864" spans="23:33" ht="20.100000000000001" customHeight="1" x14ac:dyDescent="0.25">
      <c r="AB864" s="147" t="s">
        <v>267</v>
      </c>
      <c r="AC864" s="177">
        <f>AC863+1</f>
        <v>3</v>
      </c>
    </row>
    <row r="865" spans="23:33" ht="20.100000000000001" customHeight="1" x14ac:dyDescent="0.25">
      <c r="AB865" s="147" t="s">
        <v>268</v>
      </c>
      <c r="AC865" s="177">
        <f>AC862-AC864</f>
        <v>8</v>
      </c>
      <c r="AE865" s="147" t="s">
        <v>270</v>
      </c>
      <c r="AF865" s="147">
        <f>(AF861/AC865)^(1/2)</f>
        <v>14441.166020495904</v>
      </c>
    </row>
    <row r="866" spans="23:33" ht="20.100000000000001" customHeight="1" x14ac:dyDescent="0.25">
      <c r="AC866" s="177"/>
    </row>
    <row r="867" spans="23:33" ht="20.100000000000001" customHeight="1" x14ac:dyDescent="0.25">
      <c r="AE867" s="147" t="s">
        <v>271</v>
      </c>
      <c r="AF867" s="147">
        <f>AF822</f>
        <v>-14042.916392509011</v>
      </c>
    </row>
    <row r="869" spans="23:33" ht="20.100000000000001" customHeight="1" x14ac:dyDescent="0.25">
      <c r="AE869" s="147" t="s">
        <v>272</v>
      </c>
      <c r="AF869" s="178">
        <f>AF867/AF865</f>
        <v>-0.97242261272935504</v>
      </c>
    </row>
    <row r="871" spans="23:33" ht="20.100000000000001" customHeight="1" x14ac:dyDescent="0.25">
      <c r="AE871" s="147" t="s">
        <v>273</v>
      </c>
      <c r="AF871" s="178">
        <f>AF867/(((AF863)*(1-F304))^(1/2))</f>
        <v>-1.0863408217711397</v>
      </c>
    </row>
    <row r="873" spans="23:33" ht="20.100000000000001" customHeight="1" x14ac:dyDescent="0.25">
      <c r="AA873" s="147" t="s">
        <v>228</v>
      </c>
      <c r="AB873" s="147" t="s">
        <v>227</v>
      </c>
      <c r="AC873" s="147" t="s">
        <v>261</v>
      </c>
      <c r="AE873" s="147" t="s">
        <v>262</v>
      </c>
      <c r="AF873" s="147" t="s">
        <v>263</v>
      </c>
      <c r="AG873" s="147" t="s">
        <v>264</v>
      </c>
    </row>
    <row r="874" spans="23:33" ht="20.100000000000001" customHeight="1" x14ac:dyDescent="0.25">
      <c r="W874" s="177">
        <v>1</v>
      </c>
      <c r="X874" s="177">
        <v>1</v>
      </c>
      <c r="Y874" s="147">
        <f>C11</f>
        <v>223.3</v>
      </c>
      <c r="Z874" s="147">
        <f>D11</f>
        <v>150</v>
      </c>
      <c r="AA874" s="147">
        <f>H11</f>
        <v>378000</v>
      </c>
      <c r="AB874" s="147" cm="1">
        <f t="array" ref="AB874:AB884">MMULT(X874:Z884,MMULT((MINVERSE(MMULT(TRANSPOSE(X874:Z884),X874:Z884))),MMULT(TRANSPOSE(X874:Z884),AA874:AA884)))</f>
        <v>395525.86291435378</v>
      </c>
      <c r="AC874" s="147">
        <f>AVERAGE(AA874:AA884)</f>
        <v>447545.45454545453</v>
      </c>
      <c r="AE874" s="147">
        <f>AB874-AC874</f>
        <v>-52019.591631100746</v>
      </c>
      <c r="AF874" s="147">
        <f t="shared" ref="AF874:AF884" si="111">AA874-AB874</f>
        <v>-17525.862914353784</v>
      </c>
      <c r="AG874" s="147">
        <f>AA874-AC874</f>
        <v>-69545.45454545453</v>
      </c>
    </row>
    <row r="875" spans="23:33" ht="20.100000000000001" customHeight="1" x14ac:dyDescent="0.25">
      <c r="W875" s="177">
        <v>3</v>
      </c>
      <c r="X875" s="177">
        <v>1</v>
      </c>
      <c r="Y875" s="147">
        <f t="shared" ref="Y875:Y884" si="112">C13</f>
        <v>223.3</v>
      </c>
      <c r="Z875" s="147">
        <f t="shared" ref="Z875:Z884" si="113">D13</f>
        <v>100</v>
      </c>
      <c r="AA875" s="147">
        <f t="shared" ref="AA875:AA884" si="114">H13</f>
        <v>378000</v>
      </c>
      <c r="AB875" s="147">
        <v>386186.71066286712</v>
      </c>
      <c r="AC875" s="147">
        <f>AC874</f>
        <v>447545.45454545453</v>
      </c>
      <c r="AE875" s="147">
        <f t="shared" ref="AE875:AE884" si="115">AB875-AC875</f>
        <v>-61358.743882587412</v>
      </c>
      <c r="AF875" s="147">
        <f t="shared" si="111"/>
        <v>-8186.7106628671172</v>
      </c>
      <c r="AG875" s="147">
        <f t="shared" ref="AG875:AG884" si="116">AA875-AC875</f>
        <v>-69545.45454545453</v>
      </c>
    </row>
    <row r="876" spans="23:33" ht="20.100000000000001" customHeight="1" x14ac:dyDescent="0.25">
      <c r="W876" s="177">
        <v>4</v>
      </c>
      <c r="X876" s="177">
        <v>1</v>
      </c>
      <c r="Y876" s="147">
        <f t="shared" si="112"/>
        <v>236.25</v>
      </c>
      <c r="Z876" s="147">
        <f t="shared" si="113"/>
        <v>250</v>
      </c>
      <c r="AA876" s="147">
        <f t="shared" si="114"/>
        <v>423000</v>
      </c>
      <c r="AB876" s="147">
        <v>428178.48058410571</v>
      </c>
      <c r="AC876" s="147">
        <f t="shared" ref="AC876:AC884" si="117">AC875</f>
        <v>447545.45454545453</v>
      </c>
      <c r="AE876" s="147">
        <f t="shared" si="115"/>
        <v>-19366.97396134882</v>
      </c>
      <c r="AF876" s="147">
        <f t="shared" si="111"/>
        <v>-5178.4805841057096</v>
      </c>
      <c r="AG876" s="147">
        <f t="shared" si="116"/>
        <v>-24545.45454545453</v>
      </c>
    </row>
    <row r="877" spans="23:33" ht="20.100000000000001" customHeight="1" x14ac:dyDescent="0.25">
      <c r="W877" s="177">
        <v>5</v>
      </c>
      <c r="X877" s="177">
        <v>1</v>
      </c>
      <c r="Y877" s="147">
        <f t="shared" si="112"/>
        <v>236.25</v>
      </c>
      <c r="Z877" s="147">
        <f t="shared" si="113"/>
        <v>150</v>
      </c>
      <c r="AA877" s="147">
        <f t="shared" si="114"/>
        <v>423000</v>
      </c>
      <c r="AB877" s="147">
        <v>409500.17608113238</v>
      </c>
      <c r="AC877" s="147">
        <f t="shared" si="117"/>
        <v>447545.45454545453</v>
      </c>
      <c r="AE877" s="147">
        <f t="shared" si="115"/>
        <v>-38045.278464322153</v>
      </c>
      <c r="AF877" s="147">
        <f t="shared" si="111"/>
        <v>13499.823918867623</v>
      </c>
      <c r="AG877" s="147">
        <f t="shared" si="116"/>
        <v>-24545.45454545453</v>
      </c>
    </row>
    <row r="878" spans="23:33" ht="20.100000000000001" customHeight="1" x14ac:dyDescent="0.25">
      <c r="W878" s="177">
        <v>6</v>
      </c>
      <c r="X878" s="177">
        <v>1</v>
      </c>
      <c r="Y878" s="147">
        <f t="shared" si="112"/>
        <v>236.25</v>
      </c>
      <c r="Z878" s="147">
        <f t="shared" si="113"/>
        <v>150</v>
      </c>
      <c r="AA878" s="147">
        <f t="shared" si="114"/>
        <v>423000</v>
      </c>
      <c r="AB878" s="147">
        <v>409500.17608113238</v>
      </c>
      <c r="AC878" s="147">
        <f t="shared" si="117"/>
        <v>447545.45454545453</v>
      </c>
      <c r="AE878" s="147">
        <f t="shared" si="115"/>
        <v>-38045.278464322153</v>
      </c>
      <c r="AF878" s="147">
        <f t="shared" si="111"/>
        <v>13499.823918867623</v>
      </c>
      <c r="AG878" s="147">
        <f t="shared" si="116"/>
        <v>-24545.45454545453</v>
      </c>
    </row>
    <row r="879" spans="23:33" ht="20.100000000000001" customHeight="1" x14ac:dyDescent="0.25">
      <c r="W879" s="177">
        <v>7</v>
      </c>
      <c r="X879" s="177">
        <v>1</v>
      </c>
      <c r="Y879" s="147">
        <f t="shared" si="112"/>
        <v>303.85000000000002</v>
      </c>
      <c r="Z879" s="147">
        <f t="shared" si="113"/>
        <v>250</v>
      </c>
      <c r="AA879" s="147">
        <f t="shared" si="114"/>
        <v>477000</v>
      </c>
      <c r="AB879" s="147">
        <v>501125.47441223182</v>
      </c>
      <c r="AC879" s="147">
        <f t="shared" si="117"/>
        <v>447545.45454545453</v>
      </c>
      <c r="AE879" s="147">
        <f t="shared" si="115"/>
        <v>53580.019866777293</v>
      </c>
      <c r="AF879" s="147">
        <f t="shared" si="111"/>
        <v>-24125.474412231822</v>
      </c>
      <c r="AG879" s="147">
        <f t="shared" si="116"/>
        <v>29454.54545454547</v>
      </c>
    </row>
    <row r="880" spans="23:33" ht="20.100000000000001" customHeight="1" x14ac:dyDescent="0.25">
      <c r="W880" s="177">
        <v>8</v>
      </c>
      <c r="X880" s="177">
        <v>1</v>
      </c>
      <c r="Y880" s="147">
        <f t="shared" si="112"/>
        <v>303.85000000000002</v>
      </c>
      <c r="Z880" s="147">
        <f t="shared" si="113"/>
        <v>150</v>
      </c>
      <c r="AA880" s="147">
        <f t="shared" si="114"/>
        <v>477000</v>
      </c>
      <c r="AB880" s="147">
        <v>482447.16990925849</v>
      </c>
      <c r="AC880" s="147">
        <f t="shared" si="117"/>
        <v>447545.45454545453</v>
      </c>
      <c r="AE880" s="147">
        <f t="shared" si="115"/>
        <v>34901.71536380396</v>
      </c>
      <c r="AF880" s="147">
        <f t="shared" si="111"/>
        <v>-5447.1699092584895</v>
      </c>
      <c r="AG880" s="147">
        <f t="shared" si="116"/>
        <v>29454.54545454547</v>
      </c>
    </row>
    <row r="881" spans="23:33" ht="20.100000000000001" customHeight="1" x14ac:dyDescent="0.25">
      <c r="W881" s="177">
        <v>9</v>
      </c>
      <c r="X881" s="177">
        <v>1</v>
      </c>
      <c r="Y881" s="147">
        <f t="shared" si="112"/>
        <v>284.5</v>
      </c>
      <c r="Z881" s="147">
        <f t="shared" si="113"/>
        <v>250</v>
      </c>
      <c r="AA881" s="147">
        <f t="shared" si="114"/>
        <v>486000</v>
      </c>
      <c r="AB881" s="147">
        <v>480244.93697770161</v>
      </c>
      <c r="AC881" s="147">
        <f t="shared" si="117"/>
        <v>447545.45454545453</v>
      </c>
      <c r="AE881" s="147">
        <f t="shared" si="115"/>
        <v>32699.482432247081</v>
      </c>
      <c r="AF881" s="147">
        <f t="shared" si="111"/>
        <v>5755.0630222983891</v>
      </c>
      <c r="AG881" s="147">
        <f t="shared" si="116"/>
        <v>38454.54545454547</v>
      </c>
    </row>
    <row r="882" spans="23:33" ht="20.100000000000001" customHeight="1" x14ac:dyDescent="0.25">
      <c r="W882" s="177">
        <v>10</v>
      </c>
      <c r="X882" s="177">
        <v>1</v>
      </c>
      <c r="Y882" s="147">
        <f t="shared" si="112"/>
        <v>290.39999999999998</v>
      </c>
      <c r="Z882" s="147">
        <f t="shared" si="113"/>
        <v>200</v>
      </c>
      <c r="AA882" s="147">
        <f t="shared" si="114"/>
        <v>486000</v>
      </c>
      <c r="AB882" s="147">
        <v>477272.4602230484</v>
      </c>
      <c r="AC882" s="147">
        <f t="shared" si="117"/>
        <v>447545.45454545453</v>
      </c>
      <c r="AE882" s="147">
        <f t="shared" si="115"/>
        <v>29727.005677593872</v>
      </c>
      <c r="AF882" s="147">
        <f t="shared" si="111"/>
        <v>8727.5397769515985</v>
      </c>
      <c r="AG882" s="147">
        <f t="shared" si="116"/>
        <v>38454.54545454547</v>
      </c>
    </row>
    <row r="883" spans="23:33" ht="20.100000000000001" customHeight="1" x14ac:dyDescent="0.25">
      <c r="W883" s="177">
        <v>11</v>
      </c>
      <c r="X883" s="177">
        <v>1</v>
      </c>
      <c r="Y883" s="147">
        <f t="shared" si="112"/>
        <v>284.5</v>
      </c>
      <c r="Z883" s="147">
        <f t="shared" si="113"/>
        <v>225</v>
      </c>
      <c r="AA883" s="147">
        <f t="shared" si="114"/>
        <v>486000</v>
      </c>
      <c r="AB883" s="147">
        <v>475575.36085195828</v>
      </c>
      <c r="AC883" s="147">
        <f t="shared" si="117"/>
        <v>447545.45454545453</v>
      </c>
      <c r="AE883" s="147">
        <f t="shared" si="115"/>
        <v>28029.906306503748</v>
      </c>
      <c r="AF883" s="147">
        <f t="shared" si="111"/>
        <v>10424.639148041722</v>
      </c>
      <c r="AG883" s="147">
        <f t="shared" si="116"/>
        <v>38454.54545454547</v>
      </c>
    </row>
    <row r="884" spans="23:33" ht="20.100000000000001" customHeight="1" x14ac:dyDescent="0.25">
      <c r="W884" s="177">
        <v>12</v>
      </c>
      <c r="X884" s="177">
        <v>1</v>
      </c>
      <c r="Y884" s="147">
        <f t="shared" si="112"/>
        <v>284.5</v>
      </c>
      <c r="Z884" s="147">
        <f t="shared" si="113"/>
        <v>235</v>
      </c>
      <c r="AA884" s="147">
        <f t="shared" si="114"/>
        <v>486000</v>
      </c>
      <c r="AB884" s="147">
        <v>477443.19130225561</v>
      </c>
      <c r="AC884" s="147">
        <f t="shared" si="117"/>
        <v>447545.45454545453</v>
      </c>
      <c r="AE884" s="147">
        <f t="shared" si="115"/>
        <v>29897.736756801081</v>
      </c>
      <c r="AF884" s="147">
        <f t="shared" si="111"/>
        <v>8556.8086977443891</v>
      </c>
      <c r="AG884" s="147">
        <f t="shared" si="116"/>
        <v>38454.54545454547</v>
      </c>
    </row>
    <row r="886" spans="23:33" ht="20.100000000000001" customHeight="1" x14ac:dyDescent="0.25">
      <c r="AE886" s="147">
        <f>SUMSQ(AE874:AE884)</f>
        <v>17462349064.473763</v>
      </c>
      <c r="AF886" s="147">
        <f>SUMSQ(AF874:AF884)</f>
        <v>1668378208.2522039</v>
      </c>
      <c r="AG886" s="147">
        <f>SUMSQ(AG874:AG884)</f>
        <v>19130727272.727268</v>
      </c>
    </row>
    <row r="887" spans="23:33" ht="20.100000000000001" customHeight="1" x14ac:dyDescent="0.25">
      <c r="AB887" s="147" t="s">
        <v>265</v>
      </c>
      <c r="AC887" s="177">
        <f>COUNT(W874:W884)</f>
        <v>11</v>
      </c>
    </row>
    <row r="888" spans="23:33" ht="20.100000000000001" customHeight="1" x14ac:dyDescent="0.25">
      <c r="AB888" s="147" t="s">
        <v>266</v>
      </c>
      <c r="AC888" s="177">
        <v>2</v>
      </c>
      <c r="AE888" s="147" t="s">
        <v>269</v>
      </c>
      <c r="AF888" s="147">
        <f>AF886/AC890</f>
        <v>208547276.03152549</v>
      </c>
    </row>
    <row r="889" spans="23:33" ht="20.100000000000001" customHeight="1" x14ac:dyDescent="0.25">
      <c r="AB889" s="147" t="s">
        <v>267</v>
      </c>
      <c r="AC889" s="177">
        <f>AC888+1</f>
        <v>3</v>
      </c>
    </row>
    <row r="890" spans="23:33" ht="20.100000000000001" customHeight="1" x14ac:dyDescent="0.25">
      <c r="AB890" s="147" t="s">
        <v>268</v>
      </c>
      <c r="AC890" s="177">
        <f>AC887-AC889</f>
        <v>8</v>
      </c>
      <c r="AE890" s="147" t="s">
        <v>270</v>
      </c>
      <c r="AF890" s="147">
        <f>(AF886/AC890)^(1/2)</f>
        <v>14441.166020495904</v>
      </c>
    </row>
    <row r="891" spans="23:33" ht="20.100000000000001" customHeight="1" x14ac:dyDescent="0.25">
      <c r="AC891" s="177"/>
    </row>
    <row r="892" spans="23:33" ht="20.100000000000001" customHeight="1" x14ac:dyDescent="0.25">
      <c r="AE892" s="147" t="s">
        <v>271</v>
      </c>
      <c r="AF892" s="147">
        <f>AF823</f>
        <v>-14042.916392509011</v>
      </c>
    </row>
    <row r="894" spans="23:33" ht="20.100000000000001" customHeight="1" x14ac:dyDescent="0.25">
      <c r="AE894" s="147" t="s">
        <v>272</v>
      </c>
      <c r="AF894" s="178">
        <f>AF892/AF890</f>
        <v>-0.97242261272935504</v>
      </c>
    </row>
    <row r="896" spans="23:33" ht="20.100000000000001" customHeight="1" x14ac:dyDescent="0.25">
      <c r="AE896" s="147" t="s">
        <v>273</v>
      </c>
      <c r="AF896" s="178">
        <f>AF892/(((AF888)*(1-F305))^(1/2))</f>
        <v>-1.0863408217711397</v>
      </c>
    </row>
    <row r="899" spans="23:33" ht="20.100000000000001" customHeight="1" x14ac:dyDescent="0.25">
      <c r="AA899" s="147" t="s">
        <v>228</v>
      </c>
      <c r="AB899" s="147" t="s">
        <v>227</v>
      </c>
      <c r="AC899" s="147" t="s">
        <v>261</v>
      </c>
      <c r="AE899" s="147" t="s">
        <v>262</v>
      </c>
      <c r="AF899" s="147" t="s">
        <v>263</v>
      </c>
      <c r="AG899" s="147" t="s">
        <v>264</v>
      </c>
    </row>
    <row r="900" spans="23:33" ht="20.100000000000001" customHeight="1" x14ac:dyDescent="0.25">
      <c r="W900" s="177">
        <v>1</v>
      </c>
      <c r="X900" s="177">
        <v>1</v>
      </c>
      <c r="Y900" s="147">
        <f>C11</f>
        <v>223.3</v>
      </c>
      <c r="Z900" s="147">
        <f>D11</f>
        <v>150</v>
      </c>
      <c r="AA900" s="147">
        <f>H11</f>
        <v>378000</v>
      </c>
      <c r="AB900" s="147" cm="1">
        <f t="array" ref="AB900:AB910">MMULT(X900:Z910,MMULT((MINVERSE(MMULT(TRANSPOSE(X900:Z910),X900:Z910))),MMULT(TRANSPOSE(X900:Z910),AA900:AA910)))</f>
        <v>393482.87228740344</v>
      </c>
      <c r="AC900" s="147">
        <f>AVERAGE(AA900:AA910)</f>
        <v>447545.45454545453</v>
      </c>
      <c r="AE900" s="147">
        <f>AB900-AC900</f>
        <v>-54062.582258051087</v>
      </c>
      <c r="AF900" s="147">
        <f t="shared" ref="AF900:AF910" si="118">AA900-AB900</f>
        <v>-15482.872287403443</v>
      </c>
      <c r="AG900" s="147">
        <f>AA900-AC900</f>
        <v>-69545.45454545453</v>
      </c>
    </row>
    <row r="901" spans="23:33" ht="20.100000000000001" customHeight="1" x14ac:dyDescent="0.25">
      <c r="W901" s="177">
        <v>2</v>
      </c>
      <c r="X901" s="177">
        <v>1</v>
      </c>
      <c r="Y901" s="147">
        <f>C12</f>
        <v>223.3</v>
      </c>
      <c r="Z901" s="147">
        <f>D12</f>
        <v>150</v>
      </c>
      <c r="AA901" s="147">
        <f>H12</f>
        <v>378000</v>
      </c>
      <c r="AB901" s="147">
        <v>393482.87228740344</v>
      </c>
      <c r="AC901" s="147">
        <f>AC900</f>
        <v>447545.45454545453</v>
      </c>
      <c r="AE901" s="147">
        <f t="shared" ref="AE901:AE910" si="119">AB901-AC901</f>
        <v>-54062.582258051087</v>
      </c>
      <c r="AF901" s="147">
        <f t="shared" si="118"/>
        <v>-15482.872287403443</v>
      </c>
      <c r="AG901" s="147">
        <f t="shared" ref="AG901:AG910" si="120">AA901-AC901</f>
        <v>-69545.45454545453</v>
      </c>
    </row>
    <row r="902" spans="23:33" ht="20.100000000000001" customHeight="1" x14ac:dyDescent="0.25">
      <c r="W902" s="177">
        <v>4</v>
      </c>
      <c r="X902" s="177">
        <v>1</v>
      </c>
      <c r="Y902" s="147">
        <f t="shared" ref="Y902:Y910" si="121">C14</f>
        <v>236.25</v>
      </c>
      <c r="Z902" s="147">
        <f t="shared" ref="Z902:Z910" si="122">D14</f>
        <v>250</v>
      </c>
      <c r="AA902" s="147">
        <f t="shared" ref="AA902:AA910" si="123">H14</f>
        <v>423000</v>
      </c>
      <c r="AB902" s="147">
        <v>425186.90876397357</v>
      </c>
      <c r="AC902" s="147">
        <f>AC900</f>
        <v>447545.45454545453</v>
      </c>
      <c r="AE902" s="147">
        <f t="shared" si="119"/>
        <v>-22358.545781480963</v>
      </c>
      <c r="AF902" s="147">
        <f t="shared" si="118"/>
        <v>-2186.9087639735662</v>
      </c>
      <c r="AG902" s="147">
        <f t="shared" si="120"/>
        <v>-24545.45454545453</v>
      </c>
    </row>
    <row r="903" spans="23:33" ht="20.100000000000001" customHeight="1" x14ac:dyDescent="0.25">
      <c r="W903" s="177">
        <v>5</v>
      </c>
      <c r="X903" s="177">
        <v>1</v>
      </c>
      <c r="Y903" s="147">
        <f t="shared" si="121"/>
        <v>236.25</v>
      </c>
      <c r="Z903" s="147">
        <f t="shared" si="122"/>
        <v>150</v>
      </c>
      <c r="AA903" s="147">
        <f t="shared" si="123"/>
        <v>423000</v>
      </c>
      <c r="AB903" s="147">
        <v>408062.30249128252</v>
      </c>
      <c r="AC903" s="147">
        <f t="shared" ref="AC903:AC910" si="124">AC902</f>
        <v>447545.45454545453</v>
      </c>
      <c r="AE903" s="147">
        <f t="shared" si="119"/>
        <v>-39483.152054172009</v>
      </c>
      <c r="AF903" s="147">
        <f t="shared" si="118"/>
        <v>14937.69750871748</v>
      </c>
      <c r="AG903" s="147">
        <f t="shared" si="120"/>
        <v>-24545.45454545453</v>
      </c>
    </row>
    <row r="904" spans="23:33" ht="20.100000000000001" customHeight="1" x14ac:dyDescent="0.25">
      <c r="W904" s="177">
        <v>6</v>
      </c>
      <c r="X904" s="177">
        <v>1</v>
      </c>
      <c r="Y904" s="147">
        <f t="shared" si="121"/>
        <v>236.25</v>
      </c>
      <c r="Z904" s="147">
        <f t="shared" si="122"/>
        <v>150</v>
      </c>
      <c r="AA904" s="147">
        <f t="shared" si="123"/>
        <v>423000</v>
      </c>
      <c r="AB904" s="147">
        <v>408062.30249128252</v>
      </c>
      <c r="AC904" s="147">
        <f t="shared" si="124"/>
        <v>447545.45454545453</v>
      </c>
      <c r="AE904" s="147">
        <f t="shared" si="119"/>
        <v>-39483.152054172009</v>
      </c>
      <c r="AF904" s="147">
        <f t="shared" si="118"/>
        <v>14937.69750871748</v>
      </c>
      <c r="AG904" s="147">
        <f t="shared" si="120"/>
        <v>-24545.45454545453</v>
      </c>
    </row>
    <row r="905" spans="23:33" ht="20.100000000000001" customHeight="1" x14ac:dyDescent="0.25">
      <c r="W905" s="177">
        <v>7</v>
      </c>
      <c r="X905" s="177">
        <v>1</v>
      </c>
      <c r="Y905" s="147">
        <f t="shared" si="121"/>
        <v>303.85000000000002</v>
      </c>
      <c r="Z905" s="147">
        <f t="shared" si="122"/>
        <v>250</v>
      </c>
      <c r="AA905" s="147">
        <f t="shared" si="123"/>
        <v>477000</v>
      </c>
      <c r="AB905" s="147">
        <v>501292.66025294864</v>
      </c>
      <c r="AC905" s="147">
        <f t="shared" si="124"/>
        <v>447545.45454545453</v>
      </c>
      <c r="AE905" s="147">
        <f t="shared" si="119"/>
        <v>53747.205707494111</v>
      </c>
      <c r="AF905" s="147">
        <f t="shared" si="118"/>
        <v>-24292.660252948641</v>
      </c>
      <c r="AG905" s="147">
        <f t="shared" si="120"/>
        <v>29454.54545454547</v>
      </c>
    </row>
    <row r="906" spans="23:33" ht="20.100000000000001" customHeight="1" x14ac:dyDescent="0.25">
      <c r="W906" s="177">
        <v>8</v>
      </c>
      <c r="X906" s="177">
        <v>1</v>
      </c>
      <c r="Y906" s="147">
        <f t="shared" si="121"/>
        <v>303.85000000000002</v>
      </c>
      <c r="Z906" s="147">
        <f t="shared" si="122"/>
        <v>150</v>
      </c>
      <c r="AA906" s="147">
        <f t="shared" si="123"/>
        <v>477000</v>
      </c>
      <c r="AB906" s="147">
        <v>484168.05398025759</v>
      </c>
      <c r="AC906" s="147">
        <f t="shared" si="124"/>
        <v>447545.45454545453</v>
      </c>
      <c r="AE906" s="147">
        <f t="shared" si="119"/>
        <v>36622.599434803065</v>
      </c>
      <c r="AF906" s="147">
        <f t="shared" si="118"/>
        <v>-7168.053980257595</v>
      </c>
      <c r="AG906" s="147">
        <f t="shared" si="120"/>
        <v>29454.54545454547</v>
      </c>
    </row>
    <row r="907" spans="23:33" ht="20.100000000000001" customHeight="1" x14ac:dyDescent="0.25">
      <c r="W907" s="177">
        <v>9</v>
      </c>
      <c r="X907" s="177">
        <v>1</v>
      </c>
      <c r="Y907" s="147">
        <f t="shared" si="121"/>
        <v>284.5</v>
      </c>
      <c r="Z907" s="147">
        <f t="shared" si="122"/>
        <v>250</v>
      </c>
      <c r="AA907" s="147">
        <f t="shared" si="123"/>
        <v>486000</v>
      </c>
      <c r="AB907" s="147">
        <v>479507.9518015926</v>
      </c>
      <c r="AC907" s="147">
        <f t="shared" si="124"/>
        <v>447545.45454545453</v>
      </c>
      <c r="AE907" s="147">
        <f t="shared" si="119"/>
        <v>31962.497256138071</v>
      </c>
      <c r="AF907" s="147">
        <f t="shared" si="118"/>
        <v>6492.0481984073995</v>
      </c>
      <c r="AG907" s="147">
        <f t="shared" si="120"/>
        <v>38454.54545454547</v>
      </c>
    </row>
    <row r="908" spans="23:33" ht="20.100000000000001" customHeight="1" x14ac:dyDescent="0.25">
      <c r="W908" s="177">
        <v>10</v>
      </c>
      <c r="X908" s="177">
        <v>1</v>
      </c>
      <c r="Y908" s="147">
        <f t="shared" si="121"/>
        <v>290.39999999999998</v>
      </c>
      <c r="Z908" s="147">
        <f t="shared" si="122"/>
        <v>200</v>
      </c>
      <c r="AA908" s="147">
        <f t="shared" si="123"/>
        <v>486000</v>
      </c>
      <c r="AB908" s="147">
        <v>477588.01454963983</v>
      </c>
      <c r="AC908" s="147">
        <f t="shared" si="124"/>
        <v>447545.45454545453</v>
      </c>
      <c r="AE908" s="147">
        <f t="shared" si="119"/>
        <v>30042.560004185303</v>
      </c>
      <c r="AF908" s="147">
        <f t="shared" si="118"/>
        <v>8411.9854503601673</v>
      </c>
      <c r="AG908" s="147">
        <f t="shared" si="120"/>
        <v>38454.54545454547</v>
      </c>
    </row>
    <row r="909" spans="23:33" ht="20.100000000000001" customHeight="1" x14ac:dyDescent="0.25">
      <c r="W909" s="177">
        <v>11</v>
      </c>
      <c r="X909" s="177">
        <v>1</v>
      </c>
      <c r="Y909" s="147">
        <f t="shared" si="121"/>
        <v>284.5</v>
      </c>
      <c r="Z909" s="147">
        <f t="shared" si="122"/>
        <v>225</v>
      </c>
      <c r="AA909" s="147">
        <f t="shared" si="123"/>
        <v>486000</v>
      </c>
      <c r="AB909" s="147">
        <v>475226.80023341981</v>
      </c>
      <c r="AC909" s="147">
        <f t="shared" si="124"/>
        <v>447545.45454545453</v>
      </c>
      <c r="AE909" s="147">
        <f t="shared" si="119"/>
        <v>27681.34568796528</v>
      </c>
      <c r="AF909" s="147">
        <f t="shared" si="118"/>
        <v>10773.19976658019</v>
      </c>
      <c r="AG909" s="147">
        <f t="shared" si="120"/>
        <v>38454.54545454547</v>
      </c>
    </row>
    <row r="910" spans="23:33" ht="20.100000000000001" customHeight="1" x14ac:dyDescent="0.25">
      <c r="W910" s="177">
        <v>12</v>
      </c>
      <c r="X910" s="177">
        <v>1</v>
      </c>
      <c r="Y910" s="147">
        <f t="shared" si="121"/>
        <v>284.5</v>
      </c>
      <c r="Z910" s="147">
        <f t="shared" si="122"/>
        <v>235</v>
      </c>
      <c r="AA910" s="147">
        <f t="shared" si="123"/>
        <v>486000</v>
      </c>
      <c r="AB910" s="147">
        <v>476939.26086068893</v>
      </c>
      <c r="AC910" s="147">
        <f t="shared" si="124"/>
        <v>447545.45454545453</v>
      </c>
      <c r="AE910" s="147">
        <f t="shared" si="119"/>
        <v>29393.806315234397</v>
      </c>
      <c r="AF910" s="147">
        <f t="shared" si="118"/>
        <v>9060.7391393110738</v>
      </c>
      <c r="AG910" s="147">
        <f t="shared" si="120"/>
        <v>38454.54545454547</v>
      </c>
    </row>
    <row r="912" spans="23:33" ht="20.100000000000001" customHeight="1" x14ac:dyDescent="0.25">
      <c r="AE912" s="147">
        <f>SUMSQ(AE900:AE910)</f>
        <v>17247655064.518974</v>
      </c>
      <c r="AF912" s="147">
        <f>SUMSQ(AF900:AF910)</f>
        <v>1883072208.2198048</v>
      </c>
      <c r="AG912" s="147">
        <f>SUMSQ(AG900:AG910)</f>
        <v>19130727272.727268</v>
      </c>
    </row>
    <row r="913" spans="23:33" ht="20.100000000000001" customHeight="1" x14ac:dyDescent="0.25">
      <c r="AB913" s="147" t="s">
        <v>265</v>
      </c>
      <c r="AC913" s="177">
        <f>COUNT(W900:W910)</f>
        <v>11</v>
      </c>
    </row>
    <row r="914" spans="23:33" ht="20.100000000000001" customHeight="1" x14ac:dyDescent="0.25">
      <c r="AB914" s="147" t="s">
        <v>266</v>
      </c>
      <c r="AC914" s="177">
        <v>2</v>
      </c>
      <c r="AE914" s="147" t="s">
        <v>269</v>
      </c>
      <c r="AF914" s="147">
        <f>AF912/AC916</f>
        <v>235384026.0274756</v>
      </c>
    </row>
    <row r="915" spans="23:33" ht="20.100000000000001" customHeight="1" x14ac:dyDescent="0.25">
      <c r="AB915" s="147" t="s">
        <v>267</v>
      </c>
      <c r="AC915" s="177">
        <f>AC914+1</f>
        <v>3</v>
      </c>
    </row>
    <row r="916" spans="23:33" ht="20.100000000000001" customHeight="1" x14ac:dyDescent="0.25">
      <c r="AB916" s="147" t="s">
        <v>268</v>
      </c>
      <c r="AC916" s="177">
        <f>AC913-AC915</f>
        <v>8</v>
      </c>
      <c r="AE916" s="147" t="s">
        <v>270</v>
      </c>
      <c r="AF916" s="147">
        <f>(AF912/AC916)^(1/2)</f>
        <v>15342.230151691625</v>
      </c>
    </row>
    <row r="917" spans="23:33" ht="20.100000000000001" customHeight="1" x14ac:dyDescent="0.25">
      <c r="AC917" s="177"/>
    </row>
    <row r="918" spans="23:33" ht="20.100000000000001" customHeight="1" x14ac:dyDescent="0.25">
      <c r="AE918" s="147" t="s">
        <v>271</v>
      </c>
      <c r="AF918" s="147">
        <f>AF824</f>
        <v>-4540.1219118112349</v>
      </c>
    </row>
    <row r="920" spans="23:33" ht="20.100000000000001" customHeight="1" x14ac:dyDescent="0.25">
      <c r="AE920" s="147" t="s">
        <v>272</v>
      </c>
      <c r="AF920" s="178">
        <f>AF918/AF916</f>
        <v>-0.29592320457470417</v>
      </c>
    </row>
    <row r="922" spans="23:33" ht="20.100000000000001" customHeight="1" x14ac:dyDescent="0.25">
      <c r="AE922" s="147" t="s">
        <v>273</v>
      </c>
      <c r="AF922" s="178">
        <f>AF918/(((AF914)*(1-F306))^(1/2))</f>
        <v>-0.36535593805325012</v>
      </c>
    </row>
    <row r="925" spans="23:33" ht="20.100000000000001" customHeight="1" x14ac:dyDescent="0.25">
      <c r="AA925" s="147" t="s">
        <v>228</v>
      </c>
      <c r="AB925" s="147" t="s">
        <v>227</v>
      </c>
      <c r="AC925" s="147" t="s">
        <v>261</v>
      </c>
      <c r="AE925" s="147" t="s">
        <v>262</v>
      </c>
      <c r="AF925" s="147" t="s">
        <v>263</v>
      </c>
      <c r="AG925" s="147" t="s">
        <v>264</v>
      </c>
    </row>
    <row r="926" spans="23:33" ht="20.100000000000001" customHeight="1" x14ac:dyDescent="0.25">
      <c r="W926" s="177">
        <v>1</v>
      </c>
      <c r="X926" s="177">
        <v>1</v>
      </c>
      <c r="Y926" s="147">
        <f t="shared" ref="Y926:Z928" si="125">C11</f>
        <v>223.3</v>
      </c>
      <c r="Z926" s="147">
        <f t="shared" si="125"/>
        <v>150</v>
      </c>
      <c r="AA926" s="147">
        <f>H11</f>
        <v>378000</v>
      </c>
      <c r="AB926" s="147" cm="1">
        <f t="array" ref="AB926:AB936">MMULT(X926:Z936,MMULT((MINVERSE(MMULT(TRANSPOSE(X926:Z936),X926:Z936))),MMULT(TRANSPOSE(X926:Z936),AA926:AA936)))</f>
        <v>392796.37394848175</v>
      </c>
      <c r="AC926" s="147">
        <f>AVERAGE(AA926:AA936)</f>
        <v>443454.54545454547</v>
      </c>
      <c r="AE926" s="147">
        <f>AB926-AC926</f>
        <v>-50658.171506063722</v>
      </c>
      <c r="AF926" s="147">
        <f t="shared" ref="AF926:AF936" si="126">AA926-AB926</f>
        <v>-14796.373948481749</v>
      </c>
      <c r="AG926" s="147">
        <f>AA926-AC926</f>
        <v>-65454.54545454547</v>
      </c>
    </row>
    <row r="927" spans="23:33" ht="20.100000000000001" customHeight="1" x14ac:dyDescent="0.25">
      <c r="W927" s="177">
        <v>2</v>
      </c>
      <c r="X927" s="177">
        <v>1</v>
      </c>
      <c r="Y927" s="147">
        <f t="shared" si="125"/>
        <v>223.3</v>
      </c>
      <c r="Z927" s="147">
        <f t="shared" si="125"/>
        <v>150</v>
      </c>
      <c r="AA927" s="147">
        <f>H12</f>
        <v>378000</v>
      </c>
      <c r="AB927" s="147">
        <v>392796.37394848175</v>
      </c>
      <c r="AC927" s="147">
        <f>AC926</f>
        <v>443454.54545454547</v>
      </c>
      <c r="AE927" s="147">
        <f t="shared" ref="AE927:AE936" si="127">AB927-AC927</f>
        <v>-50658.171506063722</v>
      </c>
      <c r="AF927" s="147">
        <f t="shared" si="126"/>
        <v>-14796.373948481749</v>
      </c>
      <c r="AG927" s="147">
        <f t="shared" ref="AG927:AG936" si="128">AA927-AC927</f>
        <v>-65454.54545454547</v>
      </c>
    </row>
    <row r="928" spans="23:33" ht="20.100000000000001" customHeight="1" x14ac:dyDescent="0.25">
      <c r="W928" s="177">
        <v>3</v>
      </c>
      <c r="X928" s="177">
        <v>1</v>
      </c>
      <c r="Y928" s="147">
        <f t="shared" si="125"/>
        <v>223.3</v>
      </c>
      <c r="Z928" s="147">
        <f t="shared" si="125"/>
        <v>100</v>
      </c>
      <c r="AA928" s="147">
        <f>H13</f>
        <v>378000</v>
      </c>
      <c r="AB928" s="147">
        <v>382166.31698528142</v>
      </c>
      <c r="AC928" s="147">
        <f t="shared" ref="AC928:AC936" si="129">AC927</f>
        <v>443454.54545454547</v>
      </c>
      <c r="AE928" s="147">
        <f t="shared" si="127"/>
        <v>-61288.228469264053</v>
      </c>
      <c r="AF928" s="147">
        <f t="shared" si="126"/>
        <v>-4166.3169852814171</v>
      </c>
      <c r="AG928" s="147">
        <f t="shared" si="128"/>
        <v>-65454.54545454547</v>
      </c>
    </row>
    <row r="929" spans="23:33" ht="20.100000000000001" customHeight="1" x14ac:dyDescent="0.25">
      <c r="W929" s="177">
        <v>5</v>
      </c>
      <c r="X929" s="177">
        <v>1</v>
      </c>
      <c r="Y929" s="147">
        <f t="shared" ref="Y929:Z936" si="130">C15</f>
        <v>236.25</v>
      </c>
      <c r="Z929" s="147">
        <f t="shared" si="130"/>
        <v>150</v>
      </c>
      <c r="AA929" s="147">
        <f t="shared" ref="AA929:AA936" si="131">H15</f>
        <v>423000</v>
      </c>
      <c r="AB929" s="147">
        <v>407018.69521827844</v>
      </c>
      <c r="AC929" s="147">
        <f>AC928</f>
        <v>443454.54545454547</v>
      </c>
      <c r="AE929" s="147">
        <f t="shared" si="127"/>
        <v>-36435.850236267026</v>
      </c>
      <c r="AF929" s="147">
        <f t="shared" si="126"/>
        <v>15981.304781721556</v>
      </c>
      <c r="AG929" s="147">
        <f t="shared" si="128"/>
        <v>-20454.54545454547</v>
      </c>
    </row>
    <row r="930" spans="23:33" ht="20.100000000000001" customHeight="1" x14ac:dyDescent="0.25">
      <c r="W930" s="177">
        <v>6</v>
      </c>
      <c r="X930" s="177">
        <v>1</v>
      </c>
      <c r="Y930" s="147">
        <f t="shared" si="130"/>
        <v>236.25</v>
      </c>
      <c r="Z930" s="147">
        <f t="shared" si="130"/>
        <v>150</v>
      </c>
      <c r="AA930" s="147">
        <f t="shared" si="131"/>
        <v>423000</v>
      </c>
      <c r="AB930" s="147">
        <v>407018.69521827844</v>
      </c>
      <c r="AC930" s="147">
        <f t="shared" si="129"/>
        <v>443454.54545454547</v>
      </c>
      <c r="AE930" s="147">
        <f t="shared" si="127"/>
        <v>-36435.850236267026</v>
      </c>
      <c r="AF930" s="147">
        <f t="shared" si="126"/>
        <v>15981.304781721556</v>
      </c>
      <c r="AG930" s="147">
        <f t="shared" si="128"/>
        <v>-20454.54545454547</v>
      </c>
    </row>
    <row r="931" spans="23:33" ht="20.100000000000001" customHeight="1" x14ac:dyDescent="0.25">
      <c r="W931" s="177">
        <v>7</v>
      </c>
      <c r="X931" s="177">
        <v>1</v>
      </c>
      <c r="Y931" s="147">
        <f t="shared" si="130"/>
        <v>303.85000000000002</v>
      </c>
      <c r="Z931" s="147">
        <f t="shared" si="130"/>
        <v>250</v>
      </c>
      <c r="AA931" s="147">
        <f t="shared" si="131"/>
        <v>477000</v>
      </c>
      <c r="AB931" s="147">
        <v>502520.42442176456</v>
      </c>
      <c r="AC931" s="147">
        <f t="shared" si="129"/>
        <v>443454.54545454547</v>
      </c>
      <c r="AE931" s="147">
        <f t="shared" si="127"/>
        <v>59065.878967219091</v>
      </c>
      <c r="AF931" s="147">
        <f t="shared" si="126"/>
        <v>-25520.424421764561</v>
      </c>
      <c r="AG931" s="147">
        <f t="shared" si="128"/>
        <v>33545.45454545453</v>
      </c>
    </row>
    <row r="932" spans="23:33" ht="20.100000000000001" customHeight="1" x14ac:dyDescent="0.25">
      <c r="W932" s="177">
        <v>8</v>
      </c>
      <c r="X932" s="177">
        <v>1</v>
      </c>
      <c r="Y932" s="147">
        <f t="shared" si="130"/>
        <v>303.85000000000002</v>
      </c>
      <c r="Z932" s="147">
        <f t="shared" si="130"/>
        <v>150</v>
      </c>
      <c r="AA932" s="147">
        <f t="shared" si="131"/>
        <v>477000</v>
      </c>
      <c r="AB932" s="147">
        <v>481260.3104953639</v>
      </c>
      <c r="AC932" s="147">
        <f t="shared" si="129"/>
        <v>443454.54545454547</v>
      </c>
      <c r="AE932" s="147">
        <f t="shared" si="127"/>
        <v>37805.765040818427</v>
      </c>
      <c r="AF932" s="147">
        <f t="shared" si="126"/>
        <v>-4260.3104953638976</v>
      </c>
      <c r="AG932" s="147">
        <f t="shared" si="128"/>
        <v>33545.45454545453</v>
      </c>
    </row>
    <row r="933" spans="23:33" ht="20.100000000000001" customHeight="1" x14ac:dyDescent="0.25">
      <c r="W933" s="177">
        <v>9</v>
      </c>
      <c r="X933" s="177">
        <v>1</v>
      </c>
      <c r="Y933" s="147">
        <f t="shared" si="130"/>
        <v>284.5</v>
      </c>
      <c r="Z933" s="147">
        <f t="shared" si="130"/>
        <v>250</v>
      </c>
      <c r="AA933" s="147">
        <f t="shared" si="131"/>
        <v>486000</v>
      </c>
      <c r="AB933" s="147">
        <v>481269.3111730722</v>
      </c>
      <c r="AC933" s="147">
        <f t="shared" si="129"/>
        <v>443454.54545454547</v>
      </c>
      <c r="AE933" s="147">
        <f t="shared" si="127"/>
        <v>37814.765718526731</v>
      </c>
      <c r="AF933" s="147">
        <f t="shared" si="126"/>
        <v>4730.6888269277988</v>
      </c>
      <c r="AG933" s="147">
        <f t="shared" si="128"/>
        <v>42545.45454545453</v>
      </c>
    </row>
    <row r="934" spans="23:33" ht="20.100000000000001" customHeight="1" x14ac:dyDescent="0.25">
      <c r="W934" s="177">
        <v>10</v>
      </c>
      <c r="X934" s="177">
        <v>1</v>
      </c>
      <c r="Y934" s="147">
        <f t="shared" si="130"/>
        <v>290.39999999999998</v>
      </c>
      <c r="Z934" s="147">
        <f t="shared" si="130"/>
        <v>200</v>
      </c>
      <c r="AA934" s="147">
        <f t="shared" si="131"/>
        <v>486000</v>
      </c>
      <c r="AB934" s="147">
        <v>477118.92181541631</v>
      </c>
      <c r="AC934" s="147">
        <f t="shared" si="129"/>
        <v>443454.54545454547</v>
      </c>
      <c r="AE934" s="147">
        <f t="shared" si="127"/>
        <v>33664.37636087084</v>
      </c>
      <c r="AF934" s="147">
        <f t="shared" si="126"/>
        <v>8881.07818458369</v>
      </c>
      <c r="AG934" s="147">
        <f t="shared" si="128"/>
        <v>42545.45454545453</v>
      </c>
    </row>
    <row r="935" spans="23:33" ht="20.100000000000001" customHeight="1" x14ac:dyDescent="0.25">
      <c r="W935" s="177">
        <v>11</v>
      </c>
      <c r="X935" s="177">
        <v>1</v>
      </c>
      <c r="Y935" s="147">
        <f t="shared" si="130"/>
        <v>284.5</v>
      </c>
      <c r="Z935" s="147">
        <f t="shared" si="130"/>
        <v>225</v>
      </c>
      <c r="AA935" s="147">
        <f t="shared" si="131"/>
        <v>486000</v>
      </c>
      <c r="AB935" s="147">
        <v>475954.28269147204</v>
      </c>
      <c r="AC935" s="147">
        <f t="shared" si="129"/>
        <v>443454.54545454547</v>
      </c>
      <c r="AE935" s="147">
        <f t="shared" si="127"/>
        <v>32499.737236926565</v>
      </c>
      <c r="AF935" s="147">
        <f t="shared" si="126"/>
        <v>10045.717308527965</v>
      </c>
      <c r="AG935" s="147">
        <f t="shared" si="128"/>
        <v>42545.45454545453</v>
      </c>
    </row>
    <row r="936" spans="23:33" ht="20.100000000000001" customHeight="1" x14ac:dyDescent="0.25">
      <c r="W936" s="177">
        <v>12</v>
      </c>
      <c r="X936" s="177">
        <v>1</v>
      </c>
      <c r="Y936" s="147">
        <f t="shared" si="130"/>
        <v>284.5</v>
      </c>
      <c r="Z936" s="147">
        <f t="shared" si="130"/>
        <v>235</v>
      </c>
      <c r="AA936" s="147">
        <f t="shared" si="131"/>
        <v>486000</v>
      </c>
      <c r="AB936" s="147">
        <v>478080.2940841121</v>
      </c>
      <c r="AC936" s="147">
        <f t="shared" si="129"/>
        <v>443454.54545454547</v>
      </c>
      <c r="AE936" s="147">
        <f t="shared" si="127"/>
        <v>34625.748629566631</v>
      </c>
      <c r="AF936" s="147">
        <f t="shared" si="126"/>
        <v>7919.7059158878983</v>
      </c>
      <c r="AG936" s="147">
        <f t="shared" si="128"/>
        <v>42545.45454545453</v>
      </c>
    </row>
    <row r="938" spans="23:33" ht="20.100000000000001" customHeight="1" x14ac:dyDescent="0.25">
      <c r="AE938" s="147">
        <f>SUMSQ(AE926:AE936)</f>
        <v>21280366053.687977</v>
      </c>
      <c r="AF938" s="147">
        <f>SUMSQ(AF926:AF936)</f>
        <v>1900361219.0398366</v>
      </c>
      <c r="AG938" s="147">
        <f>SUMSQ(AG926:AG936)</f>
        <v>23180727272.727268</v>
      </c>
    </row>
    <row r="939" spans="23:33" ht="20.100000000000001" customHeight="1" x14ac:dyDescent="0.25">
      <c r="AB939" s="147" t="s">
        <v>265</v>
      </c>
      <c r="AC939" s="177">
        <f>COUNT(W926:W936)</f>
        <v>11</v>
      </c>
    </row>
    <row r="940" spans="23:33" ht="20.100000000000001" customHeight="1" x14ac:dyDescent="0.25">
      <c r="AB940" s="147" t="s">
        <v>266</v>
      </c>
      <c r="AC940" s="177">
        <v>2</v>
      </c>
      <c r="AE940" s="147" t="s">
        <v>269</v>
      </c>
      <c r="AF940" s="147">
        <f>AF938/AC942</f>
        <v>237545152.37997958</v>
      </c>
    </row>
    <row r="941" spans="23:33" ht="20.100000000000001" customHeight="1" x14ac:dyDescent="0.25">
      <c r="AB941" s="147" t="s">
        <v>267</v>
      </c>
      <c r="AC941" s="177">
        <f>AC940+1</f>
        <v>3</v>
      </c>
    </row>
    <row r="942" spans="23:33" ht="20.100000000000001" customHeight="1" x14ac:dyDescent="0.25">
      <c r="AB942" s="147" t="s">
        <v>268</v>
      </c>
      <c r="AC942" s="177">
        <f>AC939-AC941</f>
        <v>8</v>
      </c>
      <c r="AE942" s="147" t="s">
        <v>270</v>
      </c>
      <c r="AF942" s="147">
        <f>(AF938/AC942)^(1/2)</f>
        <v>15412.499874451893</v>
      </c>
    </row>
    <row r="943" spans="23:33" ht="20.100000000000001" customHeight="1" x14ac:dyDescent="0.25">
      <c r="AC943" s="177"/>
    </row>
    <row r="944" spans="23:33" ht="20.100000000000001" customHeight="1" x14ac:dyDescent="0.25">
      <c r="AE944" s="147" t="s">
        <v>271</v>
      </c>
      <c r="AF944" s="147">
        <f>AF825</f>
        <v>-2676.9705889532343</v>
      </c>
    </row>
    <row r="946" spans="23:33" ht="20.100000000000001" customHeight="1" x14ac:dyDescent="0.25">
      <c r="AE946" s="147" t="s">
        <v>272</v>
      </c>
      <c r="AF946" s="178">
        <f>AF944/AF942</f>
        <v>-0.17368827969242298</v>
      </c>
    </row>
    <row r="948" spans="23:33" ht="20.100000000000001" customHeight="1" x14ac:dyDescent="0.25">
      <c r="AE948" s="147" t="s">
        <v>273</v>
      </c>
      <c r="AF948" s="178">
        <f>AF944/(((AF940)*(1-F307))^(1/2))</f>
        <v>-0.24390274831028505</v>
      </c>
    </row>
    <row r="951" spans="23:33" ht="20.100000000000001" customHeight="1" x14ac:dyDescent="0.25">
      <c r="AA951" s="147" t="s">
        <v>228</v>
      </c>
      <c r="AB951" s="147" t="s">
        <v>227</v>
      </c>
      <c r="AC951" s="147" t="s">
        <v>261</v>
      </c>
      <c r="AE951" s="147" t="s">
        <v>262</v>
      </c>
      <c r="AF951" s="147" t="s">
        <v>263</v>
      </c>
      <c r="AG951" s="147" t="s">
        <v>264</v>
      </c>
    </row>
    <row r="952" spans="23:33" ht="20.100000000000001" customHeight="1" x14ac:dyDescent="0.25">
      <c r="W952" s="177">
        <v>1</v>
      </c>
      <c r="X952" s="177">
        <v>1</v>
      </c>
      <c r="Y952" s="147">
        <f t="shared" ref="Y952:Z955" si="132">C11</f>
        <v>223.3</v>
      </c>
      <c r="Z952" s="147">
        <f t="shared" si="132"/>
        <v>150</v>
      </c>
      <c r="AA952" s="147">
        <f>H11</f>
        <v>378000</v>
      </c>
      <c r="AB952" s="147" cm="1">
        <f t="array" ref="AB952:AB962">MMULT(X952:Z962,MMULT((MINVERSE(MMULT(TRANSPOSE(X952:Z962),X952:Z962))),MMULT(TRANSPOSE(X952:Z962),AA952:AA962)))</f>
        <v>388960.59024861758</v>
      </c>
      <c r="AC952" s="147">
        <f>AVERAGE(AA952:AA962)</f>
        <v>443454.54545454547</v>
      </c>
      <c r="AE952" s="147">
        <f>AB952-AC952</f>
        <v>-54493.955205927894</v>
      </c>
      <c r="AF952" s="147">
        <f t="shared" ref="AF952:AF962" si="133">AA952-AB952</f>
        <v>-10960.590248617576</v>
      </c>
      <c r="AG952" s="147">
        <f>AA952-AC952</f>
        <v>-65454.54545454547</v>
      </c>
    </row>
    <row r="953" spans="23:33" ht="20.100000000000001" customHeight="1" x14ac:dyDescent="0.25">
      <c r="W953" s="177">
        <v>2</v>
      </c>
      <c r="X953" s="177">
        <v>1</v>
      </c>
      <c r="Y953" s="147">
        <f t="shared" si="132"/>
        <v>223.3</v>
      </c>
      <c r="Z953" s="147">
        <f t="shared" si="132"/>
        <v>150</v>
      </c>
      <c r="AA953" s="147">
        <f>H12</f>
        <v>378000</v>
      </c>
      <c r="AB953" s="147">
        <v>388960.59024861758</v>
      </c>
      <c r="AC953" s="147">
        <f>AC952</f>
        <v>443454.54545454547</v>
      </c>
      <c r="AE953" s="147">
        <f t="shared" ref="AE953:AE962" si="134">AB953-AC953</f>
        <v>-54493.955205927894</v>
      </c>
      <c r="AF953" s="147">
        <f t="shared" si="133"/>
        <v>-10960.590248617576</v>
      </c>
      <c r="AG953" s="147">
        <f t="shared" ref="AG953:AG962" si="135">AA953-AC953</f>
        <v>-65454.54545454547</v>
      </c>
    </row>
    <row r="954" spans="23:33" ht="20.100000000000001" customHeight="1" x14ac:dyDescent="0.25">
      <c r="W954" s="177">
        <v>3</v>
      </c>
      <c r="X954" s="177">
        <v>1</v>
      </c>
      <c r="Y954" s="147">
        <f t="shared" si="132"/>
        <v>223.3</v>
      </c>
      <c r="Z954" s="147">
        <f t="shared" si="132"/>
        <v>100</v>
      </c>
      <c r="AA954" s="147">
        <f>H13</f>
        <v>378000</v>
      </c>
      <c r="AB954" s="147">
        <v>378702.01367847406</v>
      </c>
      <c r="AC954" s="147">
        <f t="shared" ref="AC954:AC962" si="136">AC953</f>
        <v>443454.54545454547</v>
      </c>
      <c r="AE954" s="147">
        <f t="shared" si="134"/>
        <v>-64752.53177607141</v>
      </c>
      <c r="AF954" s="147">
        <f t="shared" si="133"/>
        <v>-702.01367847406073</v>
      </c>
      <c r="AG954" s="147">
        <f t="shared" si="135"/>
        <v>-65454.54545454547</v>
      </c>
    </row>
    <row r="955" spans="23:33" ht="20.100000000000001" customHeight="1" x14ac:dyDescent="0.25">
      <c r="W955" s="177">
        <v>4</v>
      </c>
      <c r="X955" s="177">
        <v>1</v>
      </c>
      <c r="Y955" s="147">
        <f t="shared" si="132"/>
        <v>236.25</v>
      </c>
      <c r="Z955" s="147">
        <f t="shared" si="132"/>
        <v>250</v>
      </c>
      <c r="AA955" s="147">
        <f>H14</f>
        <v>423000</v>
      </c>
      <c r="AB955" s="147">
        <v>424420.52864482405</v>
      </c>
      <c r="AC955" s="147">
        <f t="shared" si="136"/>
        <v>443454.54545454547</v>
      </c>
      <c r="AE955" s="147">
        <f t="shared" si="134"/>
        <v>-19034.016809721419</v>
      </c>
      <c r="AF955" s="147">
        <f t="shared" si="133"/>
        <v>-1420.5286448240513</v>
      </c>
      <c r="AG955" s="147">
        <f t="shared" si="135"/>
        <v>-20454.54545454547</v>
      </c>
    </row>
    <row r="956" spans="23:33" ht="20.100000000000001" customHeight="1" x14ac:dyDescent="0.25">
      <c r="W956" s="177">
        <v>6</v>
      </c>
      <c r="X956" s="177">
        <v>1</v>
      </c>
      <c r="Y956" s="147">
        <f t="shared" ref="Y956:Z962" si="137">C16</f>
        <v>236.25</v>
      </c>
      <c r="Z956" s="147">
        <f t="shared" si="137"/>
        <v>150</v>
      </c>
      <c r="AA956" s="147">
        <f t="shared" ref="AA956:AA962" si="138">H16</f>
        <v>423000</v>
      </c>
      <c r="AB956" s="147">
        <v>403903.37550453702</v>
      </c>
      <c r="AC956" s="147">
        <f>AC955</f>
        <v>443454.54545454547</v>
      </c>
      <c r="AE956" s="147">
        <f t="shared" si="134"/>
        <v>-39551.169950008451</v>
      </c>
      <c r="AF956" s="147">
        <f t="shared" si="133"/>
        <v>19096.62449546298</v>
      </c>
      <c r="AG956" s="147">
        <f t="shared" si="135"/>
        <v>-20454.54545454547</v>
      </c>
    </row>
    <row r="957" spans="23:33" ht="20.100000000000001" customHeight="1" x14ac:dyDescent="0.25">
      <c r="W957" s="177">
        <v>7</v>
      </c>
      <c r="X957" s="177">
        <v>1</v>
      </c>
      <c r="Y957" s="147">
        <f t="shared" si="137"/>
        <v>303.85000000000002</v>
      </c>
      <c r="Z957" s="147">
        <f t="shared" si="137"/>
        <v>250</v>
      </c>
      <c r="AA957" s="147">
        <f t="shared" si="138"/>
        <v>477000</v>
      </c>
      <c r="AB957" s="147">
        <v>502423.02156375546</v>
      </c>
      <c r="AC957" s="147">
        <f t="shared" si="136"/>
        <v>443454.54545454547</v>
      </c>
      <c r="AE957" s="147">
        <f t="shared" si="134"/>
        <v>58968.476109209994</v>
      </c>
      <c r="AF957" s="147">
        <f t="shared" si="133"/>
        <v>-25423.021563755465</v>
      </c>
      <c r="AG957" s="147">
        <f t="shared" si="135"/>
        <v>33545.45454545453</v>
      </c>
    </row>
    <row r="958" spans="23:33" ht="20.100000000000001" customHeight="1" x14ac:dyDescent="0.25">
      <c r="W958" s="177">
        <v>8</v>
      </c>
      <c r="X958" s="177">
        <v>1</v>
      </c>
      <c r="Y958" s="147">
        <f t="shared" si="137"/>
        <v>303.85000000000002</v>
      </c>
      <c r="Z958" s="147">
        <f t="shared" si="137"/>
        <v>150</v>
      </c>
      <c r="AA958" s="147">
        <f t="shared" si="138"/>
        <v>477000</v>
      </c>
      <c r="AB958" s="147">
        <v>481905.86842346855</v>
      </c>
      <c r="AC958" s="147">
        <f t="shared" si="136"/>
        <v>443454.54545454547</v>
      </c>
      <c r="AE958" s="147">
        <f t="shared" si="134"/>
        <v>38451.322968923079</v>
      </c>
      <c r="AF958" s="147">
        <f t="shared" si="133"/>
        <v>-4905.8684234685497</v>
      </c>
      <c r="AG958" s="147">
        <f t="shared" si="135"/>
        <v>33545.45454545453</v>
      </c>
    </row>
    <row r="959" spans="23:33" ht="20.100000000000001" customHeight="1" x14ac:dyDescent="0.25">
      <c r="W959" s="177">
        <v>9</v>
      </c>
      <c r="X959" s="177">
        <v>1</v>
      </c>
      <c r="Y959" s="147">
        <f t="shared" si="137"/>
        <v>284.5</v>
      </c>
      <c r="Z959" s="147">
        <f t="shared" si="137"/>
        <v>250</v>
      </c>
      <c r="AA959" s="147">
        <f t="shared" si="138"/>
        <v>486000</v>
      </c>
      <c r="AB959" s="147">
        <v>480095.38490722701</v>
      </c>
      <c r="AC959" s="147">
        <f t="shared" si="136"/>
        <v>443454.54545454547</v>
      </c>
      <c r="AE959" s="147">
        <f t="shared" si="134"/>
        <v>36640.839452681539</v>
      </c>
      <c r="AF959" s="147">
        <f t="shared" si="133"/>
        <v>5904.6150927729905</v>
      </c>
      <c r="AG959" s="147">
        <f t="shared" si="135"/>
        <v>42545.45454545453</v>
      </c>
    </row>
    <row r="960" spans="23:33" ht="20.100000000000001" customHeight="1" x14ac:dyDescent="0.25">
      <c r="W960" s="177">
        <v>10</v>
      </c>
      <c r="X960" s="177">
        <v>1</v>
      </c>
      <c r="Y960" s="147">
        <f t="shared" si="137"/>
        <v>290.39999999999998</v>
      </c>
      <c r="Z960" s="147">
        <f t="shared" si="137"/>
        <v>200</v>
      </c>
      <c r="AA960" s="147">
        <f t="shared" si="138"/>
        <v>486000</v>
      </c>
      <c r="AB960" s="147">
        <v>476644.71822201984</v>
      </c>
      <c r="AC960" s="147">
        <f t="shared" si="136"/>
        <v>443454.54545454547</v>
      </c>
      <c r="AE960" s="147">
        <f t="shared" si="134"/>
        <v>33190.172767474374</v>
      </c>
      <c r="AF960" s="147">
        <f t="shared" si="133"/>
        <v>9355.2817779801553</v>
      </c>
      <c r="AG960" s="147">
        <f t="shared" si="135"/>
        <v>42545.45454545453</v>
      </c>
    </row>
    <row r="961" spans="23:33" ht="20.100000000000001" customHeight="1" x14ac:dyDescent="0.25">
      <c r="W961" s="177">
        <v>11</v>
      </c>
      <c r="X961" s="177">
        <v>1</v>
      </c>
      <c r="Y961" s="147">
        <f t="shared" si="137"/>
        <v>284.5</v>
      </c>
      <c r="Z961" s="147">
        <f t="shared" si="137"/>
        <v>225</v>
      </c>
      <c r="AA961" s="147">
        <f t="shared" si="138"/>
        <v>486000</v>
      </c>
      <c r="AB961" s="147">
        <v>474966.09662215528</v>
      </c>
      <c r="AC961" s="147">
        <f t="shared" si="136"/>
        <v>443454.54545454547</v>
      </c>
      <c r="AE961" s="147">
        <f t="shared" si="134"/>
        <v>31511.55116760981</v>
      </c>
      <c r="AF961" s="147">
        <f t="shared" si="133"/>
        <v>11033.903377844719</v>
      </c>
      <c r="AG961" s="147">
        <f t="shared" si="135"/>
        <v>42545.45454545453</v>
      </c>
    </row>
    <row r="962" spans="23:33" ht="20.100000000000001" customHeight="1" x14ac:dyDescent="0.25">
      <c r="W962" s="177">
        <v>12</v>
      </c>
      <c r="X962" s="177">
        <v>1</v>
      </c>
      <c r="Y962" s="147">
        <f t="shared" si="137"/>
        <v>284.5</v>
      </c>
      <c r="Z962" s="147">
        <f t="shared" si="137"/>
        <v>235</v>
      </c>
      <c r="AA962" s="147">
        <f t="shared" si="138"/>
        <v>486000</v>
      </c>
      <c r="AB962" s="147">
        <v>477017.81193618401</v>
      </c>
      <c r="AC962" s="147">
        <f t="shared" si="136"/>
        <v>443454.54545454547</v>
      </c>
      <c r="AE962" s="147">
        <f t="shared" si="134"/>
        <v>33563.266481638537</v>
      </c>
      <c r="AF962" s="147">
        <f t="shared" si="133"/>
        <v>8982.1880638159928</v>
      </c>
      <c r="AG962" s="147">
        <f t="shared" si="135"/>
        <v>42545.45454545453</v>
      </c>
    </row>
    <row r="964" spans="23:33" ht="20.100000000000001" customHeight="1" x14ac:dyDescent="0.25">
      <c r="AE964" s="147">
        <f>SUMSQ(AE952:AE962)</f>
        <v>21578056330.450951</v>
      </c>
      <c r="AF964" s="147">
        <f>SUMSQ(AF952:AF962)</f>
        <v>1602670942.2765713</v>
      </c>
      <c r="AG964" s="147">
        <f>SUMSQ(AG952:AG962)</f>
        <v>23180727272.727268</v>
      </c>
    </row>
    <row r="965" spans="23:33" ht="20.100000000000001" customHeight="1" x14ac:dyDescent="0.25">
      <c r="AB965" s="147" t="s">
        <v>265</v>
      </c>
      <c r="AC965" s="177">
        <f>COUNT(W952:W962)</f>
        <v>11</v>
      </c>
    </row>
    <row r="966" spans="23:33" ht="20.100000000000001" customHeight="1" x14ac:dyDescent="0.25">
      <c r="AB966" s="147" t="s">
        <v>266</v>
      </c>
      <c r="AC966" s="177">
        <v>2</v>
      </c>
      <c r="AE966" s="147" t="s">
        <v>269</v>
      </c>
      <c r="AF966" s="147">
        <f>AF964/AC968</f>
        <v>200333867.78457141</v>
      </c>
    </row>
    <row r="967" spans="23:33" ht="20.100000000000001" customHeight="1" x14ac:dyDescent="0.25">
      <c r="AB967" s="147" t="s">
        <v>267</v>
      </c>
      <c r="AC967" s="177">
        <f>AC966+1</f>
        <v>3</v>
      </c>
    </row>
    <row r="968" spans="23:33" ht="20.100000000000001" customHeight="1" x14ac:dyDescent="0.25">
      <c r="AB968" s="147" t="s">
        <v>268</v>
      </c>
      <c r="AC968" s="177">
        <f>AC965-AC967</f>
        <v>8</v>
      </c>
      <c r="AE968" s="147" t="s">
        <v>270</v>
      </c>
      <c r="AF968" s="147">
        <f>(AF964/AC968)^(1/2)</f>
        <v>14153.93471034014</v>
      </c>
    </row>
    <row r="969" spans="23:33" ht="20.100000000000001" customHeight="1" x14ac:dyDescent="0.25">
      <c r="AC969" s="177"/>
    </row>
    <row r="970" spans="23:33" ht="20.100000000000001" customHeight="1" x14ac:dyDescent="0.25">
      <c r="AE970" s="147" t="s">
        <v>271</v>
      </c>
      <c r="AF970" s="147">
        <f>AF826</f>
        <v>16328.618372442317</v>
      </c>
    </row>
    <row r="972" spans="23:33" ht="20.100000000000001" customHeight="1" x14ac:dyDescent="0.25">
      <c r="AE972" s="147" t="s">
        <v>272</v>
      </c>
      <c r="AF972" s="178">
        <f>AF970/AF968</f>
        <v>1.1536451669876269</v>
      </c>
    </row>
    <row r="974" spans="23:33" ht="20.100000000000001" customHeight="1" x14ac:dyDescent="0.25">
      <c r="AE974" s="147" t="s">
        <v>273</v>
      </c>
      <c r="AF974" s="178">
        <f>AF970/(((AF966)*(1-F308))^(1/2))</f>
        <v>1.2476013492580906</v>
      </c>
    </row>
    <row r="977" spans="23:33" ht="20.100000000000001" customHeight="1" x14ac:dyDescent="0.25">
      <c r="AA977" s="147" t="s">
        <v>228</v>
      </c>
      <c r="AB977" s="147" t="s">
        <v>227</v>
      </c>
      <c r="AC977" s="147" t="s">
        <v>261</v>
      </c>
      <c r="AE977" s="147" t="s">
        <v>262</v>
      </c>
      <c r="AF977" s="147" t="s">
        <v>263</v>
      </c>
      <c r="AG977" s="147" t="s">
        <v>264</v>
      </c>
    </row>
    <row r="978" spans="23:33" ht="20.100000000000001" customHeight="1" x14ac:dyDescent="0.25">
      <c r="W978" s="177">
        <v>1</v>
      </c>
      <c r="X978" s="177">
        <v>1</v>
      </c>
      <c r="Y978" s="147">
        <f t="shared" ref="Y978:Z982" si="139">C11</f>
        <v>223.3</v>
      </c>
      <c r="Z978" s="147">
        <f t="shared" si="139"/>
        <v>150</v>
      </c>
      <c r="AA978" s="147">
        <f>H11</f>
        <v>378000</v>
      </c>
      <c r="AB978" s="147" cm="1">
        <f t="array" ref="AB978:AB988">MMULT(X978:Z988,MMULT((MINVERSE(MMULT(TRANSPOSE(X978:Z988),X978:Z988))),MMULT(TRANSPOSE(X978:Z988),AA978:AA988)))</f>
        <v>388960.59024861758</v>
      </c>
      <c r="AC978" s="147">
        <f>AVERAGE(AA978:AA988)</f>
        <v>443454.54545454547</v>
      </c>
      <c r="AE978" s="147">
        <f>AB978-AC978</f>
        <v>-54493.955205927894</v>
      </c>
      <c r="AF978" s="147">
        <f t="shared" ref="AF978:AF988" si="140">AA978-AB978</f>
        <v>-10960.590248617576</v>
      </c>
      <c r="AG978" s="147">
        <f>AA978-AC978</f>
        <v>-65454.54545454547</v>
      </c>
    </row>
    <row r="979" spans="23:33" ht="20.100000000000001" customHeight="1" x14ac:dyDescent="0.25">
      <c r="W979" s="177">
        <v>2</v>
      </c>
      <c r="X979" s="177">
        <v>1</v>
      </c>
      <c r="Y979" s="147">
        <f t="shared" si="139"/>
        <v>223.3</v>
      </c>
      <c r="Z979" s="147">
        <f t="shared" si="139"/>
        <v>150</v>
      </c>
      <c r="AA979" s="147">
        <f>H12</f>
        <v>378000</v>
      </c>
      <c r="AB979" s="147">
        <v>388960.59024861758</v>
      </c>
      <c r="AC979" s="147">
        <f>AC978</f>
        <v>443454.54545454547</v>
      </c>
      <c r="AE979" s="147">
        <f t="shared" ref="AE979:AE988" si="141">AB979-AC979</f>
        <v>-54493.955205927894</v>
      </c>
      <c r="AF979" s="147">
        <f t="shared" si="140"/>
        <v>-10960.590248617576</v>
      </c>
      <c r="AG979" s="147">
        <f t="shared" ref="AG979:AG988" si="142">AA979-AC979</f>
        <v>-65454.54545454547</v>
      </c>
    </row>
    <row r="980" spans="23:33" ht="20.100000000000001" customHeight="1" x14ac:dyDescent="0.25">
      <c r="W980" s="177">
        <v>3</v>
      </c>
      <c r="X980" s="177">
        <v>1</v>
      </c>
      <c r="Y980" s="147">
        <f t="shared" si="139"/>
        <v>223.3</v>
      </c>
      <c r="Z980" s="147">
        <f t="shared" si="139"/>
        <v>100</v>
      </c>
      <c r="AA980" s="147">
        <f>H13</f>
        <v>378000</v>
      </c>
      <c r="AB980" s="147">
        <v>378702.01367847406</v>
      </c>
      <c r="AC980" s="147">
        <f t="shared" ref="AC980:AC988" si="143">AC979</f>
        <v>443454.54545454547</v>
      </c>
      <c r="AE980" s="147">
        <f t="shared" si="141"/>
        <v>-64752.53177607141</v>
      </c>
      <c r="AF980" s="147">
        <f t="shared" si="140"/>
        <v>-702.01367847406073</v>
      </c>
      <c r="AG980" s="147">
        <f t="shared" si="142"/>
        <v>-65454.54545454547</v>
      </c>
    </row>
    <row r="981" spans="23:33" ht="20.100000000000001" customHeight="1" x14ac:dyDescent="0.25">
      <c r="W981" s="177">
        <v>4</v>
      </c>
      <c r="X981" s="177">
        <v>1</v>
      </c>
      <c r="Y981" s="147">
        <f t="shared" si="139"/>
        <v>236.25</v>
      </c>
      <c r="Z981" s="147">
        <f t="shared" si="139"/>
        <v>250</v>
      </c>
      <c r="AA981" s="147">
        <f>H14</f>
        <v>423000</v>
      </c>
      <c r="AB981" s="147">
        <v>424420.52864482405</v>
      </c>
      <c r="AC981" s="147">
        <f t="shared" si="143"/>
        <v>443454.54545454547</v>
      </c>
      <c r="AE981" s="147">
        <f t="shared" si="141"/>
        <v>-19034.016809721419</v>
      </c>
      <c r="AF981" s="147">
        <f t="shared" si="140"/>
        <v>-1420.5286448240513</v>
      </c>
      <c r="AG981" s="147">
        <f t="shared" si="142"/>
        <v>-20454.54545454547</v>
      </c>
    </row>
    <row r="982" spans="23:33" ht="20.100000000000001" customHeight="1" x14ac:dyDescent="0.25">
      <c r="W982" s="177">
        <v>5</v>
      </c>
      <c r="X982" s="177">
        <v>1</v>
      </c>
      <c r="Y982" s="147">
        <f t="shared" si="139"/>
        <v>236.25</v>
      </c>
      <c r="Z982" s="147">
        <f t="shared" si="139"/>
        <v>150</v>
      </c>
      <c r="AA982" s="147">
        <f>H15</f>
        <v>423000</v>
      </c>
      <c r="AB982" s="147">
        <v>403903.37550453702</v>
      </c>
      <c r="AC982" s="147">
        <f t="shared" si="143"/>
        <v>443454.54545454547</v>
      </c>
      <c r="AE982" s="147">
        <f t="shared" si="141"/>
        <v>-39551.169950008451</v>
      </c>
      <c r="AF982" s="147">
        <f t="shared" si="140"/>
        <v>19096.62449546298</v>
      </c>
      <c r="AG982" s="147">
        <f t="shared" si="142"/>
        <v>-20454.54545454547</v>
      </c>
    </row>
    <row r="983" spans="23:33" ht="20.100000000000001" customHeight="1" x14ac:dyDescent="0.25">
      <c r="W983" s="177">
        <v>7</v>
      </c>
      <c r="X983" s="177">
        <v>1</v>
      </c>
      <c r="Y983" s="147">
        <f t="shared" ref="Y983:Z988" si="144">C17</f>
        <v>303.85000000000002</v>
      </c>
      <c r="Z983" s="147">
        <f t="shared" si="144"/>
        <v>250</v>
      </c>
      <c r="AA983" s="147">
        <f t="shared" ref="AA983:AA988" si="145">H17</f>
        <v>477000</v>
      </c>
      <c r="AB983" s="147">
        <v>502423.02156375546</v>
      </c>
      <c r="AC983" s="147">
        <f>AC982</f>
        <v>443454.54545454547</v>
      </c>
      <c r="AE983" s="147">
        <f t="shared" si="141"/>
        <v>58968.476109209994</v>
      </c>
      <c r="AF983" s="147">
        <f t="shared" si="140"/>
        <v>-25423.021563755465</v>
      </c>
      <c r="AG983" s="147">
        <f t="shared" si="142"/>
        <v>33545.45454545453</v>
      </c>
    </row>
    <row r="984" spans="23:33" ht="20.100000000000001" customHeight="1" x14ac:dyDescent="0.25">
      <c r="W984" s="177">
        <v>8</v>
      </c>
      <c r="X984" s="177">
        <v>1</v>
      </c>
      <c r="Y984" s="147">
        <f t="shared" si="144"/>
        <v>303.85000000000002</v>
      </c>
      <c r="Z984" s="147">
        <f t="shared" si="144"/>
        <v>150</v>
      </c>
      <c r="AA984" s="147">
        <f t="shared" si="145"/>
        <v>477000</v>
      </c>
      <c r="AB984" s="147">
        <v>481905.86842346855</v>
      </c>
      <c r="AC984" s="147">
        <f t="shared" si="143"/>
        <v>443454.54545454547</v>
      </c>
      <c r="AE984" s="147">
        <f t="shared" si="141"/>
        <v>38451.322968923079</v>
      </c>
      <c r="AF984" s="147">
        <f t="shared" si="140"/>
        <v>-4905.8684234685497</v>
      </c>
      <c r="AG984" s="147">
        <f t="shared" si="142"/>
        <v>33545.45454545453</v>
      </c>
    </row>
    <row r="985" spans="23:33" ht="20.100000000000001" customHeight="1" x14ac:dyDescent="0.25">
      <c r="W985" s="177">
        <v>9</v>
      </c>
      <c r="X985" s="177">
        <v>1</v>
      </c>
      <c r="Y985" s="147">
        <f t="shared" si="144"/>
        <v>284.5</v>
      </c>
      <c r="Z985" s="147">
        <f t="shared" si="144"/>
        <v>250</v>
      </c>
      <c r="AA985" s="147">
        <f t="shared" si="145"/>
        <v>486000</v>
      </c>
      <c r="AB985" s="147">
        <v>480095.38490722701</v>
      </c>
      <c r="AC985" s="147">
        <f t="shared" si="143"/>
        <v>443454.54545454547</v>
      </c>
      <c r="AE985" s="147">
        <f t="shared" si="141"/>
        <v>36640.839452681539</v>
      </c>
      <c r="AF985" s="147">
        <f t="shared" si="140"/>
        <v>5904.6150927729905</v>
      </c>
      <c r="AG985" s="147">
        <f t="shared" si="142"/>
        <v>42545.45454545453</v>
      </c>
    </row>
    <row r="986" spans="23:33" ht="20.100000000000001" customHeight="1" x14ac:dyDescent="0.25">
      <c r="W986" s="177">
        <v>10</v>
      </c>
      <c r="X986" s="177">
        <v>1</v>
      </c>
      <c r="Y986" s="147">
        <f t="shared" si="144"/>
        <v>290.39999999999998</v>
      </c>
      <c r="Z986" s="147">
        <f t="shared" si="144"/>
        <v>200</v>
      </c>
      <c r="AA986" s="147">
        <f t="shared" si="145"/>
        <v>486000</v>
      </c>
      <c r="AB986" s="147">
        <v>476644.71822201984</v>
      </c>
      <c r="AC986" s="147">
        <f t="shared" si="143"/>
        <v>443454.54545454547</v>
      </c>
      <c r="AE986" s="147">
        <f t="shared" si="141"/>
        <v>33190.172767474374</v>
      </c>
      <c r="AF986" s="147">
        <f t="shared" si="140"/>
        <v>9355.2817779801553</v>
      </c>
      <c r="AG986" s="147">
        <f t="shared" si="142"/>
        <v>42545.45454545453</v>
      </c>
    </row>
    <row r="987" spans="23:33" ht="20.100000000000001" customHeight="1" x14ac:dyDescent="0.25">
      <c r="W987" s="177">
        <v>11</v>
      </c>
      <c r="X987" s="177">
        <v>1</v>
      </c>
      <c r="Y987" s="147">
        <f t="shared" si="144"/>
        <v>284.5</v>
      </c>
      <c r="Z987" s="147">
        <f t="shared" si="144"/>
        <v>225</v>
      </c>
      <c r="AA987" s="147">
        <f t="shared" si="145"/>
        <v>486000</v>
      </c>
      <c r="AB987" s="147">
        <v>474966.09662215528</v>
      </c>
      <c r="AC987" s="147">
        <f t="shared" si="143"/>
        <v>443454.54545454547</v>
      </c>
      <c r="AE987" s="147">
        <f t="shared" si="141"/>
        <v>31511.55116760981</v>
      </c>
      <c r="AF987" s="147">
        <f t="shared" si="140"/>
        <v>11033.903377844719</v>
      </c>
      <c r="AG987" s="147">
        <f t="shared" si="142"/>
        <v>42545.45454545453</v>
      </c>
    </row>
    <row r="988" spans="23:33" ht="20.100000000000001" customHeight="1" x14ac:dyDescent="0.25">
      <c r="W988" s="177">
        <v>12</v>
      </c>
      <c r="X988" s="177">
        <v>1</v>
      </c>
      <c r="Y988" s="147">
        <f t="shared" si="144"/>
        <v>284.5</v>
      </c>
      <c r="Z988" s="147">
        <f t="shared" si="144"/>
        <v>235</v>
      </c>
      <c r="AA988" s="147">
        <f t="shared" si="145"/>
        <v>486000</v>
      </c>
      <c r="AB988" s="147">
        <v>477017.81193618401</v>
      </c>
      <c r="AC988" s="147">
        <f t="shared" si="143"/>
        <v>443454.54545454547</v>
      </c>
      <c r="AE988" s="147">
        <f t="shared" si="141"/>
        <v>33563.266481638537</v>
      </c>
      <c r="AF988" s="147">
        <f t="shared" si="140"/>
        <v>8982.1880638159928</v>
      </c>
      <c r="AG988" s="147">
        <f t="shared" si="142"/>
        <v>42545.45454545453</v>
      </c>
    </row>
    <row r="990" spans="23:33" ht="20.100000000000001" customHeight="1" x14ac:dyDescent="0.25">
      <c r="AE990" s="147">
        <f>SUMSQ(AE978:AE988)</f>
        <v>21578056330.450951</v>
      </c>
      <c r="AF990" s="147">
        <f>SUMSQ(AF978:AF988)</f>
        <v>1602670942.2765713</v>
      </c>
      <c r="AG990" s="147">
        <f>SUMSQ(AG978:AG988)</f>
        <v>23180727272.727268</v>
      </c>
    </row>
    <row r="991" spans="23:33" ht="20.100000000000001" customHeight="1" x14ac:dyDescent="0.25">
      <c r="AB991" s="147" t="s">
        <v>265</v>
      </c>
      <c r="AC991" s="177">
        <f>COUNT(W978:W988)</f>
        <v>11</v>
      </c>
    </row>
    <row r="992" spans="23:33" ht="20.100000000000001" customHeight="1" x14ac:dyDescent="0.25">
      <c r="AB992" s="147" t="s">
        <v>266</v>
      </c>
      <c r="AC992" s="177">
        <v>2</v>
      </c>
      <c r="AE992" s="147" t="s">
        <v>269</v>
      </c>
      <c r="AF992" s="147">
        <f>AF990/AC994</f>
        <v>200333867.78457141</v>
      </c>
    </row>
    <row r="993" spans="23:33" ht="20.100000000000001" customHeight="1" x14ac:dyDescent="0.25">
      <c r="AB993" s="147" t="s">
        <v>267</v>
      </c>
      <c r="AC993" s="177">
        <f>AC992+1</f>
        <v>3</v>
      </c>
    </row>
    <row r="994" spans="23:33" ht="20.100000000000001" customHeight="1" x14ac:dyDescent="0.25">
      <c r="AB994" s="147" t="s">
        <v>268</v>
      </c>
      <c r="AC994" s="177">
        <f>AC991-AC993</f>
        <v>8</v>
      </c>
      <c r="AE994" s="147" t="s">
        <v>270</v>
      </c>
      <c r="AF994" s="147">
        <f>(AF990/AC994)^(1/2)</f>
        <v>14153.93471034014</v>
      </c>
    </row>
    <row r="995" spans="23:33" ht="20.100000000000001" customHeight="1" x14ac:dyDescent="0.25">
      <c r="AC995" s="177"/>
    </row>
    <row r="996" spans="23:33" ht="20.100000000000001" customHeight="1" x14ac:dyDescent="0.25">
      <c r="AE996" s="147" t="s">
        <v>271</v>
      </c>
      <c r="AF996" s="147">
        <f>AF827</f>
        <v>16328.618372442317</v>
      </c>
    </row>
    <row r="998" spans="23:33" ht="20.100000000000001" customHeight="1" x14ac:dyDescent="0.25">
      <c r="AE998" s="147" t="s">
        <v>272</v>
      </c>
      <c r="AF998" s="178">
        <f>AF996/AF994</f>
        <v>1.1536451669876269</v>
      </c>
    </row>
    <row r="1000" spans="23:33" ht="20.100000000000001" customHeight="1" x14ac:dyDescent="0.25">
      <c r="AE1000" s="147" t="s">
        <v>273</v>
      </c>
      <c r="AF1000" s="178">
        <f>AF996/(((AF992)*(1-F309))^(1/2))</f>
        <v>1.2476013492580906</v>
      </c>
    </row>
    <row r="1003" spans="23:33" ht="20.100000000000001" customHeight="1" x14ac:dyDescent="0.25">
      <c r="AA1003" s="147" t="s">
        <v>228</v>
      </c>
      <c r="AB1003" s="147" t="s">
        <v>227</v>
      </c>
      <c r="AC1003" s="147" t="s">
        <v>261</v>
      </c>
      <c r="AE1003" s="147" t="s">
        <v>262</v>
      </c>
      <c r="AF1003" s="147" t="s">
        <v>263</v>
      </c>
      <c r="AG1003" s="147" t="s">
        <v>264</v>
      </c>
    </row>
    <row r="1004" spans="23:33" ht="20.100000000000001" customHeight="1" x14ac:dyDescent="0.25">
      <c r="W1004" s="177">
        <v>1</v>
      </c>
      <c r="X1004" s="177">
        <v>1</v>
      </c>
      <c r="Y1004" s="147">
        <f t="shared" ref="Y1004:Z1009" si="146">C11</f>
        <v>223.3</v>
      </c>
      <c r="Z1004" s="147">
        <f t="shared" si="146"/>
        <v>150</v>
      </c>
      <c r="AA1004" s="147">
        <f t="shared" ref="AA1004:AA1009" si="147">H11</f>
        <v>378000</v>
      </c>
      <c r="AB1004" s="147" cm="1">
        <f t="array" ref="AB1004:AB1014">MMULT(X1004:Z1014,MMULT((MINVERSE(MMULT(TRANSPOSE(X1004:Z1014),X1004:Z1014))),MMULT(TRANSPOSE(X1004:Z1014),AA1004:AA1014)))</f>
        <v>390284.10625283769</v>
      </c>
      <c r="AC1004" s="147">
        <f>AVERAGE(AA1004:AA1014)</f>
        <v>438545.45454545453</v>
      </c>
      <c r="AE1004" s="147">
        <f>AB1004-AC1004</f>
        <v>-48261.348292616836</v>
      </c>
      <c r="AF1004" s="147">
        <f t="shared" ref="AF1004:AF1014" si="148">AA1004-AB1004</f>
        <v>-12284.106252837693</v>
      </c>
      <c r="AG1004" s="147">
        <f>AA1004-AC1004</f>
        <v>-60545.45454545453</v>
      </c>
    </row>
    <row r="1005" spans="23:33" ht="20.100000000000001" customHeight="1" x14ac:dyDescent="0.25">
      <c r="W1005" s="177">
        <v>2</v>
      </c>
      <c r="X1005" s="177">
        <v>1</v>
      </c>
      <c r="Y1005" s="147">
        <f t="shared" si="146"/>
        <v>223.3</v>
      </c>
      <c r="Z1005" s="147">
        <f t="shared" si="146"/>
        <v>150</v>
      </c>
      <c r="AA1005" s="147">
        <f t="shared" si="147"/>
        <v>378000</v>
      </c>
      <c r="AB1005" s="147">
        <v>390284.10625283769</v>
      </c>
      <c r="AC1005" s="147">
        <f>AC1004</f>
        <v>438545.45454545453</v>
      </c>
      <c r="AE1005" s="147">
        <f t="shared" ref="AE1005:AE1014" si="149">AB1005-AC1005</f>
        <v>-48261.348292616836</v>
      </c>
      <c r="AF1005" s="147">
        <f t="shared" si="148"/>
        <v>-12284.106252837693</v>
      </c>
      <c r="AG1005" s="147">
        <f t="shared" ref="AG1005:AG1014" si="150">AA1005-AC1005</f>
        <v>-60545.45454545453</v>
      </c>
    </row>
    <row r="1006" spans="23:33" ht="20.100000000000001" customHeight="1" x14ac:dyDescent="0.25">
      <c r="W1006" s="177">
        <v>3</v>
      </c>
      <c r="X1006" s="177">
        <v>1</v>
      </c>
      <c r="Y1006" s="147">
        <f t="shared" si="146"/>
        <v>223.3</v>
      </c>
      <c r="Z1006" s="147">
        <f t="shared" si="146"/>
        <v>100</v>
      </c>
      <c r="AA1006" s="147">
        <f t="shared" si="147"/>
        <v>378000</v>
      </c>
      <c r="AB1006" s="147">
        <v>378901.4805518525</v>
      </c>
      <c r="AC1006" s="147">
        <f t="shared" ref="AC1006:AC1014" si="151">AC1005</f>
        <v>438545.45454545453</v>
      </c>
      <c r="AE1006" s="147">
        <f t="shared" si="149"/>
        <v>-59643.973993602034</v>
      </c>
      <c r="AF1006" s="147">
        <f t="shared" si="148"/>
        <v>-901.48055185249541</v>
      </c>
      <c r="AG1006" s="147">
        <f t="shared" si="150"/>
        <v>-60545.45454545453</v>
      </c>
    </row>
    <row r="1007" spans="23:33" ht="20.100000000000001" customHeight="1" x14ac:dyDescent="0.25">
      <c r="W1007" s="177">
        <v>4</v>
      </c>
      <c r="X1007" s="177">
        <v>1</v>
      </c>
      <c r="Y1007" s="147">
        <f t="shared" si="146"/>
        <v>236.25</v>
      </c>
      <c r="Z1007" s="147">
        <f t="shared" si="146"/>
        <v>250</v>
      </c>
      <c r="AA1007" s="147">
        <f t="shared" si="147"/>
        <v>423000</v>
      </c>
      <c r="AB1007" s="147">
        <v>428757.30967837886</v>
      </c>
      <c r="AC1007" s="147">
        <f t="shared" si="151"/>
        <v>438545.45454545453</v>
      </c>
      <c r="AE1007" s="147">
        <f t="shared" si="149"/>
        <v>-9788.1448670756654</v>
      </c>
      <c r="AF1007" s="147">
        <f t="shared" si="148"/>
        <v>-5757.3096783788642</v>
      </c>
      <c r="AG1007" s="147">
        <f t="shared" si="150"/>
        <v>-15545.45454545453</v>
      </c>
    </row>
    <row r="1008" spans="23:33" ht="20.100000000000001" customHeight="1" x14ac:dyDescent="0.25">
      <c r="W1008" s="177">
        <v>5</v>
      </c>
      <c r="X1008" s="177">
        <v>1</v>
      </c>
      <c r="Y1008" s="147">
        <f t="shared" si="146"/>
        <v>236.25</v>
      </c>
      <c r="Z1008" s="147">
        <f t="shared" si="146"/>
        <v>150</v>
      </c>
      <c r="AA1008" s="147">
        <f t="shared" si="147"/>
        <v>423000</v>
      </c>
      <c r="AB1008" s="147">
        <v>405992.05827640835</v>
      </c>
      <c r="AC1008" s="147">
        <f t="shared" si="151"/>
        <v>438545.45454545453</v>
      </c>
      <c r="AE1008" s="147">
        <f t="shared" si="149"/>
        <v>-32553.396269046178</v>
      </c>
      <c r="AF1008" s="147">
        <f t="shared" si="148"/>
        <v>17007.941723591648</v>
      </c>
      <c r="AG1008" s="147">
        <f t="shared" si="150"/>
        <v>-15545.45454545453</v>
      </c>
    </row>
    <row r="1009" spans="23:33" ht="20.100000000000001" customHeight="1" x14ac:dyDescent="0.25">
      <c r="W1009" s="177">
        <v>6</v>
      </c>
      <c r="X1009" s="177">
        <v>1</v>
      </c>
      <c r="Y1009" s="147">
        <f t="shared" si="146"/>
        <v>236.25</v>
      </c>
      <c r="Z1009" s="147">
        <f t="shared" si="146"/>
        <v>150</v>
      </c>
      <c r="AA1009" s="147">
        <f t="shared" si="147"/>
        <v>423000</v>
      </c>
      <c r="AB1009" s="147">
        <v>405992.05827640835</v>
      </c>
      <c r="AC1009" s="147">
        <f t="shared" si="151"/>
        <v>438545.45454545453</v>
      </c>
      <c r="AE1009" s="147">
        <f t="shared" si="149"/>
        <v>-32553.396269046178</v>
      </c>
      <c r="AF1009" s="147">
        <f t="shared" si="148"/>
        <v>17007.941723591648</v>
      </c>
      <c r="AG1009" s="147">
        <f t="shared" si="150"/>
        <v>-15545.45454545453</v>
      </c>
    </row>
    <row r="1010" spans="23:33" ht="20.100000000000001" customHeight="1" x14ac:dyDescent="0.25">
      <c r="W1010" s="177">
        <v>8</v>
      </c>
      <c r="X1010" s="177">
        <v>1</v>
      </c>
      <c r="Y1010" s="147">
        <f t="shared" ref="Y1010:Z1014" si="152">C18</f>
        <v>303.85000000000002</v>
      </c>
      <c r="Z1010" s="147">
        <f t="shared" si="152"/>
        <v>150</v>
      </c>
      <c r="AA1010" s="147">
        <f>H18</f>
        <v>477000</v>
      </c>
      <c r="AB1010" s="147">
        <v>487988.78080871562</v>
      </c>
      <c r="AC1010" s="147">
        <f>AC1009</f>
        <v>438545.45454545453</v>
      </c>
      <c r="AE1010" s="147">
        <f t="shared" si="149"/>
        <v>49443.326263261086</v>
      </c>
      <c r="AF1010" s="147">
        <f t="shared" si="148"/>
        <v>-10988.780808715615</v>
      </c>
      <c r="AG1010" s="147">
        <f t="shared" si="150"/>
        <v>38454.54545454547</v>
      </c>
    </row>
    <row r="1011" spans="23:33" ht="20.100000000000001" customHeight="1" x14ac:dyDescent="0.25">
      <c r="W1011" s="177">
        <v>9</v>
      </c>
      <c r="X1011" s="177">
        <v>1</v>
      </c>
      <c r="Y1011" s="147">
        <f t="shared" si="152"/>
        <v>284.5</v>
      </c>
      <c r="Z1011" s="147">
        <f t="shared" si="152"/>
        <v>250</v>
      </c>
      <c r="AA1011" s="147">
        <f>H19</f>
        <v>486000</v>
      </c>
      <c r="AB1011" s="147">
        <v>487283.07687044726</v>
      </c>
      <c r="AC1011" s="147">
        <f t="shared" si="151"/>
        <v>438545.45454545453</v>
      </c>
      <c r="AE1011" s="147">
        <f t="shared" si="149"/>
        <v>48737.622324992728</v>
      </c>
      <c r="AF1011" s="147">
        <f t="shared" si="148"/>
        <v>-1283.0768704472575</v>
      </c>
      <c r="AG1011" s="147">
        <f t="shared" si="150"/>
        <v>47454.54545454547</v>
      </c>
    </row>
    <row r="1012" spans="23:33" ht="20.100000000000001" customHeight="1" x14ac:dyDescent="0.25">
      <c r="W1012" s="177">
        <v>10</v>
      </c>
      <c r="X1012" s="177">
        <v>1</v>
      </c>
      <c r="Y1012" s="147">
        <f t="shared" si="152"/>
        <v>290.39999999999998</v>
      </c>
      <c r="Z1012" s="147">
        <f t="shared" si="152"/>
        <v>200</v>
      </c>
      <c r="AA1012" s="147">
        <f>H20</f>
        <v>486000</v>
      </c>
      <c r="AB1012" s="147">
        <v>483056.96985201543</v>
      </c>
      <c r="AC1012" s="147">
        <f t="shared" si="151"/>
        <v>438545.45454545453</v>
      </c>
      <c r="AE1012" s="147">
        <f t="shared" si="149"/>
        <v>44511.515306560905</v>
      </c>
      <c r="AF1012" s="147">
        <f t="shared" si="148"/>
        <v>2943.0301479845657</v>
      </c>
      <c r="AG1012" s="147">
        <f t="shared" si="150"/>
        <v>47454.54545454547</v>
      </c>
    </row>
    <row r="1013" spans="23:33" ht="20.100000000000001" customHeight="1" x14ac:dyDescent="0.25">
      <c r="W1013" s="177">
        <v>11</v>
      </c>
      <c r="X1013" s="177">
        <v>1</v>
      </c>
      <c r="Y1013" s="147">
        <f t="shared" si="152"/>
        <v>284.5</v>
      </c>
      <c r="Z1013" s="147">
        <f t="shared" si="152"/>
        <v>225</v>
      </c>
      <c r="AA1013" s="147">
        <f>H21</f>
        <v>486000</v>
      </c>
      <c r="AB1013" s="147">
        <v>481591.76401995466</v>
      </c>
      <c r="AC1013" s="147">
        <f t="shared" si="151"/>
        <v>438545.45454545453</v>
      </c>
      <c r="AE1013" s="147">
        <f t="shared" si="149"/>
        <v>43046.309474500129</v>
      </c>
      <c r="AF1013" s="147">
        <f t="shared" si="148"/>
        <v>4408.2359800453414</v>
      </c>
      <c r="AG1013" s="147">
        <f t="shared" si="150"/>
        <v>47454.54545454547</v>
      </c>
    </row>
    <row r="1014" spans="23:33" ht="20.100000000000001" customHeight="1" x14ac:dyDescent="0.25">
      <c r="W1014" s="177">
        <v>12</v>
      </c>
      <c r="X1014" s="177">
        <v>1</v>
      </c>
      <c r="Y1014" s="147">
        <f t="shared" si="152"/>
        <v>284.5</v>
      </c>
      <c r="Z1014" s="147">
        <f t="shared" si="152"/>
        <v>235</v>
      </c>
      <c r="AA1014" s="147">
        <f>H22</f>
        <v>486000</v>
      </c>
      <c r="AB1014" s="147">
        <v>483868.28916015173</v>
      </c>
      <c r="AC1014" s="147">
        <f t="shared" si="151"/>
        <v>438545.45454545453</v>
      </c>
      <c r="AE1014" s="147">
        <f t="shared" si="149"/>
        <v>45322.834614697204</v>
      </c>
      <c r="AF1014" s="147">
        <f t="shared" si="148"/>
        <v>2131.7108398482669</v>
      </c>
      <c r="AG1014" s="147">
        <f t="shared" si="150"/>
        <v>47454.54545454547</v>
      </c>
    </row>
    <row r="1016" spans="23:33" ht="20.100000000000001" customHeight="1" x14ac:dyDescent="0.25">
      <c r="AE1016" s="147">
        <f>SUMSQ(AE1004:AE1014)</f>
        <v>21139391542.670727</v>
      </c>
      <c r="AF1016" s="147">
        <f>SUMSQ(AF1004:AF1014)</f>
        <v>1069335730.056227</v>
      </c>
      <c r="AG1016" s="147">
        <f>SUMSQ(AG1004:AG1014)</f>
        <v>22208727272.72728</v>
      </c>
    </row>
    <row r="1017" spans="23:33" ht="20.100000000000001" customHeight="1" x14ac:dyDescent="0.25">
      <c r="AB1017" s="147" t="s">
        <v>265</v>
      </c>
      <c r="AC1017" s="177">
        <f>COUNT(W1004:W1014)</f>
        <v>11</v>
      </c>
    </row>
    <row r="1018" spans="23:33" ht="20.100000000000001" customHeight="1" x14ac:dyDescent="0.25">
      <c r="AB1018" s="147" t="s">
        <v>266</v>
      </c>
      <c r="AC1018" s="177">
        <v>2</v>
      </c>
      <c r="AE1018" s="147" t="s">
        <v>269</v>
      </c>
      <c r="AF1018" s="147">
        <f>AF1016/AC1020</f>
        <v>133666966.25702837</v>
      </c>
    </row>
    <row r="1019" spans="23:33" ht="20.100000000000001" customHeight="1" x14ac:dyDescent="0.25">
      <c r="AB1019" s="147" t="s">
        <v>267</v>
      </c>
      <c r="AC1019" s="177">
        <f>AC1018+1</f>
        <v>3</v>
      </c>
    </row>
    <row r="1020" spans="23:33" ht="20.100000000000001" customHeight="1" x14ac:dyDescent="0.25">
      <c r="AB1020" s="147" t="s">
        <v>268</v>
      </c>
      <c r="AC1020" s="177">
        <f>AC1017-AC1019</f>
        <v>8</v>
      </c>
      <c r="AE1020" s="147" t="s">
        <v>270</v>
      </c>
      <c r="AF1020" s="147">
        <f>(AF1016/AC1020)^(1/2)</f>
        <v>11561.443087133559</v>
      </c>
    </row>
    <row r="1021" spans="23:33" ht="20.100000000000001" customHeight="1" x14ac:dyDescent="0.25">
      <c r="AC1021" s="177"/>
    </row>
    <row r="1022" spans="23:33" ht="20.100000000000001" customHeight="1" x14ac:dyDescent="0.25">
      <c r="AE1022" s="147" t="s">
        <v>271</v>
      </c>
      <c r="AF1022" s="147">
        <f>AF828</f>
        <v>-25038.688727122557</v>
      </c>
    </row>
    <row r="1024" spans="23:33" ht="20.100000000000001" customHeight="1" x14ac:dyDescent="0.25">
      <c r="AE1024" s="147" t="s">
        <v>272</v>
      </c>
      <c r="AF1024" s="178">
        <f>AF1022/AF1020</f>
        <v>-2.1657061785814169</v>
      </c>
    </row>
    <row r="1026" spans="23:33" ht="20.100000000000001" customHeight="1" x14ac:dyDescent="0.25">
      <c r="AE1026" s="147" t="s">
        <v>273</v>
      </c>
      <c r="AF1026" s="178">
        <f>AF1022/(((AF1018)*(1-F310))^(1/2))</f>
        <v>-2.5145285744429753</v>
      </c>
    </row>
    <row r="1029" spans="23:33" ht="20.100000000000001" customHeight="1" x14ac:dyDescent="0.25">
      <c r="AA1029" s="147" t="s">
        <v>228</v>
      </c>
      <c r="AB1029" s="147" t="s">
        <v>227</v>
      </c>
      <c r="AC1029" s="147" t="s">
        <v>261</v>
      </c>
      <c r="AE1029" s="147" t="s">
        <v>262</v>
      </c>
      <c r="AF1029" s="147" t="s">
        <v>263</v>
      </c>
      <c r="AG1029" s="147" t="s">
        <v>264</v>
      </c>
    </row>
    <row r="1030" spans="23:33" ht="20.100000000000001" customHeight="1" x14ac:dyDescent="0.25">
      <c r="W1030" s="177">
        <v>1</v>
      </c>
      <c r="X1030" s="177">
        <v>1</v>
      </c>
      <c r="Y1030" s="147">
        <f t="shared" ref="Y1030:Z1036" si="153">C11</f>
        <v>223.3</v>
      </c>
      <c r="Z1030" s="147">
        <f t="shared" si="153"/>
        <v>150</v>
      </c>
      <c r="AA1030" s="147">
        <f t="shared" ref="AA1030:AA1036" si="154">H11</f>
        <v>378000</v>
      </c>
      <c r="AB1030" s="147" cm="1">
        <f t="array" ref="AB1030:AB1040">MMULT(X1030:Z1040,MMULT((MINVERSE(MMULT(TRANSPOSE(X1030:Z1040),X1030:Z1040))),MMULT(TRANSPOSE(X1030:Z1040),AA1030:AA1040)))</f>
        <v>391602.83336636238</v>
      </c>
      <c r="AC1030" s="147">
        <f>AVERAGE(AA1030:AA1040)</f>
        <v>438545.45454545453</v>
      </c>
      <c r="AE1030" s="147">
        <f>AB1030-AC1030</f>
        <v>-46942.621179092152</v>
      </c>
      <c r="AF1030" s="147">
        <f t="shared" ref="AF1030:AF1040" si="155">AA1030-AB1030</f>
        <v>-13602.833366362378</v>
      </c>
      <c r="AG1030" s="147">
        <f>AA1030-AC1030</f>
        <v>-60545.45454545453</v>
      </c>
    </row>
    <row r="1031" spans="23:33" ht="20.100000000000001" customHeight="1" x14ac:dyDescent="0.25">
      <c r="W1031" s="177">
        <v>2</v>
      </c>
      <c r="X1031" s="177">
        <v>1</v>
      </c>
      <c r="Y1031" s="147">
        <f t="shared" si="153"/>
        <v>223.3</v>
      </c>
      <c r="Z1031" s="147">
        <f t="shared" si="153"/>
        <v>150</v>
      </c>
      <c r="AA1031" s="147">
        <f t="shared" si="154"/>
        <v>378000</v>
      </c>
      <c r="AB1031" s="147">
        <v>391602.83336636238</v>
      </c>
      <c r="AC1031" s="147">
        <f>AC1030</f>
        <v>438545.45454545453</v>
      </c>
      <c r="AE1031" s="147">
        <f t="shared" ref="AE1031:AE1040" si="156">AB1031-AC1031</f>
        <v>-46942.621179092152</v>
      </c>
      <c r="AF1031" s="147">
        <f t="shared" si="155"/>
        <v>-13602.833366362378</v>
      </c>
      <c r="AG1031" s="147">
        <f t="shared" ref="AG1031:AG1040" si="157">AA1031-AC1031</f>
        <v>-60545.45454545453</v>
      </c>
    </row>
    <row r="1032" spans="23:33" ht="20.100000000000001" customHeight="1" x14ac:dyDescent="0.25">
      <c r="W1032" s="177">
        <v>3</v>
      </c>
      <c r="X1032" s="177">
        <v>1</v>
      </c>
      <c r="Y1032" s="147">
        <f t="shared" si="153"/>
        <v>223.3</v>
      </c>
      <c r="Z1032" s="147">
        <f t="shared" si="153"/>
        <v>100</v>
      </c>
      <c r="AA1032" s="147">
        <f t="shared" si="154"/>
        <v>378000</v>
      </c>
      <c r="AB1032" s="147">
        <v>384698.88473176502</v>
      </c>
      <c r="AC1032" s="147">
        <f t="shared" ref="AC1032:AC1040" si="158">AC1031</f>
        <v>438545.45454545453</v>
      </c>
      <c r="AE1032" s="147">
        <f t="shared" si="156"/>
        <v>-53846.569813689508</v>
      </c>
      <c r="AF1032" s="147">
        <f t="shared" si="155"/>
        <v>-6698.8847317650216</v>
      </c>
      <c r="AG1032" s="147">
        <f t="shared" si="157"/>
        <v>-60545.45454545453</v>
      </c>
    </row>
    <row r="1033" spans="23:33" ht="20.100000000000001" customHeight="1" x14ac:dyDescent="0.25">
      <c r="W1033" s="177">
        <v>4</v>
      </c>
      <c r="X1033" s="177">
        <v>1</v>
      </c>
      <c r="Y1033" s="147">
        <f t="shared" si="153"/>
        <v>236.25</v>
      </c>
      <c r="Z1033" s="147">
        <f t="shared" si="153"/>
        <v>250</v>
      </c>
      <c r="AA1033" s="147">
        <f t="shared" si="154"/>
        <v>423000</v>
      </c>
      <c r="AB1033" s="147">
        <v>421256.28574670467</v>
      </c>
      <c r="AC1033" s="147">
        <f t="shared" si="158"/>
        <v>438545.45454545453</v>
      </c>
      <c r="AE1033" s="147">
        <f t="shared" si="156"/>
        <v>-17289.168798749859</v>
      </c>
      <c r="AF1033" s="147">
        <f t="shared" si="155"/>
        <v>1743.7142532953294</v>
      </c>
      <c r="AG1033" s="147">
        <f t="shared" si="157"/>
        <v>-15545.45454545453</v>
      </c>
    </row>
    <row r="1034" spans="23:33" ht="20.100000000000001" customHeight="1" x14ac:dyDescent="0.25">
      <c r="W1034" s="177">
        <v>5</v>
      </c>
      <c r="X1034" s="177">
        <v>1</v>
      </c>
      <c r="Y1034" s="147">
        <f t="shared" si="153"/>
        <v>236.25</v>
      </c>
      <c r="Z1034" s="147">
        <f t="shared" si="153"/>
        <v>150</v>
      </c>
      <c r="AA1034" s="147">
        <f t="shared" si="154"/>
        <v>423000</v>
      </c>
      <c r="AB1034" s="147">
        <v>407448.38847751007</v>
      </c>
      <c r="AC1034" s="147">
        <f t="shared" si="158"/>
        <v>438545.45454545453</v>
      </c>
      <c r="AE1034" s="147">
        <f t="shared" si="156"/>
        <v>-31097.066067944455</v>
      </c>
      <c r="AF1034" s="147">
        <f t="shared" si="155"/>
        <v>15551.611522489926</v>
      </c>
      <c r="AG1034" s="147">
        <f t="shared" si="157"/>
        <v>-15545.45454545453</v>
      </c>
    </row>
    <row r="1035" spans="23:33" ht="20.100000000000001" customHeight="1" x14ac:dyDescent="0.25">
      <c r="W1035" s="177">
        <v>6</v>
      </c>
      <c r="X1035" s="177">
        <v>1</v>
      </c>
      <c r="Y1035" s="147">
        <f t="shared" si="153"/>
        <v>236.25</v>
      </c>
      <c r="Z1035" s="147">
        <f t="shared" si="153"/>
        <v>150</v>
      </c>
      <c r="AA1035" s="147">
        <f t="shared" si="154"/>
        <v>423000</v>
      </c>
      <c r="AB1035" s="147">
        <v>407448.38847751007</v>
      </c>
      <c r="AC1035" s="147">
        <f t="shared" si="158"/>
        <v>438545.45454545453</v>
      </c>
      <c r="AE1035" s="147">
        <f t="shared" si="156"/>
        <v>-31097.066067944455</v>
      </c>
      <c r="AF1035" s="147">
        <f t="shared" si="155"/>
        <v>15551.611522489926</v>
      </c>
      <c r="AG1035" s="147">
        <f t="shared" si="157"/>
        <v>-15545.45454545453</v>
      </c>
    </row>
    <row r="1036" spans="23:33" ht="20.100000000000001" customHeight="1" x14ac:dyDescent="0.25">
      <c r="W1036" s="177">
        <v>7</v>
      </c>
      <c r="X1036" s="177">
        <v>1</v>
      </c>
      <c r="Y1036" s="147">
        <f t="shared" si="153"/>
        <v>303.85000000000002</v>
      </c>
      <c r="Z1036" s="147">
        <f t="shared" si="153"/>
        <v>250</v>
      </c>
      <c r="AA1036" s="147">
        <f t="shared" si="154"/>
        <v>477000</v>
      </c>
      <c r="AB1036" s="147">
        <v>503971.30702188506</v>
      </c>
      <c r="AC1036" s="147">
        <f t="shared" si="158"/>
        <v>438545.45454545453</v>
      </c>
      <c r="AE1036" s="147">
        <f t="shared" si="156"/>
        <v>65425.852476430533</v>
      </c>
      <c r="AF1036" s="147">
        <f t="shared" si="155"/>
        <v>-26971.307021885063</v>
      </c>
      <c r="AG1036" s="147">
        <f t="shared" si="157"/>
        <v>38454.54545454547</v>
      </c>
    </row>
    <row r="1037" spans="23:33" ht="20.100000000000001" customHeight="1" x14ac:dyDescent="0.25">
      <c r="W1037" s="177">
        <v>9</v>
      </c>
      <c r="X1037" s="177">
        <v>1</v>
      </c>
      <c r="Y1037" s="147">
        <f t="shared" ref="Y1037:Z1040" si="159">C19</f>
        <v>284.5</v>
      </c>
      <c r="Z1037" s="147">
        <f t="shared" si="159"/>
        <v>250</v>
      </c>
      <c r="AA1037" s="147">
        <f>H19</f>
        <v>486000</v>
      </c>
      <c r="AB1037" s="147">
        <v>480294.74397935928</v>
      </c>
      <c r="AC1037" s="147">
        <f>AC1036</f>
        <v>438545.45454545453</v>
      </c>
      <c r="AE1037" s="147">
        <f t="shared" si="156"/>
        <v>41749.289433904749</v>
      </c>
      <c r="AF1037" s="147">
        <f t="shared" si="155"/>
        <v>5705.2560206407215</v>
      </c>
      <c r="AG1037" s="147">
        <f t="shared" si="157"/>
        <v>47454.54545454547</v>
      </c>
    </row>
    <row r="1038" spans="23:33" ht="20.100000000000001" customHeight="1" x14ac:dyDescent="0.25">
      <c r="W1038" s="177">
        <v>10</v>
      </c>
      <c r="X1038" s="177">
        <v>1</v>
      </c>
      <c r="Y1038" s="147">
        <f t="shared" si="159"/>
        <v>290.39999999999998</v>
      </c>
      <c r="Z1038" s="147">
        <f t="shared" si="159"/>
        <v>200</v>
      </c>
      <c r="AA1038" s="147">
        <f>H20</f>
        <v>486000</v>
      </c>
      <c r="AB1038" s="147">
        <v>480610.00578150101</v>
      </c>
      <c r="AC1038" s="147">
        <f t="shared" si="158"/>
        <v>438545.45454545453</v>
      </c>
      <c r="AE1038" s="147">
        <f t="shared" si="156"/>
        <v>42064.551236046478</v>
      </c>
      <c r="AF1038" s="147">
        <f t="shared" si="155"/>
        <v>5389.9942184989923</v>
      </c>
      <c r="AG1038" s="147">
        <f t="shared" si="157"/>
        <v>47454.54545454547</v>
      </c>
    </row>
    <row r="1039" spans="23:33" ht="20.100000000000001" customHeight="1" x14ac:dyDescent="0.25">
      <c r="W1039" s="177">
        <v>11</v>
      </c>
      <c r="X1039" s="177">
        <v>1</v>
      </c>
      <c r="Y1039" s="147">
        <f t="shared" si="159"/>
        <v>284.5</v>
      </c>
      <c r="Z1039" s="147">
        <f t="shared" si="159"/>
        <v>225</v>
      </c>
      <c r="AA1039" s="147">
        <f>H21</f>
        <v>486000</v>
      </c>
      <c r="AB1039" s="147">
        <v>476842.7696620606</v>
      </c>
      <c r="AC1039" s="147">
        <f t="shared" si="158"/>
        <v>438545.45454545453</v>
      </c>
      <c r="AE1039" s="147">
        <f t="shared" si="156"/>
        <v>38297.315116606071</v>
      </c>
      <c r="AF1039" s="147">
        <f t="shared" si="155"/>
        <v>9157.2303379393998</v>
      </c>
      <c r="AG1039" s="147">
        <f t="shared" si="157"/>
        <v>47454.54545454547</v>
      </c>
    </row>
    <row r="1040" spans="23:33" ht="20.100000000000001" customHeight="1" x14ac:dyDescent="0.25">
      <c r="W1040" s="177">
        <v>12</v>
      </c>
      <c r="X1040" s="177">
        <v>1</v>
      </c>
      <c r="Y1040" s="147">
        <f t="shared" si="159"/>
        <v>284.5</v>
      </c>
      <c r="Z1040" s="147">
        <f t="shared" si="159"/>
        <v>235</v>
      </c>
      <c r="AA1040" s="147">
        <f>H22</f>
        <v>486000</v>
      </c>
      <c r="AB1040" s="147">
        <v>478223.55938898004</v>
      </c>
      <c r="AC1040" s="147">
        <f t="shared" si="158"/>
        <v>438545.45454545453</v>
      </c>
      <c r="AE1040" s="147">
        <f t="shared" si="156"/>
        <v>39678.104843525507</v>
      </c>
      <c r="AF1040" s="147">
        <f t="shared" si="155"/>
        <v>7776.4406110199634</v>
      </c>
      <c r="AG1040" s="147">
        <f t="shared" si="157"/>
        <v>47454.54545454547</v>
      </c>
    </row>
    <row r="1042" spans="23:33" ht="20.100000000000001" customHeight="1" x14ac:dyDescent="0.25">
      <c r="AE1042" s="147">
        <f>SUMSQ(AE1030:AE1040)</f>
        <v>20373651001.155918</v>
      </c>
      <c r="AF1042" s="147">
        <f>SUMSQ(AF1030:AF1040)</f>
        <v>1835076271.5696399</v>
      </c>
      <c r="AG1042" s="147">
        <f>SUMSQ(AG1030:AG1040)</f>
        <v>22208727272.72728</v>
      </c>
    </row>
    <row r="1043" spans="23:33" ht="20.100000000000001" customHeight="1" x14ac:dyDescent="0.25">
      <c r="AB1043" s="147" t="s">
        <v>265</v>
      </c>
      <c r="AC1043" s="177">
        <f>COUNT(W1030:W1040)</f>
        <v>11</v>
      </c>
    </row>
    <row r="1044" spans="23:33" ht="20.100000000000001" customHeight="1" x14ac:dyDescent="0.25">
      <c r="AB1044" s="147" t="s">
        <v>266</v>
      </c>
      <c r="AC1044" s="177">
        <v>2</v>
      </c>
      <c r="AE1044" s="147" t="s">
        <v>269</v>
      </c>
      <c r="AF1044" s="147">
        <f>AF1042/AC1046</f>
        <v>229384533.94620499</v>
      </c>
    </row>
    <row r="1045" spans="23:33" ht="20.100000000000001" customHeight="1" x14ac:dyDescent="0.25">
      <c r="AB1045" s="147" t="s">
        <v>267</v>
      </c>
      <c r="AC1045" s="177">
        <f>AC1044+1</f>
        <v>3</v>
      </c>
    </row>
    <row r="1046" spans="23:33" ht="20.100000000000001" customHeight="1" x14ac:dyDescent="0.25">
      <c r="AB1046" s="147" t="s">
        <v>268</v>
      </c>
      <c r="AC1046" s="177">
        <f>AC1043-AC1045</f>
        <v>8</v>
      </c>
      <c r="AE1046" s="147" t="s">
        <v>270</v>
      </c>
      <c r="AF1046" s="147">
        <f>(AF1042/AC1046)^(1/2)</f>
        <v>15145.445980432698</v>
      </c>
    </row>
    <row r="1047" spans="23:33" ht="20.100000000000001" customHeight="1" x14ac:dyDescent="0.25">
      <c r="AC1047" s="177"/>
    </row>
    <row r="1048" spans="23:33" ht="20.100000000000001" customHeight="1" x14ac:dyDescent="0.25">
      <c r="AE1048" s="147" t="s">
        <v>271</v>
      </c>
      <c r="AF1048" s="147">
        <f>AF829</f>
        <v>-6033.0997657270054</v>
      </c>
    </row>
    <row r="1050" spans="23:33" ht="20.100000000000001" customHeight="1" x14ac:dyDescent="0.25">
      <c r="AE1050" s="147" t="s">
        <v>272</v>
      </c>
      <c r="AF1050" s="178">
        <f>AF1048/AF1046</f>
        <v>-0.39834414737747081</v>
      </c>
    </row>
    <row r="1052" spans="23:33" ht="20.100000000000001" customHeight="1" x14ac:dyDescent="0.25">
      <c r="AE1052" s="147" t="s">
        <v>273</v>
      </c>
      <c r="AF1052" s="178">
        <f>AF1048/(((AF1044)*(1-F311))^(1/2))</f>
        <v>-0.5883996251168373</v>
      </c>
    </row>
    <row r="1055" spans="23:33" ht="20.100000000000001" customHeight="1" x14ac:dyDescent="0.25">
      <c r="AA1055" s="147" t="s">
        <v>228</v>
      </c>
      <c r="AB1055" s="147" t="s">
        <v>227</v>
      </c>
      <c r="AC1055" s="147" t="s">
        <v>261</v>
      </c>
      <c r="AE1055" s="147" t="s">
        <v>262</v>
      </c>
      <c r="AF1055" s="147" t="s">
        <v>263</v>
      </c>
      <c r="AG1055" s="147" t="s">
        <v>264</v>
      </c>
    </row>
    <row r="1056" spans="23:33" ht="20.100000000000001" customHeight="1" x14ac:dyDescent="0.25">
      <c r="W1056" s="177">
        <v>1</v>
      </c>
      <c r="X1056" s="177">
        <v>1</v>
      </c>
      <c r="Y1056" s="147">
        <f t="shared" ref="Y1056:Z1063" si="160">C11</f>
        <v>223.3</v>
      </c>
      <c r="Z1056" s="147">
        <f t="shared" si="160"/>
        <v>150</v>
      </c>
      <c r="AA1056" s="147">
        <f t="shared" ref="AA1056:AA1063" si="161">H11</f>
        <v>378000</v>
      </c>
      <c r="AB1056" s="147" cm="1">
        <f t="array" ref="AB1056:AB1066">MMULT(X1056:Z1066,MMULT((MINVERSE(MMULT(TRANSPOSE(X1056:Z1066),X1056:Z1066))),MMULT(TRANSPOSE(X1056:Z1066),AA1056:AA1066)))</f>
        <v>392015.94907705317</v>
      </c>
      <c r="AC1056" s="147">
        <f>AVERAGE(AA1056:AA1066)</f>
        <v>437727.27272727271</v>
      </c>
      <c r="AE1056" s="147">
        <f>AB1056-AC1056</f>
        <v>-45711.323650219536</v>
      </c>
      <c r="AF1056" s="147">
        <f t="shared" ref="AF1056:AF1066" si="162">AA1056-AB1056</f>
        <v>-14015.94907705317</v>
      </c>
      <c r="AG1056" s="147">
        <f>AA1056-AC1056</f>
        <v>-59727.272727272706</v>
      </c>
    </row>
    <row r="1057" spans="23:33" ht="20.100000000000001" customHeight="1" x14ac:dyDescent="0.25">
      <c r="W1057" s="177">
        <v>2</v>
      </c>
      <c r="X1057" s="177">
        <v>1</v>
      </c>
      <c r="Y1057" s="147">
        <f t="shared" si="160"/>
        <v>223.3</v>
      </c>
      <c r="Z1057" s="147">
        <f t="shared" si="160"/>
        <v>150</v>
      </c>
      <c r="AA1057" s="147">
        <f t="shared" si="161"/>
        <v>378000</v>
      </c>
      <c r="AB1057" s="147">
        <v>392015.94907705317</v>
      </c>
      <c r="AC1057" s="147">
        <f>AC1056</f>
        <v>437727.27272727271</v>
      </c>
      <c r="AE1057" s="147">
        <f t="shared" ref="AE1057:AE1066" si="163">AB1057-AC1057</f>
        <v>-45711.323650219536</v>
      </c>
      <c r="AF1057" s="147">
        <f t="shared" si="162"/>
        <v>-14015.94907705317</v>
      </c>
      <c r="AG1057" s="147">
        <f t="shared" ref="AG1057:AG1066" si="164">AA1057-AC1057</f>
        <v>-59727.272727272706</v>
      </c>
    </row>
    <row r="1058" spans="23:33" ht="20.100000000000001" customHeight="1" x14ac:dyDescent="0.25">
      <c r="W1058" s="177">
        <v>3</v>
      </c>
      <c r="X1058" s="177">
        <v>1</v>
      </c>
      <c r="Y1058" s="147">
        <f t="shared" si="160"/>
        <v>223.3</v>
      </c>
      <c r="Z1058" s="147">
        <f t="shared" si="160"/>
        <v>100</v>
      </c>
      <c r="AA1058" s="147">
        <f t="shared" si="161"/>
        <v>378000</v>
      </c>
      <c r="AB1058" s="147">
        <v>383255.48995381524</v>
      </c>
      <c r="AC1058" s="147">
        <f t="shared" ref="AC1058:AC1066" si="165">AC1057</f>
        <v>437727.27272727271</v>
      </c>
      <c r="AE1058" s="147">
        <f t="shared" si="163"/>
        <v>-54471.782773457468</v>
      </c>
      <c r="AF1058" s="147">
        <f t="shared" si="162"/>
        <v>-5255.4899538152386</v>
      </c>
      <c r="AG1058" s="147">
        <f t="shared" si="164"/>
        <v>-59727.272727272706</v>
      </c>
    </row>
    <row r="1059" spans="23:33" ht="20.100000000000001" customHeight="1" x14ac:dyDescent="0.25">
      <c r="W1059" s="177">
        <v>4</v>
      </c>
      <c r="X1059" s="177">
        <v>1</v>
      </c>
      <c r="Y1059" s="147">
        <f t="shared" si="160"/>
        <v>236.25</v>
      </c>
      <c r="Z1059" s="147">
        <f t="shared" si="160"/>
        <v>250</v>
      </c>
      <c r="AA1059" s="147">
        <f t="shared" si="161"/>
        <v>423000</v>
      </c>
      <c r="AB1059" s="147">
        <v>424159.41924373352</v>
      </c>
      <c r="AC1059" s="147">
        <f t="shared" si="165"/>
        <v>437727.27272727271</v>
      </c>
      <c r="AE1059" s="147">
        <f t="shared" si="163"/>
        <v>-13567.853483539191</v>
      </c>
      <c r="AF1059" s="147">
        <f t="shared" si="162"/>
        <v>-1159.419243733515</v>
      </c>
      <c r="AG1059" s="147">
        <f t="shared" si="164"/>
        <v>-14727.272727272706</v>
      </c>
    </row>
    <row r="1060" spans="23:33" ht="20.100000000000001" customHeight="1" x14ac:dyDescent="0.25">
      <c r="W1060" s="177">
        <v>5</v>
      </c>
      <c r="X1060" s="177">
        <v>1</v>
      </c>
      <c r="Y1060" s="147">
        <f t="shared" si="160"/>
        <v>236.25</v>
      </c>
      <c r="Z1060" s="147">
        <f t="shared" si="160"/>
        <v>150</v>
      </c>
      <c r="AA1060" s="147">
        <f t="shared" si="161"/>
        <v>423000</v>
      </c>
      <c r="AB1060" s="147">
        <v>406638.50099725777</v>
      </c>
      <c r="AC1060" s="147">
        <f t="shared" si="165"/>
        <v>437727.27272727271</v>
      </c>
      <c r="AE1060" s="147">
        <f t="shared" si="163"/>
        <v>-31088.771730014938</v>
      </c>
      <c r="AF1060" s="147">
        <f t="shared" si="162"/>
        <v>16361.499002742232</v>
      </c>
      <c r="AG1060" s="147">
        <f t="shared" si="164"/>
        <v>-14727.272727272706</v>
      </c>
    </row>
    <row r="1061" spans="23:33" ht="20.100000000000001" customHeight="1" x14ac:dyDescent="0.25">
      <c r="W1061" s="177">
        <v>6</v>
      </c>
      <c r="X1061" s="177">
        <v>1</v>
      </c>
      <c r="Y1061" s="147">
        <f t="shared" si="160"/>
        <v>236.25</v>
      </c>
      <c r="Z1061" s="147">
        <f t="shared" si="160"/>
        <v>150</v>
      </c>
      <c r="AA1061" s="147">
        <f t="shared" si="161"/>
        <v>423000</v>
      </c>
      <c r="AB1061" s="147">
        <v>406638.50099725777</v>
      </c>
      <c r="AC1061" s="147">
        <f t="shared" si="165"/>
        <v>437727.27272727271</v>
      </c>
      <c r="AE1061" s="147">
        <f t="shared" si="163"/>
        <v>-31088.771730014938</v>
      </c>
      <c r="AF1061" s="147">
        <f t="shared" si="162"/>
        <v>16361.499002742232</v>
      </c>
      <c r="AG1061" s="147">
        <f t="shared" si="164"/>
        <v>-14727.272727272706</v>
      </c>
    </row>
    <row r="1062" spans="23:33" ht="20.100000000000001" customHeight="1" x14ac:dyDescent="0.25">
      <c r="W1062" s="177">
        <v>7</v>
      </c>
      <c r="X1062" s="177">
        <v>1</v>
      </c>
      <c r="Y1062" s="147">
        <f t="shared" si="160"/>
        <v>303.85000000000002</v>
      </c>
      <c r="Z1062" s="147">
        <f t="shared" si="160"/>
        <v>250</v>
      </c>
      <c r="AA1062" s="147">
        <f t="shared" si="161"/>
        <v>477000</v>
      </c>
      <c r="AB1062" s="147">
        <v>500490.26942178985</v>
      </c>
      <c r="AC1062" s="147">
        <f t="shared" si="165"/>
        <v>437727.27272727271</v>
      </c>
      <c r="AE1062" s="147">
        <f t="shared" si="163"/>
        <v>62762.996694517147</v>
      </c>
      <c r="AF1062" s="147">
        <f t="shared" si="162"/>
        <v>-23490.269421789853</v>
      </c>
      <c r="AG1062" s="147">
        <f t="shared" si="164"/>
        <v>39272.727272727294</v>
      </c>
    </row>
    <row r="1063" spans="23:33" ht="20.100000000000001" customHeight="1" x14ac:dyDescent="0.25">
      <c r="W1063" s="177">
        <v>8</v>
      </c>
      <c r="X1063" s="177">
        <v>1</v>
      </c>
      <c r="Y1063" s="147">
        <f t="shared" si="160"/>
        <v>303.85000000000002</v>
      </c>
      <c r="Z1063" s="147">
        <f t="shared" si="160"/>
        <v>150</v>
      </c>
      <c r="AA1063" s="147">
        <f t="shared" si="161"/>
        <v>477000</v>
      </c>
      <c r="AB1063" s="147">
        <v>482969.35117531411</v>
      </c>
      <c r="AC1063" s="147">
        <f t="shared" si="165"/>
        <v>437727.27272727271</v>
      </c>
      <c r="AE1063" s="147">
        <f t="shared" si="163"/>
        <v>45242.0784480414</v>
      </c>
      <c r="AF1063" s="147">
        <f t="shared" si="162"/>
        <v>-5969.3511753141065</v>
      </c>
      <c r="AG1063" s="147">
        <f t="shared" si="164"/>
        <v>39272.727272727294</v>
      </c>
    </row>
    <row r="1064" spans="23:33" ht="20.100000000000001" customHeight="1" x14ac:dyDescent="0.25">
      <c r="W1064" s="177">
        <v>10</v>
      </c>
      <c r="X1064" s="177">
        <v>1</v>
      </c>
      <c r="Y1064" s="147">
        <f t="shared" ref="Y1064:Z1066" si="166">C20</f>
        <v>290.39999999999998</v>
      </c>
      <c r="Z1064" s="147">
        <f t="shared" si="166"/>
        <v>200</v>
      </c>
      <c r="AA1064" s="147">
        <f>H20</f>
        <v>486000</v>
      </c>
      <c r="AB1064" s="147">
        <v>476542.68108413095</v>
      </c>
      <c r="AC1064" s="147">
        <f>AC1063</f>
        <v>437727.27272727271</v>
      </c>
      <c r="AE1064" s="147">
        <f t="shared" si="163"/>
        <v>38815.408356858243</v>
      </c>
      <c r="AF1064" s="147">
        <f t="shared" si="162"/>
        <v>9457.3189158690511</v>
      </c>
      <c r="AG1064" s="147">
        <f t="shared" si="164"/>
        <v>48272.727272727294</v>
      </c>
    </row>
    <row r="1065" spans="23:33" ht="20.100000000000001" customHeight="1" x14ac:dyDescent="0.25">
      <c r="W1065" s="177">
        <v>11</v>
      </c>
      <c r="X1065" s="177">
        <v>1</v>
      </c>
      <c r="Y1065" s="147">
        <f t="shared" si="166"/>
        <v>284.5</v>
      </c>
      <c r="Z1065" s="147">
        <f t="shared" si="166"/>
        <v>225</v>
      </c>
      <c r="AA1065" s="147">
        <f>H21</f>
        <v>486000</v>
      </c>
      <c r="AB1065" s="147">
        <v>474260.8985739965</v>
      </c>
      <c r="AC1065" s="147">
        <f t="shared" si="165"/>
        <v>437727.27272727271</v>
      </c>
      <c r="AE1065" s="147">
        <f t="shared" si="163"/>
        <v>36533.625846723793</v>
      </c>
      <c r="AF1065" s="147">
        <f t="shared" si="162"/>
        <v>11739.101426003501</v>
      </c>
      <c r="AG1065" s="147">
        <f t="shared" si="164"/>
        <v>48272.727272727294</v>
      </c>
    </row>
    <row r="1066" spans="23:33" ht="20.100000000000001" customHeight="1" x14ac:dyDescent="0.25">
      <c r="W1066" s="177">
        <v>12</v>
      </c>
      <c r="X1066" s="177">
        <v>1</v>
      </c>
      <c r="Y1066" s="147">
        <f t="shared" si="166"/>
        <v>284.5</v>
      </c>
      <c r="Z1066" s="147">
        <f t="shared" si="166"/>
        <v>235</v>
      </c>
      <c r="AA1066" s="147">
        <f>H22</f>
        <v>486000</v>
      </c>
      <c r="AB1066" s="147">
        <v>476012.99039864406</v>
      </c>
      <c r="AC1066" s="147">
        <f t="shared" si="165"/>
        <v>437727.27272727271</v>
      </c>
      <c r="AE1066" s="147">
        <f t="shared" si="163"/>
        <v>38285.717671371356</v>
      </c>
      <c r="AF1066" s="147">
        <f t="shared" si="162"/>
        <v>9987.0096013559378</v>
      </c>
      <c r="AG1066" s="147">
        <f t="shared" si="164"/>
        <v>48272.727272727294</v>
      </c>
    </row>
    <row r="1068" spans="23:33" ht="20.100000000000001" customHeight="1" x14ac:dyDescent="0.25">
      <c r="AE1068" s="147">
        <f>SUMSQ(AE1056:AE1066)</f>
        <v>19556512779.146442</v>
      </c>
      <c r="AF1068" s="147">
        <f>SUMSQ(AF1056:AF1066)</f>
        <v>1871669039.0384848</v>
      </c>
      <c r="AG1068" s="147">
        <f>SUMSQ(AG1056:AG1066)</f>
        <v>21428181818.18182</v>
      </c>
    </row>
    <row r="1069" spans="23:33" ht="20.100000000000001" customHeight="1" x14ac:dyDescent="0.25">
      <c r="AB1069" s="147" t="s">
        <v>265</v>
      </c>
      <c r="AC1069" s="177">
        <f>COUNT(W1056:W1066)</f>
        <v>11</v>
      </c>
    </row>
    <row r="1070" spans="23:33" ht="20.100000000000001" customHeight="1" x14ac:dyDescent="0.25">
      <c r="AB1070" s="147" t="s">
        <v>266</v>
      </c>
      <c r="AC1070" s="177">
        <v>2</v>
      </c>
      <c r="AE1070" s="147" t="s">
        <v>269</v>
      </c>
      <c r="AF1070" s="147">
        <f>AF1068/AC1072</f>
        <v>233958629.8798106</v>
      </c>
    </row>
    <row r="1071" spans="23:33" ht="20.100000000000001" customHeight="1" x14ac:dyDescent="0.25">
      <c r="AB1071" s="147" t="s">
        <v>267</v>
      </c>
      <c r="AC1071" s="177">
        <f>AC1070+1</f>
        <v>3</v>
      </c>
    </row>
    <row r="1072" spans="23:33" ht="20.100000000000001" customHeight="1" x14ac:dyDescent="0.25">
      <c r="AB1072" s="147" t="s">
        <v>268</v>
      </c>
      <c r="AC1072" s="177">
        <f>AC1069-AC1071</f>
        <v>8</v>
      </c>
      <c r="AE1072" s="147" t="s">
        <v>270</v>
      </c>
      <c r="AF1072" s="147">
        <f>(AF1068/AC1072)^(1/2)</f>
        <v>15295.706256326008</v>
      </c>
    </row>
    <row r="1073" spans="23:33" ht="20.100000000000001" customHeight="1" x14ac:dyDescent="0.25">
      <c r="AC1073" s="177"/>
    </row>
    <row r="1074" spans="23:33" ht="20.100000000000001" customHeight="1" x14ac:dyDescent="0.25">
      <c r="AE1074" s="147" t="s">
        <v>271</v>
      </c>
      <c r="AF1074" s="147">
        <f>AF830</f>
        <v>5819.2882843209081</v>
      </c>
    </row>
    <row r="1076" spans="23:33" ht="20.100000000000001" customHeight="1" x14ac:dyDescent="0.25">
      <c r="AE1076" s="147" t="s">
        <v>272</v>
      </c>
      <c r="AF1076" s="178">
        <f>AF1074/AF1072</f>
        <v>0.38045240846032613</v>
      </c>
    </row>
    <row r="1078" spans="23:33" ht="20.100000000000001" customHeight="1" x14ac:dyDescent="0.25">
      <c r="AE1078" s="147" t="s">
        <v>273</v>
      </c>
      <c r="AF1078" s="178">
        <f>AF1074/(((AF1070)*(1-F312))^(1/2))</f>
        <v>0.42782979054170522</v>
      </c>
    </row>
    <row r="1081" spans="23:33" ht="20.100000000000001" customHeight="1" x14ac:dyDescent="0.25">
      <c r="AA1081" s="147" t="s">
        <v>228</v>
      </c>
      <c r="AB1081" s="147" t="s">
        <v>227</v>
      </c>
      <c r="AC1081" s="147" t="s">
        <v>261</v>
      </c>
      <c r="AE1081" s="147" t="s">
        <v>262</v>
      </c>
      <c r="AF1081" s="147" t="s">
        <v>263</v>
      </c>
      <c r="AG1081" s="147" t="s">
        <v>264</v>
      </c>
    </row>
    <row r="1082" spans="23:33" ht="20.100000000000001" customHeight="1" x14ac:dyDescent="0.25">
      <c r="W1082" s="177">
        <v>1</v>
      </c>
      <c r="X1082" s="177">
        <v>1</v>
      </c>
      <c r="Y1082" s="147">
        <f t="shared" ref="Y1082:Y1090" si="167">C11</f>
        <v>223.3</v>
      </c>
      <c r="Z1082" s="147">
        <f t="shared" ref="Z1082:Z1090" si="168">D11</f>
        <v>150</v>
      </c>
      <c r="AA1082" s="147">
        <f t="shared" ref="AA1082:AA1090" si="169">H11</f>
        <v>378000</v>
      </c>
      <c r="AB1082" s="147" cm="1">
        <f t="array" ref="AB1082:AB1092">MMULT(X1082:Z1092,MMULT((MINVERSE(MMULT(TRANSPOSE(X1082:Z1092),X1082:Z1092))),MMULT(TRANSPOSE(X1082:Z1092),AA1082:AA1092)))</f>
        <v>392084.50589324703</v>
      </c>
      <c r="AC1082" s="147">
        <f>AVERAGE(AA1082:AA1092)</f>
        <v>437727.27272727271</v>
      </c>
      <c r="AE1082" s="147">
        <f>AB1082-AC1082</f>
        <v>-45642.766834025679</v>
      </c>
      <c r="AF1082" s="147">
        <f t="shared" ref="AF1082:AF1092" si="170">AA1082-AB1082</f>
        <v>-14084.505893247027</v>
      </c>
      <c r="AG1082" s="147">
        <f>AA1082-AC1082</f>
        <v>-59727.272727272706</v>
      </c>
    </row>
    <row r="1083" spans="23:33" ht="20.100000000000001" customHeight="1" x14ac:dyDescent="0.25">
      <c r="W1083" s="177">
        <v>2</v>
      </c>
      <c r="X1083" s="177">
        <v>1</v>
      </c>
      <c r="Y1083" s="147">
        <f t="shared" si="167"/>
        <v>223.3</v>
      </c>
      <c r="Z1083" s="147">
        <f t="shared" si="168"/>
        <v>150</v>
      </c>
      <c r="AA1083" s="147">
        <f t="shared" si="169"/>
        <v>378000</v>
      </c>
      <c r="AB1083" s="147">
        <v>392084.50589324703</v>
      </c>
      <c r="AC1083" s="147">
        <f>AC1082</f>
        <v>437727.27272727271</v>
      </c>
      <c r="AE1083" s="147">
        <f t="shared" ref="AE1083:AE1092" si="171">AB1083-AC1083</f>
        <v>-45642.766834025679</v>
      </c>
      <c r="AF1083" s="147">
        <f t="shared" si="170"/>
        <v>-14084.505893247027</v>
      </c>
      <c r="AG1083" s="147">
        <f t="shared" ref="AG1083:AG1092" si="172">AA1083-AC1083</f>
        <v>-59727.272727272706</v>
      </c>
    </row>
    <row r="1084" spans="23:33" ht="20.100000000000001" customHeight="1" x14ac:dyDescent="0.25">
      <c r="W1084" s="177">
        <v>3</v>
      </c>
      <c r="X1084" s="177">
        <v>1</v>
      </c>
      <c r="Y1084" s="147">
        <f t="shared" si="167"/>
        <v>223.3</v>
      </c>
      <c r="Z1084" s="147">
        <f t="shared" si="168"/>
        <v>100</v>
      </c>
      <c r="AA1084" s="147">
        <f t="shared" si="169"/>
        <v>378000</v>
      </c>
      <c r="AB1084" s="147">
        <v>382171.76321823563</v>
      </c>
      <c r="AC1084" s="147">
        <f t="shared" ref="AC1084:AC1092" si="173">AC1083</f>
        <v>437727.27272727271</v>
      </c>
      <c r="AE1084" s="147">
        <f t="shared" si="171"/>
        <v>-55555.509509037074</v>
      </c>
      <c r="AF1084" s="147">
        <f t="shared" si="170"/>
        <v>-4171.7632182356319</v>
      </c>
      <c r="AG1084" s="147">
        <f t="shared" si="172"/>
        <v>-59727.272727272706</v>
      </c>
    </row>
    <row r="1085" spans="23:33" ht="20.100000000000001" customHeight="1" x14ac:dyDescent="0.25">
      <c r="W1085" s="177">
        <v>4</v>
      </c>
      <c r="X1085" s="177">
        <v>1</v>
      </c>
      <c r="Y1085" s="147">
        <f t="shared" si="167"/>
        <v>236.25</v>
      </c>
      <c r="Z1085" s="147">
        <f t="shared" si="168"/>
        <v>250</v>
      </c>
      <c r="AA1085" s="147">
        <f t="shared" si="169"/>
        <v>423000</v>
      </c>
      <c r="AB1085" s="147">
        <v>426117.2080099188</v>
      </c>
      <c r="AC1085" s="147">
        <f t="shared" si="173"/>
        <v>437727.27272727271</v>
      </c>
      <c r="AE1085" s="147">
        <f t="shared" si="171"/>
        <v>-11610.064717353904</v>
      </c>
      <c r="AF1085" s="147">
        <f t="shared" si="170"/>
        <v>-3117.2080099188024</v>
      </c>
      <c r="AG1085" s="147">
        <f t="shared" si="172"/>
        <v>-14727.272727272706</v>
      </c>
    </row>
    <row r="1086" spans="23:33" ht="20.100000000000001" customHeight="1" x14ac:dyDescent="0.25">
      <c r="W1086" s="177">
        <v>5</v>
      </c>
      <c r="X1086" s="177">
        <v>1</v>
      </c>
      <c r="Y1086" s="147">
        <f t="shared" si="167"/>
        <v>236.25</v>
      </c>
      <c r="Z1086" s="147">
        <f t="shared" si="168"/>
        <v>150</v>
      </c>
      <c r="AA1086" s="147">
        <f t="shared" si="169"/>
        <v>423000</v>
      </c>
      <c r="AB1086" s="147">
        <v>406291.72265989601</v>
      </c>
      <c r="AC1086" s="147">
        <f t="shared" si="173"/>
        <v>437727.27272727271</v>
      </c>
      <c r="AE1086" s="147">
        <f t="shared" si="171"/>
        <v>-31435.550067376695</v>
      </c>
      <c r="AF1086" s="147">
        <f t="shared" si="170"/>
        <v>16708.277340103989</v>
      </c>
      <c r="AG1086" s="147">
        <f t="shared" si="172"/>
        <v>-14727.272727272706</v>
      </c>
    </row>
    <row r="1087" spans="23:33" ht="20.100000000000001" customHeight="1" x14ac:dyDescent="0.25">
      <c r="W1087" s="177">
        <v>6</v>
      </c>
      <c r="X1087" s="177">
        <v>1</v>
      </c>
      <c r="Y1087" s="147">
        <f t="shared" si="167"/>
        <v>236.25</v>
      </c>
      <c r="Z1087" s="147">
        <f t="shared" si="168"/>
        <v>150</v>
      </c>
      <c r="AA1087" s="147">
        <f t="shared" si="169"/>
        <v>423000</v>
      </c>
      <c r="AB1087" s="147">
        <v>406291.72265989601</v>
      </c>
      <c r="AC1087" s="147">
        <f t="shared" si="173"/>
        <v>437727.27272727271</v>
      </c>
      <c r="AE1087" s="147">
        <f t="shared" si="171"/>
        <v>-31435.550067376695</v>
      </c>
      <c r="AF1087" s="147">
        <f t="shared" si="170"/>
        <v>16708.277340103989</v>
      </c>
      <c r="AG1087" s="147">
        <f t="shared" si="172"/>
        <v>-14727.272727272706</v>
      </c>
    </row>
    <row r="1088" spans="23:33" ht="20.100000000000001" customHeight="1" x14ac:dyDescent="0.25">
      <c r="W1088" s="177">
        <v>7</v>
      </c>
      <c r="X1088" s="177">
        <v>1</v>
      </c>
      <c r="Y1088" s="147">
        <f t="shared" si="167"/>
        <v>303.85000000000002</v>
      </c>
      <c r="Z1088" s="147">
        <f t="shared" si="168"/>
        <v>250</v>
      </c>
      <c r="AA1088" s="147">
        <f t="shared" si="169"/>
        <v>477000</v>
      </c>
      <c r="AB1088" s="147">
        <v>500279.9766142022</v>
      </c>
      <c r="AC1088" s="147">
        <f t="shared" si="173"/>
        <v>437727.27272727271</v>
      </c>
      <c r="AE1088" s="147">
        <f t="shared" si="171"/>
        <v>62552.703886929492</v>
      </c>
      <c r="AF1088" s="147">
        <f t="shared" si="170"/>
        <v>-23279.976614202198</v>
      </c>
      <c r="AG1088" s="147">
        <f t="shared" si="172"/>
        <v>39272.727272727294</v>
      </c>
    </row>
    <row r="1089" spans="23:33" ht="20.100000000000001" customHeight="1" x14ac:dyDescent="0.25">
      <c r="W1089" s="177">
        <v>8</v>
      </c>
      <c r="X1089" s="177">
        <v>1</v>
      </c>
      <c r="Y1089" s="147">
        <f t="shared" si="167"/>
        <v>303.85000000000002</v>
      </c>
      <c r="Z1089" s="147">
        <f t="shared" si="168"/>
        <v>150</v>
      </c>
      <c r="AA1089" s="147">
        <f t="shared" si="169"/>
        <v>477000</v>
      </c>
      <c r="AB1089" s="147">
        <v>480454.49126417941</v>
      </c>
      <c r="AC1089" s="147">
        <f t="shared" si="173"/>
        <v>437727.27272727271</v>
      </c>
      <c r="AE1089" s="147">
        <f t="shared" si="171"/>
        <v>42727.218536906701</v>
      </c>
      <c r="AF1089" s="147">
        <f t="shared" si="170"/>
        <v>-3454.4912641794072</v>
      </c>
      <c r="AG1089" s="147">
        <f t="shared" si="172"/>
        <v>39272.727272727294</v>
      </c>
    </row>
    <row r="1090" spans="23:33" ht="20.100000000000001" customHeight="1" x14ac:dyDescent="0.25">
      <c r="W1090" s="177">
        <v>9</v>
      </c>
      <c r="X1090" s="177">
        <v>1</v>
      </c>
      <c r="Y1090" s="147">
        <f t="shared" si="167"/>
        <v>284.5</v>
      </c>
      <c r="Z1090" s="147">
        <f t="shared" si="168"/>
        <v>250</v>
      </c>
      <c r="AA1090" s="147">
        <f t="shared" si="169"/>
        <v>486000</v>
      </c>
      <c r="AB1090" s="147">
        <v>479051.43264241394</v>
      </c>
      <c r="AC1090" s="147">
        <f t="shared" si="173"/>
        <v>437727.27272727271</v>
      </c>
      <c r="AE1090" s="147">
        <f t="shared" si="171"/>
        <v>41324.159915141237</v>
      </c>
      <c r="AF1090" s="147">
        <f t="shared" si="170"/>
        <v>6948.5673575860565</v>
      </c>
      <c r="AG1090" s="147">
        <f t="shared" si="172"/>
        <v>48272.727272727294</v>
      </c>
    </row>
    <row r="1091" spans="23:33" ht="20.100000000000001" customHeight="1" x14ac:dyDescent="0.25">
      <c r="W1091" s="177">
        <v>11</v>
      </c>
      <c r="X1091" s="177">
        <v>1</v>
      </c>
      <c r="Y1091" s="147">
        <f>C21</f>
        <v>284.5</v>
      </c>
      <c r="Z1091" s="147">
        <f>D21</f>
        <v>225</v>
      </c>
      <c r="AA1091" s="147">
        <f>H21</f>
        <v>486000</v>
      </c>
      <c r="AB1091" s="147">
        <v>474095.06130490825</v>
      </c>
      <c r="AC1091" s="147">
        <f>AC1090</f>
        <v>437727.27272727271</v>
      </c>
      <c r="AE1091" s="147">
        <f t="shared" si="171"/>
        <v>36367.78857763554</v>
      </c>
      <c r="AF1091" s="147">
        <f t="shared" si="170"/>
        <v>11904.938695091754</v>
      </c>
      <c r="AG1091" s="147">
        <f t="shared" si="172"/>
        <v>48272.727272727294</v>
      </c>
    </row>
    <row r="1092" spans="23:33" ht="20.100000000000001" customHeight="1" x14ac:dyDescent="0.25">
      <c r="W1092" s="177">
        <v>12</v>
      </c>
      <c r="X1092" s="177">
        <v>1</v>
      </c>
      <c r="Y1092" s="147">
        <f>C22</f>
        <v>284.5</v>
      </c>
      <c r="Z1092" s="147">
        <f>D22</f>
        <v>235</v>
      </c>
      <c r="AA1092" s="147">
        <f>H22</f>
        <v>486000</v>
      </c>
      <c r="AB1092" s="147">
        <v>476077.60983991052</v>
      </c>
      <c r="AC1092" s="147">
        <f t="shared" si="173"/>
        <v>437727.27272727271</v>
      </c>
      <c r="AE1092" s="147">
        <f t="shared" si="171"/>
        <v>38350.337112637819</v>
      </c>
      <c r="AF1092" s="147">
        <f t="shared" si="170"/>
        <v>9922.3901600894751</v>
      </c>
      <c r="AG1092" s="147">
        <f t="shared" si="172"/>
        <v>48272.727272727294</v>
      </c>
    </row>
    <row r="1094" spans="23:33" ht="20.100000000000001" customHeight="1" x14ac:dyDescent="0.25">
      <c r="AE1094" s="147">
        <f>SUMSQ(AE1082:AE1092)</f>
        <v>19603626746.996613</v>
      </c>
      <c r="AF1094" s="147">
        <f>SUMSQ(AF1082:AF1092)</f>
        <v>1824555071.1855481</v>
      </c>
      <c r="AG1094" s="147">
        <f>SUMSQ(AG1082:AG1092)</f>
        <v>21428181818.18182</v>
      </c>
    </row>
    <row r="1095" spans="23:33" ht="20.100000000000001" customHeight="1" x14ac:dyDescent="0.25">
      <c r="AB1095" s="147" t="s">
        <v>265</v>
      </c>
      <c r="AC1095" s="177">
        <f>COUNT(W1082:W1092)</f>
        <v>11</v>
      </c>
    </row>
    <row r="1096" spans="23:33" ht="20.100000000000001" customHeight="1" x14ac:dyDescent="0.25">
      <c r="AB1096" s="147" t="s">
        <v>266</v>
      </c>
      <c r="AC1096" s="177">
        <v>2</v>
      </c>
      <c r="AE1096" s="147" t="s">
        <v>269</v>
      </c>
      <c r="AF1096" s="147">
        <f>AF1094/AC1098</f>
        <v>228069383.89819351</v>
      </c>
    </row>
    <row r="1097" spans="23:33" ht="20.100000000000001" customHeight="1" x14ac:dyDescent="0.25">
      <c r="AB1097" s="147" t="s">
        <v>267</v>
      </c>
      <c r="AC1097" s="177">
        <f>AC1096+1</f>
        <v>3</v>
      </c>
    </row>
    <row r="1098" spans="23:33" ht="20.100000000000001" customHeight="1" x14ac:dyDescent="0.25">
      <c r="AB1098" s="147" t="s">
        <v>268</v>
      </c>
      <c r="AC1098" s="177">
        <f>AC1095-AC1097</f>
        <v>8</v>
      </c>
      <c r="AE1098" s="147" t="s">
        <v>270</v>
      </c>
      <c r="AF1098" s="147">
        <f>(AF1094/AC1098)^(1/2)</f>
        <v>15101.966226230064</v>
      </c>
    </row>
    <row r="1099" spans="23:33" ht="20.100000000000001" customHeight="1" x14ac:dyDescent="0.25">
      <c r="AC1099" s="177"/>
    </row>
    <row r="1100" spans="23:33" ht="20.100000000000001" customHeight="1" x14ac:dyDescent="0.25">
      <c r="AE1100" s="147" t="s">
        <v>271</v>
      </c>
      <c r="AF1100" s="147">
        <f>AF831</f>
        <v>8657.3765961548197</v>
      </c>
    </row>
    <row r="1102" spans="23:33" ht="20.100000000000001" customHeight="1" x14ac:dyDescent="0.25">
      <c r="AE1102" s="147" t="s">
        <v>272</v>
      </c>
      <c r="AF1102" s="178">
        <f>AF1100/AF1098</f>
        <v>0.57326155193739825</v>
      </c>
    </row>
    <row r="1104" spans="23:33" ht="20.100000000000001" customHeight="1" x14ac:dyDescent="0.25">
      <c r="AE1104" s="147" t="s">
        <v>273</v>
      </c>
      <c r="AF1104" s="178">
        <f>AF1100/(((AF1096)*(1-F313))^(1/2))</f>
        <v>0.62796665630268333</v>
      </c>
    </row>
    <row r="1107" spans="23:33" ht="20.100000000000001" customHeight="1" x14ac:dyDescent="0.25">
      <c r="AA1107" s="147" t="s">
        <v>228</v>
      </c>
      <c r="AB1107" s="147" t="s">
        <v>227</v>
      </c>
      <c r="AC1107" s="147" t="s">
        <v>261</v>
      </c>
      <c r="AE1107" s="147" t="s">
        <v>262</v>
      </c>
      <c r="AF1107" s="147" t="s">
        <v>263</v>
      </c>
      <c r="AG1107" s="147" t="s">
        <v>264</v>
      </c>
    </row>
    <row r="1108" spans="23:33" ht="20.100000000000001" customHeight="1" x14ac:dyDescent="0.25">
      <c r="W1108" s="177">
        <v>1</v>
      </c>
      <c r="X1108" s="177">
        <v>1</v>
      </c>
      <c r="Y1108" s="147">
        <f t="shared" ref="Y1108:Y1117" si="174">C11</f>
        <v>223.3</v>
      </c>
      <c r="Z1108" s="147">
        <f t="shared" ref="Z1108:Z1117" si="175">D11</f>
        <v>150</v>
      </c>
      <c r="AA1108" s="147">
        <f t="shared" ref="AA1108:AA1117" si="176">H11</f>
        <v>378000</v>
      </c>
      <c r="AB1108" s="147" cm="1">
        <f t="array" ref="AB1108:AB1118">MMULT(X1108:Z1118,MMULT((MINVERSE(MMULT(TRANSPOSE(X1108:Z1118),X1108:Z1118))),MMULT(TRANSPOSE(X1108:Z1118),AA1108:AA1118)))</f>
        <v>391940.49156109523</v>
      </c>
      <c r="AC1108" s="147">
        <f>AVERAGE(AA1108:AA1118)</f>
        <v>437727.27272727271</v>
      </c>
      <c r="AE1108" s="147">
        <f>AB1108-AC1108</f>
        <v>-45786.781166177476</v>
      </c>
      <c r="AF1108" s="147">
        <f t="shared" ref="AF1108:AF1118" si="177">AA1108-AB1108</f>
        <v>-13940.49156109523</v>
      </c>
      <c r="AG1108" s="147">
        <f>AA1108-AC1108</f>
        <v>-59727.272727272706</v>
      </c>
    </row>
    <row r="1109" spans="23:33" ht="20.100000000000001" customHeight="1" x14ac:dyDescent="0.25">
      <c r="W1109" s="177">
        <v>2</v>
      </c>
      <c r="X1109" s="177">
        <v>1</v>
      </c>
      <c r="Y1109" s="147">
        <f t="shared" si="174"/>
        <v>223.3</v>
      </c>
      <c r="Z1109" s="147">
        <f t="shared" si="175"/>
        <v>150</v>
      </c>
      <c r="AA1109" s="147">
        <f t="shared" si="176"/>
        <v>378000</v>
      </c>
      <c r="AB1109" s="147">
        <v>391940.49156109523</v>
      </c>
      <c r="AC1109" s="147">
        <f>AC1108</f>
        <v>437727.27272727271</v>
      </c>
      <c r="AE1109" s="147">
        <f t="shared" ref="AE1109:AE1118" si="178">AB1109-AC1109</f>
        <v>-45786.781166177476</v>
      </c>
      <c r="AF1109" s="147">
        <f t="shared" si="177"/>
        <v>-13940.49156109523</v>
      </c>
      <c r="AG1109" s="147">
        <f t="shared" ref="AG1109:AG1118" si="179">AA1109-AC1109</f>
        <v>-59727.272727272706</v>
      </c>
    </row>
    <row r="1110" spans="23:33" ht="20.100000000000001" customHeight="1" x14ac:dyDescent="0.25">
      <c r="W1110" s="177">
        <v>3</v>
      </c>
      <c r="X1110" s="177">
        <v>1</v>
      </c>
      <c r="Y1110" s="147">
        <f t="shared" si="174"/>
        <v>223.3</v>
      </c>
      <c r="Z1110" s="147">
        <f t="shared" si="175"/>
        <v>100</v>
      </c>
      <c r="AA1110" s="147">
        <f t="shared" si="176"/>
        <v>378000</v>
      </c>
      <c r="AB1110" s="147">
        <v>382899.79474788939</v>
      </c>
      <c r="AC1110" s="147">
        <f t="shared" ref="AC1110:AC1117" si="180">AC1109</f>
        <v>437727.27272727271</v>
      </c>
      <c r="AE1110" s="147">
        <f t="shared" si="178"/>
        <v>-54827.477979383315</v>
      </c>
      <c r="AF1110" s="147">
        <f t="shared" si="177"/>
        <v>-4899.7947478893911</v>
      </c>
      <c r="AG1110" s="147">
        <f t="shared" si="179"/>
        <v>-59727.272727272706</v>
      </c>
    </row>
    <row r="1111" spans="23:33" ht="20.100000000000001" customHeight="1" x14ac:dyDescent="0.25">
      <c r="W1111" s="177">
        <v>4</v>
      </c>
      <c r="X1111" s="177">
        <v>1</v>
      </c>
      <c r="Y1111" s="147">
        <f t="shared" si="174"/>
        <v>236.25</v>
      </c>
      <c r="Z1111" s="147">
        <f t="shared" si="175"/>
        <v>250</v>
      </c>
      <c r="AA1111" s="147">
        <f t="shared" si="176"/>
        <v>423000</v>
      </c>
      <c r="AB1111" s="147">
        <v>424454.63366456988</v>
      </c>
      <c r="AC1111" s="147">
        <f t="shared" si="180"/>
        <v>437727.27272727271</v>
      </c>
      <c r="AE1111" s="147">
        <f t="shared" si="178"/>
        <v>-13272.63906270283</v>
      </c>
      <c r="AF1111" s="147">
        <f t="shared" si="177"/>
        <v>-1454.6336645698757</v>
      </c>
      <c r="AG1111" s="147">
        <f t="shared" si="179"/>
        <v>-14727.272727272706</v>
      </c>
    </row>
    <row r="1112" spans="23:33" ht="20.100000000000001" customHeight="1" x14ac:dyDescent="0.25">
      <c r="W1112" s="177">
        <v>5</v>
      </c>
      <c r="X1112" s="177">
        <v>1</v>
      </c>
      <c r="Y1112" s="147">
        <f t="shared" si="174"/>
        <v>236.25</v>
      </c>
      <c r="Z1112" s="147">
        <f t="shared" si="175"/>
        <v>150</v>
      </c>
      <c r="AA1112" s="147">
        <f t="shared" si="176"/>
        <v>423000</v>
      </c>
      <c r="AB1112" s="147">
        <v>406373.24003815831</v>
      </c>
      <c r="AC1112" s="147">
        <f t="shared" si="180"/>
        <v>437727.27272727271</v>
      </c>
      <c r="AE1112" s="147">
        <f t="shared" si="178"/>
        <v>-31354.032689114392</v>
      </c>
      <c r="AF1112" s="147">
        <f t="shared" si="177"/>
        <v>16626.759961841686</v>
      </c>
      <c r="AG1112" s="147">
        <f t="shared" si="179"/>
        <v>-14727.272727272706</v>
      </c>
    </row>
    <row r="1113" spans="23:33" ht="20.100000000000001" customHeight="1" x14ac:dyDescent="0.25">
      <c r="W1113" s="177">
        <v>6</v>
      </c>
      <c r="X1113" s="177">
        <v>1</v>
      </c>
      <c r="Y1113" s="147">
        <f t="shared" si="174"/>
        <v>236.25</v>
      </c>
      <c r="Z1113" s="147">
        <f t="shared" si="175"/>
        <v>150</v>
      </c>
      <c r="AA1113" s="147">
        <f t="shared" si="176"/>
        <v>423000</v>
      </c>
      <c r="AB1113" s="147">
        <v>406373.24003815831</v>
      </c>
      <c r="AC1113" s="147">
        <f t="shared" si="180"/>
        <v>437727.27272727271</v>
      </c>
      <c r="AE1113" s="147">
        <f t="shared" si="178"/>
        <v>-31354.032689114392</v>
      </c>
      <c r="AF1113" s="147">
        <f t="shared" si="177"/>
        <v>16626.759961841686</v>
      </c>
      <c r="AG1113" s="147">
        <f t="shared" si="179"/>
        <v>-14727.272727272706</v>
      </c>
    </row>
    <row r="1114" spans="23:33" ht="20.100000000000001" customHeight="1" x14ac:dyDescent="0.25">
      <c r="W1114" s="177">
        <v>7</v>
      </c>
      <c r="X1114" s="177">
        <v>1</v>
      </c>
      <c r="Y1114" s="147">
        <f t="shared" si="174"/>
        <v>303.85000000000002</v>
      </c>
      <c r="Z1114" s="147">
        <f t="shared" si="175"/>
        <v>250</v>
      </c>
      <c r="AA1114" s="147">
        <f t="shared" si="176"/>
        <v>477000</v>
      </c>
      <c r="AB1114" s="147">
        <v>499794.6952127908</v>
      </c>
      <c r="AC1114" s="147">
        <f t="shared" si="180"/>
        <v>437727.27272727271</v>
      </c>
      <c r="AE1114" s="147">
        <f t="shared" si="178"/>
        <v>62067.422485518095</v>
      </c>
      <c r="AF1114" s="147">
        <f t="shared" si="177"/>
        <v>-22794.695212790801</v>
      </c>
      <c r="AG1114" s="147">
        <f t="shared" si="179"/>
        <v>39272.727272727294</v>
      </c>
    </row>
    <row r="1115" spans="23:33" ht="20.100000000000001" customHeight="1" x14ac:dyDescent="0.25">
      <c r="W1115" s="177">
        <v>8</v>
      </c>
      <c r="X1115" s="177">
        <v>1</v>
      </c>
      <c r="Y1115" s="147">
        <f t="shared" si="174"/>
        <v>303.85000000000002</v>
      </c>
      <c r="Z1115" s="147">
        <f t="shared" si="175"/>
        <v>150</v>
      </c>
      <c r="AA1115" s="147">
        <f t="shared" si="176"/>
        <v>477000</v>
      </c>
      <c r="AB1115" s="147">
        <v>481713.30158637924</v>
      </c>
      <c r="AC1115" s="147">
        <f t="shared" si="180"/>
        <v>437727.27272727271</v>
      </c>
      <c r="AE1115" s="147">
        <f t="shared" si="178"/>
        <v>43986.028859106533</v>
      </c>
      <c r="AF1115" s="147">
        <f t="shared" si="177"/>
        <v>-4713.3015863792389</v>
      </c>
      <c r="AG1115" s="147">
        <f t="shared" si="179"/>
        <v>39272.727272727294</v>
      </c>
    </row>
    <row r="1116" spans="23:33" ht="20.100000000000001" customHeight="1" x14ac:dyDescent="0.25">
      <c r="W1116" s="177">
        <v>9</v>
      </c>
      <c r="X1116" s="177">
        <v>1</v>
      </c>
      <c r="Y1116" s="147">
        <f t="shared" si="174"/>
        <v>284.5</v>
      </c>
      <c r="Z1116" s="147">
        <f t="shared" si="175"/>
        <v>250</v>
      </c>
      <c r="AA1116" s="147">
        <f t="shared" si="176"/>
        <v>486000</v>
      </c>
      <c r="AB1116" s="147">
        <v>478229.15984358848</v>
      </c>
      <c r="AC1116" s="147">
        <f t="shared" si="180"/>
        <v>437727.27272727271</v>
      </c>
      <c r="AE1116" s="147">
        <f t="shared" si="178"/>
        <v>40501.887116315775</v>
      </c>
      <c r="AF1116" s="147">
        <f t="shared" si="177"/>
        <v>7770.8401564115193</v>
      </c>
      <c r="AG1116" s="147">
        <f t="shared" si="179"/>
        <v>48272.727272727294</v>
      </c>
    </row>
    <row r="1117" spans="23:33" ht="20.100000000000001" customHeight="1" x14ac:dyDescent="0.25">
      <c r="W1117" s="177">
        <v>10</v>
      </c>
      <c r="X1117" s="177">
        <v>1</v>
      </c>
      <c r="Y1117" s="147">
        <f t="shared" si="174"/>
        <v>290.39999999999998</v>
      </c>
      <c r="Z1117" s="147">
        <f t="shared" si="175"/>
        <v>200</v>
      </c>
      <c r="AA1117" s="147">
        <f t="shared" si="176"/>
        <v>486000</v>
      </c>
      <c r="AB1117" s="147">
        <v>475764.00094657356</v>
      </c>
      <c r="AC1117" s="147">
        <f t="shared" si="180"/>
        <v>437727.27272727271</v>
      </c>
      <c r="AE1117" s="147">
        <f t="shared" si="178"/>
        <v>38036.728219300858</v>
      </c>
      <c r="AF1117" s="147">
        <f t="shared" si="177"/>
        <v>10235.999053426436</v>
      </c>
      <c r="AG1117" s="147">
        <f t="shared" si="179"/>
        <v>48272.727272727294</v>
      </c>
    </row>
    <row r="1118" spans="23:33" ht="20.100000000000001" customHeight="1" x14ac:dyDescent="0.25">
      <c r="W1118" s="177">
        <v>12</v>
      </c>
      <c r="X1118" s="177">
        <v>1</v>
      </c>
      <c r="Y1118" s="147">
        <f>C22</f>
        <v>284.5</v>
      </c>
      <c r="Z1118" s="147">
        <f>D22</f>
        <v>235</v>
      </c>
      <c r="AA1118" s="147">
        <f>H22</f>
        <v>486000</v>
      </c>
      <c r="AB1118" s="147">
        <v>475516.95079962676</v>
      </c>
      <c r="AC1118" s="147">
        <f>AC1117</f>
        <v>437727.27272727271</v>
      </c>
      <c r="AE1118" s="147">
        <f t="shared" si="178"/>
        <v>37789.678072354058</v>
      </c>
      <c r="AF1118" s="147">
        <f t="shared" si="177"/>
        <v>10483.049200373236</v>
      </c>
      <c r="AG1118" s="147">
        <f t="shared" si="179"/>
        <v>48272.727272727294</v>
      </c>
    </row>
    <row r="1120" spans="23:33" ht="20.100000000000001" customHeight="1" x14ac:dyDescent="0.25">
      <c r="AE1120" s="147">
        <f>SUMSQ(AE1108:AE1118)</f>
        <v>19643615671.341358</v>
      </c>
      <c r="AF1120" s="147">
        <f>SUMSQ(AF1108:AF1118)</f>
        <v>1784566146.8407664</v>
      </c>
      <c r="AG1120" s="147">
        <f>SUMSQ(AG1108:AG1118)</f>
        <v>21428181818.18182</v>
      </c>
    </row>
    <row r="1121" spans="23:33" ht="20.100000000000001" customHeight="1" x14ac:dyDescent="0.25">
      <c r="AB1121" s="147" t="s">
        <v>265</v>
      </c>
      <c r="AC1121" s="177">
        <f>COUNT(W1108:W1118)</f>
        <v>11</v>
      </c>
    </row>
    <row r="1122" spans="23:33" ht="20.100000000000001" customHeight="1" x14ac:dyDescent="0.25">
      <c r="AB1122" s="147" t="s">
        <v>266</v>
      </c>
      <c r="AC1122" s="177">
        <v>2</v>
      </c>
      <c r="AE1122" s="147" t="s">
        <v>269</v>
      </c>
      <c r="AF1122" s="147">
        <f>AF1120/AC1124</f>
        <v>223070768.3550958</v>
      </c>
    </row>
    <row r="1123" spans="23:33" ht="20.100000000000001" customHeight="1" x14ac:dyDescent="0.25">
      <c r="AB1123" s="147" t="s">
        <v>267</v>
      </c>
      <c r="AC1123" s="177">
        <f>AC1122+1</f>
        <v>3</v>
      </c>
    </row>
    <row r="1124" spans="23:33" ht="20.100000000000001" customHeight="1" x14ac:dyDescent="0.25">
      <c r="AB1124" s="147" t="s">
        <v>268</v>
      </c>
      <c r="AC1124" s="177">
        <f>AC1121-AC1123</f>
        <v>8</v>
      </c>
      <c r="AE1124" s="147" t="s">
        <v>270</v>
      </c>
      <c r="AF1124" s="147">
        <f>(AF1120/AC1124)^(1/2)</f>
        <v>14935.553834896642</v>
      </c>
    </row>
    <row r="1125" spans="23:33" ht="20.100000000000001" customHeight="1" x14ac:dyDescent="0.25">
      <c r="AC1125" s="177"/>
    </row>
    <row r="1126" spans="23:33" ht="20.100000000000001" customHeight="1" x14ac:dyDescent="0.25">
      <c r="AE1126" s="147" t="s">
        <v>271</v>
      </c>
      <c r="AF1126" s="147">
        <f>AF832</f>
        <v>10570.685524669825</v>
      </c>
    </row>
    <row r="1128" spans="23:33" ht="20.100000000000001" customHeight="1" x14ac:dyDescent="0.25">
      <c r="AE1128" s="147" t="s">
        <v>272</v>
      </c>
      <c r="AF1128" s="178">
        <f>AF1126/AF1124</f>
        <v>0.70775316680735445</v>
      </c>
    </row>
    <row r="1130" spans="23:33" ht="20.100000000000001" customHeight="1" x14ac:dyDescent="0.25">
      <c r="AE1130" s="147" t="s">
        <v>273</v>
      </c>
      <c r="AF1130" s="178">
        <f>AF1126/(((AF1122)*(1-F314))^(1/2))</f>
        <v>0.76318036000049649</v>
      </c>
    </row>
    <row r="1133" spans="23:33" ht="20.100000000000001" customHeight="1" x14ac:dyDescent="0.25">
      <c r="AA1133" s="147" t="s">
        <v>228</v>
      </c>
      <c r="AB1133" s="147" t="s">
        <v>227</v>
      </c>
      <c r="AC1133" s="147" t="s">
        <v>261</v>
      </c>
      <c r="AE1133" s="147" t="s">
        <v>262</v>
      </c>
      <c r="AF1133" s="147" t="s">
        <v>263</v>
      </c>
      <c r="AG1133" s="147" t="s">
        <v>264</v>
      </c>
    </row>
    <row r="1134" spans="23:33" ht="20.100000000000001" customHeight="1" x14ac:dyDescent="0.25">
      <c r="W1134" s="177">
        <v>1</v>
      </c>
      <c r="X1134" s="177">
        <v>1</v>
      </c>
      <c r="Y1134" s="147">
        <f t="shared" ref="Y1134:Y1144" si="181">C11</f>
        <v>223.3</v>
      </c>
      <c r="Z1134" s="147">
        <f t="shared" ref="Z1134:Z1144" si="182">D11</f>
        <v>150</v>
      </c>
      <c r="AA1134" s="147">
        <f t="shared" ref="AA1134:AA1144" si="183">H11</f>
        <v>378000</v>
      </c>
      <c r="AB1134" s="147" cm="1">
        <f t="array" ref="AB1134:AB1144">MMULT(X1134:Z1144,MMULT((MINVERSE(MMULT(TRANSPOSE(X1134:Z1144),X1134:Z1144))),MMULT(TRANSPOSE(X1134:Z1144),AA1134:AA1144)))</f>
        <v>391976.17328793887</v>
      </c>
      <c r="AC1134" s="147">
        <f>AVERAGE(AA1134:AA1144)</f>
        <v>437727.27272727271</v>
      </c>
      <c r="AE1134" s="147">
        <f>AB1134-AC1134</f>
        <v>-45751.099439333833</v>
      </c>
      <c r="AF1134" s="147">
        <f t="shared" ref="AF1134:AF1144" si="184">AA1134-AB1134</f>
        <v>-13976.173287938873</v>
      </c>
      <c r="AG1134" s="147">
        <f>AA1134-AC1134</f>
        <v>-59727.272727272706</v>
      </c>
    </row>
    <row r="1135" spans="23:33" ht="20.100000000000001" customHeight="1" x14ac:dyDescent="0.25">
      <c r="W1135" s="177">
        <v>2</v>
      </c>
      <c r="X1135" s="177">
        <v>1</v>
      </c>
      <c r="Y1135" s="147">
        <f t="shared" si="181"/>
        <v>223.3</v>
      </c>
      <c r="Z1135" s="147">
        <f t="shared" si="182"/>
        <v>150</v>
      </c>
      <c r="AA1135" s="147">
        <f t="shared" si="183"/>
        <v>378000</v>
      </c>
      <c r="AB1135" s="147">
        <v>391976.17328793887</v>
      </c>
      <c r="AC1135" s="147">
        <f>AC1134</f>
        <v>437727.27272727271</v>
      </c>
      <c r="AE1135" s="147">
        <f t="shared" ref="AE1135:AE1144" si="185">AB1135-AC1135</f>
        <v>-45751.099439333833</v>
      </c>
      <c r="AF1135" s="147">
        <f t="shared" si="184"/>
        <v>-13976.173287938873</v>
      </c>
      <c r="AG1135" s="147">
        <f t="shared" ref="AG1135:AG1144" si="186">AA1135-AC1135</f>
        <v>-59727.272727272706</v>
      </c>
    </row>
    <row r="1136" spans="23:33" ht="20.100000000000001" customHeight="1" x14ac:dyDescent="0.25">
      <c r="W1136" s="177">
        <v>3</v>
      </c>
      <c r="X1136" s="177">
        <v>1</v>
      </c>
      <c r="Y1136" s="147">
        <f t="shared" si="181"/>
        <v>223.3</v>
      </c>
      <c r="Z1136" s="147">
        <f t="shared" si="182"/>
        <v>100</v>
      </c>
      <c r="AA1136" s="147">
        <f t="shared" si="183"/>
        <v>378000</v>
      </c>
      <c r="AB1136" s="147">
        <v>383122.75013061578</v>
      </c>
      <c r="AC1136" s="147">
        <f t="shared" ref="AC1136:AC1144" si="187">AC1135</f>
        <v>437727.27272727271</v>
      </c>
      <c r="AE1136" s="147">
        <f t="shared" si="185"/>
        <v>-54604.522596656927</v>
      </c>
      <c r="AF1136" s="147">
        <f t="shared" si="184"/>
        <v>-5122.7501306157792</v>
      </c>
      <c r="AG1136" s="147">
        <f t="shared" si="186"/>
        <v>-59727.272727272706</v>
      </c>
    </row>
    <row r="1137" spans="23:33" ht="20.100000000000001" customHeight="1" x14ac:dyDescent="0.25">
      <c r="W1137" s="177">
        <v>4</v>
      </c>
      <c r="X1137" s="177">
        <v>1</v>
      </c>
      <c r="Y1137" s="147">
        <f t="shared" si="181"/>
        <v>236.25</v>
      </c>
      <c r="Z1137" s="147">
        <f t="shared" si="182"/>
        <v>250</v>
      </c>
      <c r="AA1137" s="147">
        <f t="shared" si="183"/>
        <v>423000</v>
      </c>
      <c r="AB1137" s="147">
        <v>424209.54519246268</v>
      </c>
      <c r="AC1137" s="147">
        <f t="shared" si="187"/>
        <v>437727.27272727271</v>
      </c>
      <c r="AE1137" s="147">
        <f t="shared" si="185"/>
        <v>-13517.727534810023</v>
      </c>
      <c r="AF1137" s="147">
        <f t="shared" si="184"/>
        <v>-1209.5451924626832</v>
      </c>
      <c r="AG1137" s="147">
        <f t="shared" si="186"/>
        <v>-14727.272727272706</v>
      </c>
    </row>
    <row r="1138" spans="23:33" ht="20.100000000000001" customHeight="1" x14ac:dyDescent="0.25">
      <c r="W1138" s="177">
        <v>5</v>
      </c>
      <c r="X1138" s="177">
        <v>1</v>
      </c>
      <c r="Y1138" s="147">
        <f t="shared" si="181"/>
        <v>236.25</v>
      </c>
      <c r="Z1138" s="147">
        <f t="shared" si="182"/>
        <v>150</v>
      </c>
      <c r="AA1138" s="147">
        <f t="shared" si="183"/>
        <v>423000</v>
      </c>
      <c r="AB1138" s="147">
        <v>406502.69887781661</v>
      </c>
      <c r="AC1138" s="147">
        <f t="shared" si="187"/>
        <v>437727.27272727271</v>
      </c>
      <c r="AE1138" s="147">
        <f t="shared" si="185"/>
        <v>-31224.573849456094</v>
      </c>
      <c r="AF1138" s="147">
        <f t="shared" si="184"/>
        <v>16497.301122183388</v>
      </c>
      <c r="AG1138" s="147">
        <f t="shared" si="186"/>
        <v>-14727.272727272706</v>
      </c>
    </row>
    <row r="1139" spans="23:33" ht="20.100000000000001" customHeight="1" x14ac:dyDescent="0.25">
      <c r="W1139" s="177">
        <v>6</v>
      </c>
      <c r="X1139" s="177">
        <v>1</v>
      </c>
      <c r="Y1139" s="147">
        <f t="shared" si="181"/>
        <v>236.25</v>
      </c>
      <c r="Z1139" s="147">
        <f t="shared" si="182"/>
        <v>150</v>
      </c>
      <c r="AA1139" s="147">
        <f t="shared" si="183"/>
        <v>423000</v>
      </c>
      <c r="AB1139" s="147">
        <v>406502.69887781661</v>
      </c>
      <c r="AC1139" s="147">
        <f t="shared" si="187"/>
        <v>437727.27272727271</v>
      </c>
      <c r="AE1139" s="147">
        <f t="shared" si="185"/>
        <v>-31224.573849456094</v>
      </c>
      <c r="AF1139" s="147">
        <f t="shared" si="184"/>
        <v>16497.301122183388</v>
      </c>
      <c r="AG1139" s="147">
        <f t="shared" si="186"/>
        <v>-14727.272727272706</v>
      </c>
    </row>
    <row r="1140" spans="23:33" ht="20.100000000000001" customHeight="1" x14ac:dyDescent="0.25">
      <c r="W1140" s="177">
        <v>7</v>
      </c>
      <c r="X1140" s="177">
        <v>1</v>
      </c>
      <c r="Y1140" s="147">
        <f t="shared" si="181"/>
        <v>303.85000000000002</v>
      </c>
      <c r="Z1140" s="147">
        <f t="shared" si="182"/>
        <v>250</v>
      </c>
      <c r="AA1140" s="147">
        <f t="shared" si="183"/>
        <v>477000</v>
      </c>
      <c r="AB1140" s="147">
        <v>500039.13051105262</v>
      </c>
      <c r="AC1140" s="147">
        <f t="shared" si="187"/>
        <v>437727.27272727271</v>
      </c>
      <c r="AE1140" s="147">
        <f t="shared" si="185"/>
        <v>62311.857783779909</v>
      </c>
      <c r="AF1140" s="147">
        <f t="shared" si="184"/>
        <v>-23039.130511052615</v>
      </c>
      <c r="AG1140" s="147">
        <f t="shared" si="186"/>
        <v>39272.727272727294</v>
      </c>
    </row>
    <row r="1141" spans="23:33" ht="20.100000000000001" customHeight="1" x14ac:dyDescent="0.25">
      <c r="W1141" s="177">
        <v>8</v>
      </c>
      <c r="X1141" s="177">
        <v>1</v>
      </c>
      <c r="Y1141" s="147">
        <f t="shared" si="181"/>
        <v>303.85000000000002</v>
      </c>
      <c r="Z1141" s="147">
        <f t="shared" si="182"/>
        <v>150</v>
      </c>
      <c r="AA1141" s="147">
        <f t="shared" si="183"/>
        <v>477000</v>
      </c>
      <c r="AB1141" s="147">
        <v>482332.28419640654</v>
      </c>
      <c r="AC1141" s="147">
        <f t="shared" si="187"/>
        <v>437727.27272727271</v>
      </c>
      <c r="AE1141" s="147">
        <f t="shared" si="185"/>
        <v>44605.011469133839</v>
      </c>
      <c r="AF1141" s="147">
        <f t="shared" si="184"/>
        <v>-5332.2841964065447</v>
      </c>
      <c r="AG1141" s="147">
        <f t="shared" si="186"/>
        <v>39272.727272727294</v>
      </c>
    </row>
    <row r="1142" spans="23:33" ht="20.100000000000001" customHeight="1" x14ac:dyDescent="0.25">
      <c r="W1142" s="177">
        <v>9</v>
      </c>
      <c r="X1142" s="177">
        <v>1</v>
      </c>
      <c r="Y1142" s="147">
        <f t="shared" si="181"/>
        <v>284.5</v>
      </c>
      <c r="Z1142" s="147">
        <f t="shared" si="182"/>
        <v>250</v>
      </c>
      <c r="AA1142" s="147">
        <f t="shared" si="183"/>
        <v>486000</v>
      </c>
      <c r="AB1142" s="147">
        <v>478333.47258332011</v>
      </c>
      <c r="AC1142" s="147">
        <f t="shared" si="187"/>
        <v>437727.27272727271</v>
      </c>
      <c r="AE1142" s="147">
        <f t="shared" si="185"/>
        <v>40606.199856047402</v>
      </c>
      <c r="AF1142" s="147">
        <f t="shared" si="184"/>
        <v>7666.5274166798918</v>
      </c>
      <c r="AG1142" s="147">
        <f t="shared" si="186"/>
        <v>48272.727272727294</v>
      </c>
    </row>
    <row r="1143" spans="23:33" ht="20.100000000000001" customHeight="1" x14ac:dyDescent="0.25">
      <c r="W1143" s="177">
        <v>10</v>
      </c>
      <c r="X1143" s="177">
        <v>1</v>
      </c>
      <c r="Y1143" s="147">
        <f t="shared" si="181"/>
        <v>290.39999999999998</v>
      </c>
      <c r="Z1143" s="147">
        <f t="shared" si="182"/>
        <v>200</v>
      </c>
      <c r="AA1143" s="147">
        <f t="shared" si="183"/>
        <v>486000</v>
      </c>
      <c r="AB1143" s="147">
        <v>476098.31204995682</v>
      </c>
      <c r="AC1143" s="147">
        <f t="shared" si="187"/>
        <v>437727.27272727271</v>
      </c>
      <c r="AE1143" s="147">
        <f t="shared" si="185"/>
        <v>38371.039322684112</v>
      </c>
      <c r="AF1143" s="147">
        <f t="shared" si="184"/>
        <v>9901.6879500431824</v>
      </c>
      <c r="AG1143" s="147">
        <f t="shared" si="186"/>
        <v>48272.727272727294</v>
      </c>
    </row>
    <row r="1144" spans="23:33" ht="20.100000000000001" customHeight="1" x14ac:dyDescent="0.25">
      <c r="W1144" s="177">
        <v>11</v>
      </c>
      <c r="X1144" s="177">
        <v>1</v>
      </c>
      <c r="Y1144" s="147">
        <f t="shared" si="181"/>
        <v>284.5</v>
      </c>
      <c r="Z1144" s="147">
        <f t="shared" si="182"/>
        <v>225</v>
      </c>
      <c r="AA1144" s="147">
        <f t="shared" si="183"/>
        <v>486000</v>
      </c>
      <c r="AB1144" s="147">
        <v>473906.76100465859</v>
      </c>
      <c r="AC1144" s="147">
        <f t="shared" si="187"/>
        <v>437727.27272727271</v>
      </c>
      <c r="AE1144" s="147">
        <f t="shared" si="185"/>
        <v>36179.488277385884</v>
      </c>
      <c r="AF1144" s="147">
        <f t="shared" si="184"/>
        <v>12093.238995341409</v>
      </c>
      <c r="AG1144" s="147">
        <f t="shared" si="186"/>
        <v>48272.727272727294</v>
      </c>
    </row>
    <row r="1146" spans="23:33" ht="20.100000000000001" customHeight="1" x14ac:dyDescent="0.25">
      <c r="AE1146" s="147">
        <f>SUMSQ(AE1134:AE1144)</f>
        <v>19603187235.78339</v>
      </c>
      <c r="AF1146" s="147">
        <f>SUMSQ(AF1134:AF1144)</f>
        <v>1824994582.4000556</v>
      </c>
      <c r="AG1146" s="147">
        <f>SUMSQ(AG1134:AG1144)</f>
        <v>21428181818.18182</v>
      </c>
    </row>
    <row r="1147" spans="23:33" ht="20.100000000000001" customHeight="1" x14ac:dyDescent="0.25">
      <c r="AB1147" s="147" t="s">
        <v>265</v>
      </c>
      <c r="AC1147" s="177">
        <f>COUNT(W1134:W1144)</f>
        <v>11</v>
      </c>
    </row>
    <row r="1148" spans="23:33" ht="20.100000000000001" customHeight="1" x14ac:dyDescent="0.25">
      <c r="AB1148" s="147" t="s">
        <v>266</v>
      </c>
      <c r="AC1148" s="177">
        <v>2</v>
      </c>
      <c r="AE1148" s="147" t="s">
        <v>269</v>
      </c>
      <c r="AF1148" s="147">
        <f>AF1146/AC1150</f>
        <v>228124322.80000696</v>
      </c>
    </row>
    <row r="1149" spans="23:33" ht="20.100000000000001" customHeight="1" x14ac:dyDescent="0.25">
      <c r="AB1149" s="147" t="s">
        <v>267</v>
      </c>
      <c r="AC1149" s="177">
        <f>AC1148+1</f>
        <v>3</v>
      </c>
    </row>
    <row r="1150" spans="23:33" ht="20.100000000000001" customHeight="1" x14ac:dyDescent="0.25">
      <c r="AB1150" s="147" t="s">
        <v>268</v>
      </c>
      <c r="AC1150" s="177">
        <f>AC1147-AC1149</f>
        <v>8</v>
      </c>
      <c r="AE1150" s="147" t="s">
        <v>270</v>
      </c>
      <c r="AF1150" s="147">
        <f>(AF1146/AC1150)^(1/2)</f>
        <v>15103.785048788497</v>
      </c>
    </row>
    <row r="1151" spans="23:33" ht="20.100000000000001" customHeight="1" x14ac:dyDescent="0.25">
      <c r="AC1151" s="177"/>
    </row>
    <row r="1152" spans="23:33" ht="20.100000000000001" customHeight="1" x14ac:dyDescent="0.25">
      <c r="AE1152" s="147" t="s">
        <v>271</v>
      </c>
      <c r="AF1152" s="147">
        <f>AF833</f>
        <v>8670.1266285302117</v>
      </c>
    </row>
    <row r="1154" spans="31:32" ht="20.100000000000001" customHeight="1" x14ac:dyDescent="0.25">
      <c r="AE1154" s="147" t="s">
        <v>272</v>
      </c>
      <c r="AF1154" s="178">
        <f>AF1152/AF1150</f>
        <v>0.57403668024431131</v>
      </c>
    </row>
    <row r="1156" spans="31:32" ht="20.100000000000001" customHeight="1" x14ac:dyDescent="0.25">
      <c r="AE1156" s="147" t="s">
        <v>273</v>
      </c>
      <c r="AF1156" s="178">
        <f>AF1152/(((AF1148)*(1-F315))^(1/2))</f>
        <v>0.62635494911077461</v>
      </c>
    </row>
  </sheetData>
  <autoFilter ref="B10:H22" xr:uid="{18CA3339-6272-475F-A9BE-AC367CACDF3B}">
    <sortState xmlns:xlrd2="http://schemas.microsoft.com/office/spreadsheetml/2017/richdata2" ref="B11:H22">
      <sortCondition ref="H10:H22"/>
    </sortState>
  </autoFilter>
  <mergeCells count="204">
    <mergeCell ref="A271:H275"/>
    <mergeCell ref="A168:F168"/>
    <mergeCell ref="D161:E161"/>
    <mergeCell ref="A264:H264"/>
    <mergeCell ref="A193:H193"/>
    <mergeCell ref="A170:H170"/>
    <mergeCell ref="A415:H415"/>
    <mergeCell ref="A420:H420"/>
    <mergeCell ref="A421:H421"/>
    <mergeCell ref="A269:F269"/>
    <mergeCell ref="D302:D303"/>
    <mergeCell ref="E302:E303"/>
    <mergeCell ref="F302:F303"/>
    <mergeCell ref="A300:H300"/>
    <mergeCell ref="D162:E162"/>
    <mergeCell ref="D177:E177"/>
    <mergeCell ref="D195:E195"/>
    <mergeCell ref="B302:B303"/>
    <mergeCell ref="A361:H364"/>
    <mergeCell ref="H302:H303"/>
    <mergeCell ref="A337:H337"/>
    <mergeCell ref="D178:E178"/>
    <mergeCell ref="D160:E160"/>
    <mergeCell ref="F121:F122"/>
    <mergeCell ref="C145:C148"/>
    <mergeCell ref="C131:C140"/>
    <mergeCell ref="D126:D130"/>
    <mergeCell ref="A151:F151"/>
    <mergeCell ref="D159:E159"/>
    <mergeCell ref="B126:B130"/>
    <mergeCell ref="C126:C130"/>
    <mergeCell ref="D156:E156"/>
    <mergeCell ref="A153:H153"/>
    <mergeCell ref="F141:F144"/>
    <mergeCell ref="D158:E158"/>
    <mergeCell ref="F126:F130"/>
    <mergeCell ref="D80:E80"/>
    <mergeCell ref="A57:H57"/>
    <mergeCell ref="A46:H46"/>
    <mergeCell ref="A65:H65"/>
    <mergeCell ref="D155:E155"/>
    <mergeCell ref="B121:B122"/>
    <mergeCell ref="C123:C125"/>
    <mergeCell ref="E131:E140"/>
    <mergeCell ref="M11:N11"/>
    <mergeCell ref="M20:N20"/>
    <mergeCell ref="M18:N18"/>
    <mergeCell ref="D119:F119"/>
    <mergeCell ref="D86:E86"/>
    <mergeCell ref="M34:M35"/>
    <mergeCell ref="N34:N35"/>
    <mergeCell ref="A53:H54"/>
    <mergeCell ref="B119:B120"/>
    <mergeCell ref="C119:C120"/>
    <mergeCell ref="N28:N29"/>
    <mergeCell ref="N30:N31"/>
    <mergeCell ref="N32:N33"/>
    <mergeCell ref="J34:L35"/>
    <mergeCell ref="A77:G77"/>
    <mergeCell ref="A90:G90"/>
    <mergeCell ref="J28:L29"/>
    <mergeCell ref="M28:M29"/>
    <mergeCell ref="J30:L31"/>
    <mergeCell ref="M30:M31"/>
    <mergeCell ref="A598:H598"/>
    <mergeCell ref="A242:C242"/>
    <mergeCell ref="A224:C224"/>
    <mergeCell ref="C589:E589"/>
    <mergeCell ref="C592:E592"/>
    <mergeCell ref="C587:E587"/>
    <mergeCell ref="C588:E588"/>
    <mergeCell ref="A585:F585"/>
    <mergeCell ref="E546:E547"/>
    <mergeCell ref="B566:C566"/>
    <mergeCell ref="C302:C303"/>
    <mergeCell ref="A267:F267"/>
    <mergeCell ref="A302:A303"/>
    <mergeCell ref="G302:G303"/>
    <mergeCell ref="A517:F517"/>
    <mergeCell ref="A509:F509"/>
    <mergeCell ref="D526:E526"/>
    <mergeCell ref="A560:H562"/>
    <mergeCell ref="A531:F531"/>
    <mergeCell ref="B538:C538"/>
    <mergeCell ref="B564:C564"/>
    <mergeCell ref="A260:C260"/>
    <mergeCell ref="D524:E524"/>
    <mergeCell ref="A478:H479"/>
    <mergeCell ref="D566:E566"/>
    <mergeCell ref="F566:G566"/>
    <mergeCell ref="A543:B544"/>
    <mergeCell ref="C543:E543"/>
    <mergeCell ref="A546:B547"/>
    <mergeCell ref="C546:C547"/>
    <mergeCell ref="D546:D547"/>
    <mergeCell ref="A340:H340"/>
    <mergeCell ref="A338:H338"/>
    <mergeCell ref="A339:H339"/>
    <mergeCell ref="A482:H482"/>
    <mergeCell ref="A484:H484"/>
    <mergeCell ref="A485:H485"/>
    <mergeCell ref="A486:H486"/>
    <mergeCell ref="A559:H559"/>
    <mergeCell ref="A343:A344"/>
    <mergeCell ref="B343:B344"/>
    <mergeCell ref="C343:C344"/>
    <mergeCell ref="A359:F359"/>
    <mergeCell ref="A424:F424"/>
    <mergeCell ref="I587:J587"/>
    <mergeCell ref="A602:H602"/>
    <mergeCell ref="A603:H603"/>
    <mergeCell ref="A604:H604"/>
    <mergeCell ref="A605:H605"/>
    <mergeCell ref="A606:H606"/>
    <mergeCell ref="A607:H607"/>
    <mergeCell ref="A597:H597"/>
    <mergeCell ref="A391:F391"/>
    <mergeCell ref="A599:H599"/>
    <mergeCell ref="A600:H600"/>
    <mergeCell ref="A601:H601"/>
    <mergeCell ref="D570:E570"/>
    <mergeCell ref="A393:H393"/>
    <mergeCell ref="A426:H429"/>
    <mergeCell ref="A414:H414"/>
    <mergeCell ref="D564:E564"/>
    <mergeCell ref="F565:G565"/>
    <mergeCell ref="A583:H583"/>
    <mergeCell ref="D528:E528"/>
    <mergeCell ref="F564:G564"/>
    <mergeCell ref="B565:C565"/>
    <mergeCell ref="D565:E565"/>
    <mergeCell ref="D568:E568"/>
    <mergeCell ref="A5:G5"/>
    <mergeCell ref="A7:G7"/>
    <mergeCell ref="A8:G8"/>
    <mergeCell ref="C9:E9"/>
    <mergeCell ref="B123:B125"/>
    <mergeCell ref="M22:N22"/>
    <mergeCell ref="M16:N16"/>
    <mergeCell ref="M17:N17"/>
    <mergeCell ref="M12:N12"/>
    <mergeCell ref="M14:N14"/>
    <mergeCell ref="M13:N13"/>
    <mergeCell ref="D123:D125"/>
    <mergeCell ref="B97:C97"/>
    <mergeCell ref="D79:E79"/>
    <mergeCell ref="J9:J10"/>
    <mergeCell ref="K9:K10"/>
    <mergeCell ref="L9:L10"/>
    <mergeCell ref="M9:N10"/>
    <mergeCell ref="J24:N24"/>
    <mergeCell ref="J25:L25"/>
    <mergeCell ref="J26:L27"/>
    <mergeCell ref="M26:M27"/>
    <mergeCell ref="N26:N27"/>
    <mergeCell ref="M21:N21"/>
    <mergeCell ref="M19:N19"/>
    <mergeCell ref="C141:C144"/>
    <mergeCell ref="D141:D144"/>
    <mergeCell ref="F131:F140"/>
    <mergeCell ref="E123:E125"/>
    <mergeCell ref="A119:A148"/>
    <mergeCell ref="B141:B144"/>
    <mergeCell ref="B145:B148"/>
    <mergeCell ref="C121:C122"/>
    <mergeCell ref="B103:H103"/>
    <mergeCell ref="A112:H112"/>
    <mergeCell ref="A114:H117"/>
    <mergeCell ref="E141:E144"/>
    <mergeCell ref="D121:D122"/>
    <mergeCell ref="D145:D148"/>
    <mergeCell ref="E145:E148"/>
    <mergeCell ref="F145:F148"/>
    <mergeCell ref="E121:E122"/>
    <mergeCell ref="D131:D140"/>
    <mergeCell ref="A106:H106"/>
    <mergeCell ref="A42:H43"/>
    <mergeCell ref="M32:M33"/>
    <mergeCell ref="F123:F125"/>
    <mergeCell ref="E126:E130"/>
    <mergeCell ref="D572:E572"/>
    <mergeCell ref="A297:H297"/>
    <mergeCell ref="A388:H388"/>
    <mergeCell ref="A541:H541"/>
    <mergeCell ref="O9:O10"/>
    <mergeCell ref="J8:Q8"/>
    <mergeCell ref="P11:Q11"/>
    <mergeCell ref="P12:Q12"/>
    <mergeCell ref="P13:Q13"/>
    <mergeCell ref="P14:Q14"/>
    <mergeCell ref="P15:Q15"/>
    <mergeCell ref="P16:Q16"/>
    <mergeCell ref="P17:Q17"/>
    <mergeCell ref="M15:N15"/>
    <mergeCell ref="P18:Q18"/>
    <mergeCell ref="P19:Q19"/>
    <mergeCell ref="P20:Q20"/>
    <mergeCell ref="P21:Q21"/>
    <mergeCell ref="P22:Q22"/>
    <mergeCell ref="D196:E196"/>
    <mergeCell ref="A208:H208"/>
    <mergeCell ref="A175:H175"/>
    <mergeCell ref="B131:B140"/>
    <mergeCell ref="J32:L33"/>
  </mergeCells>
  <conditionalFormatting sqref="A300:F300 G593:I593">
    <cfRule type="containsText" dxfId="13" priority="30" operator="containsText" text="Ponto atípico">
      <formula>NOT(ISERROR(SEARCH("Ponto atípico",A300)))</formula>
    </cfRule>
  </conditionalFormatting>
  <conditionalFormatting sqref="B417">
    <cfRule type="cellIs" dxfId="12" priority="3" operator="lessThan">
      <formula>0.1</formula>
    </cfRule>
  </conditionalFormatting>
  <conditionalFormatting sqref="C514:D514 D538:F538">
    <cfRule type="containsText" dxfId="11" priority="34" operator="containsText" text="Inadmissível">
      <formula>NOT(ISERROR(SEARCH("Inadmissível",C514)))</formula>
    </cfRule>
  </conditionalFormatting>
  <conditionalFormatting sqref="D173 D191">
    <cfRule type="cellIs" dxfId="10" priority="46" operator="greaterThan">
      <formula>0.3</formula>
    </cfRule>
  </conditionalFormatting>
  <conditionalFormatting sqref="E165">
    <cfRule type="containsText" dxfId="9" priority="8" operator="containsText" text="Não se pode rejeitar a hipótese nula">
      <formula>NOT(ISERROR(SEARCH("Não se pode rejeitar a hipótese nula",E165)))</formula>
    </cfRule>
  </conditionalFormatting>
  <conditionalFormatting sqref="F589">
    <cfRule type="cellIs" dxfId="8" priority="42" operator="greaterThan">
      <formula>0.01</formula>
    </cfRule>
  </conditionalFormatting>
  <conditionalFormatting sqref="I587:I588">
    <cfRule type="containsText" dxfId="7" priority="35" operator="containsText" text="Reduzir o número de casas decimais">
      <formula>NOT(ISERROR(SEARCH("Reduzir o número de casas decimais",I587)))</formula>
    </cfRule>
  </conditionalFormatting>
  <conditionalFormatting sqref="K11:K22">
    <cfRule type="cellIs" dxfId="6" priority="7" operator="notBetween">
      <formula>-2</formula>
      <formula>2</formula>
    </cfRule>
  </conditionalFormatting>
  <conditionalFormatting sqref="L11:L22">
    <cfRule type="cellIs" dxfId="5" priority="5" operator="greaterThan">
      <formula>1</formula>
    </cfRule>
  </conditionalFormatting>
  <conditionalFormatting sqref="M11:M22">
    <cfRule type="containsText" dxfId="4" priority="25" operator="containsText" text="Esse é o elemento com maior influência sobre os resultados da regressão">
      <formula>NOT(ISERROR(SEARCH("Esse é o elemento com maior influência sobre os resultados da regressão",M11)))</formula>
    </cfRule>
  </conditionalFormatting>
  <conditionalFormatting sqref="M26 F93 F156">
    <cfRule type="cellIs" dxfId="3" priority="4" operator="greaterThan">
      <formula>0.05</formula>
    </cfRule>
  </conditionalFormatting>
  <conditionalFormatting sqref="M28:M33 F98:F100 F178 F196">
    <cfRule type="cellIs" dxfId="2" priority="26" operator="greaterThan">
      <formula>0.3</formula>
    </cfRule>
  </conditionalFormatting>
  <conditionalFormatting sqref="O11:O22">
    <cfRule type="cellIs" dxfId="1" priority="2" operator="greaterThan">
      <formula>$Q$10</formula>
    </cfRule>
  </conditionalFormatting>
  <conditionalFormatting sqref="P11:Q22">
    <cfRule type="cellIs" dxfId="0" priority="1" operator="equal">
      <formula>"O elemento ultrapassou o ponto crítico"</formula>
    </cfRule>
  </conditionalFormatting>
  <dataValidations count="2">
    <dataValidation type="list" allowBlank="1" showInputMessage="1" showErrorMessage="1" sqref="B11:B22" xr:uid="{5E7A018F-0948-4BEB-88F8-52A9D916B8EC}">
      <formula1>$T$11:$T$17</formula1>
    </dataValidation>
    <dataValidation type="list" allowBlank="1" showInputMessage="1" showErrorMessage="1" sqref="F11:F22" xr:uid="{FD2FF8DB-234A-4019-8509-16C7CAD243E3}">
      <formula1>$U$12:$U$13</formula1>
    </dataValidation>
  </dataValidations>
  <pageMargins left="0.511811024" right="0.511811024" top="0.78740157499999996" bottom="0.78740157499999996" header="0.31496062000000002" footer="0.31496062000000002"/>
  <pageSetup paperSize="9" scale="33" fitToHeight="0" orientation="portrait" r:id="rId1"/>
  <headerFooter>
    <oddHeader>&amp;C
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RESULTADOS DA REGRESSÃO</vt:lpstr>
      <vt:lpstr>'RESULTADOS DA REGRESSÃO'!Area_de_impressao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Avaliação de terreno e benfeitorias por modelo de regressão linear múltipla</dc:title>
  <dc:creator>Samuel Jesus de Oliveira</dc:creator>
  <cp:keywords>Regressão linear múltipla</cp:keywords>
  <cp:lastModifiedBy>Samuel Jesus de Oliveira</cp:lastModifiedBy>
  <cp:lastPrinted>2024-07-22T00:00:27Z</cp:lastPrinted>
  <dcterms:created xsi:type="dcterms:W3CDTF">2024-06-07T15:06:55Z</dcterms:created>
  <dcterms:modified xsi:type="dcterms:W3CDTF">2025-11-01T02:42:05Z</dcterms:modified>
  <cp:category>Regressão linear múltipla</cp:category>
</cp:coreProperties>
</file>