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I/"/>
    </mc:Choice>
  </mc:AlternateContent>
  <xr:revisionPtr revIDLastSave="362" documentId="8_{DC24A26C-EF6E-4CFB-9ECD-8CEC9ED6F468}" xr6:coauthVersionLast="47" xr6:coauthVersionMax="47" xr10:uidLastSave="{F5CDA776-7205-46E0-B073-FE77CD6D7641}"/>
  <bookViews>
    <workbookView xWindow="-120" yWindow="-120" windowWidth="29040" windowHeight="15720" tabRatio="901" xr2:uid="{C3A22E73-4D52-4DA0-A647-BA53DE8F5818}"/>
  </bookViews>
  <sheets>
    <sheet name="TERRENO E BENFEITORIAS" sheetId="4" r:id="rId1"/>
    <sheet name="VANTAGEM DA COISA FEITA" sheetId="26" r:id="rId2"/>
    <sheet name="DEPRECIAÇÃO" sheetId="27" r:id="rId3"/>
  </sheets>
  <definedNames>
    <definedName name="_xlnm._FilterDatabase" localSheetId="0" hidden="1">'TERRENO E BENFEITORIAS'!$D$31:$T$43</definedName>
    <definedName name="_xlnm.Print_Area" localSheetId="0">'TERRENO E BENFEITORIAS'!$A$1:$T$415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1" i="4" l="1"/>
  <c r="L181" i="4"/>
  <c r="M181" i="4"/>
  <c r="N181" i="4"/>
  <c r="O181" i="4"/>
  <c r="P181" i="4"/>
  <c r="Q181" i="4"/>
  <c r="K182" i="4"/>
  <c r="L182" i="4"/>
  <c r="M182" i="4"/>
  <c r="N182" i="4"/>
  <c r="O182" i="4"/>
  <c r="P182" i="4"/>
  <c r="Q182" i="4"/>
  <c r="K183" i="4"/>
  <c r="L183" i="4"/>
  <c r="M183" i="4"/>
  <c r="N183" i="4"/>
  <c r="O183" i="4"/>
  <c r="P183" i="4"/>
  <c r="Q183" i="4"/>
  <c r="K184" i="4"/>
  <c r="L184" i="4"/>
  <c r="M184" i="4"/>
  <c r="N184" i="4"/>
  <c r="O184" i="4"/>
  <c r="P184" i="4"/>
  <c r="Q184" i="4"/>
  <c r="K185" i="4"/>
  <c r="L185" i="4"/>
  <c r="M185" i="4"/>
  <c r="N185" i="4"/>
  <c r="O185" i="4"/>
  <c r="P185" i="4"/>
  <c r="Q185" i="4"/>
  <c r="K186" i="4"/>
  <c r="L186" i="4"/>
  <c r="M186" i="4"/>
  <c r="N186" i="4"/>
  <c r="O186" i="4"/>
  <c r="P186" i="4"/>
  <c r="Q186" i="4"/>
  <c r="K187" i="4"/>
  <c r="L187" i="4"/>
  <c r="M187" i="4"/>
  <c r="N187" i="4"/>
  <c r="O187" i="4"/>
  <c r="P187" i="4"/>
  <c r="Q187" i="4"/>
  <c r="K188" i="4"/>
  <c r="L188" i="4"/>
  <c r="M188" i="4"/>
  <c r="N188" i="4"/>
  <c r="O188" i="4"/>
  <c r="P188" i="4"/>
  <c r="Q188" i="4"/>
  <c r="K189" i="4"/>
  <c r="L189" i="4"/>
  <c r="M189" i="4"/>
  <c r="N189" i="4"/>
  <c r="O189" i="4"/>
  <c r="P189" i="4"/>
  <c r="Q189" i="4"/>
  <c r="K190" i="4"/>
  <c r="L190" i="4"/>
  <c r="M190" i="4"/>
  <c r="N190" i="4"/>
  <c r="O190" i="4"/>
  <c r="P190" i="4"/>
  <c r="Q190" i="4"/>
  <c r="K191" i="4"/>
  <c r="L191" i="4"/>
  <c r="M191" i="4"/>
  <c r="N191" i="4"/>
  <c r="O191" i="4"/>
  <c r="P191" i="4"/>
  <c r="Q191" i="4"/>
  <c r="Q180" i="4"/>
  <c r="P180" i="4"/>
  <c r="O180" i="4"/>
  <c r="N180" i="4"/>
  <c r="M180" i="4"/>
  <c r="L180" i="4"/>
  <c r="K180" i="4"/>
  <c r="O160" i="4"/>
  <c r="L173" i="4" s="1"/>
  <c r="O161" i="4"/>
  <c r="M173" i="4" s="1"/>
  <c r="O162" i="4"/>
  <c r="N173" i="4" s="1"/>
  <c r="O163" i="4"/>
  <c r="O173" i="4" s="1"/>
  <c r="O164" i="4"/>
  <c r="P173" i="4" s="1"/>
  <c r="O165" i="4"/>
  <c r="Q173" i="4" s="1"/>
  <c r="O159" i="4"/>
  <c r="K173" i="4" s="1"/>
  <c r="Z522" i="4"/>
  <c r="I285" i="4"/>
  <c r="I286" i="4"/>
  <c r="I287" i="4"/>
  <c r="I288" i="4"/>
  <c r="I289" i="4"/>
  <c r="I290" i="4"/>
  <c r="I291" i="4"/>
  <c r="I292" i="4"/>
  <c r="I293" i="4"/>
  <c r="I294" i="4"/>
  <c r="I295" i="4"/>
  <c r="I249" i="4"/>
  <c r="I250" i="4"/>
  <c r="I251" i="4"/>
  <c r="I252" i="4"/>
  <c r="I253" i="4"/>
  <c r="I254" i="4"/>
  <c r="I255" i="4"/>
  <c r="I256" i="4"/>
  <c r="I257" i="4"/>
  <c r="I258" i="4"/>
  <c r="I259" i="4"/>
  <c r="I216" i="4"/>
  <c r="I217" i="4"/>
  <c r="I218" i="4"/>
  <c r="I219" i="4"/>
  <c r="I220" i="4"/>
  <c r="I221" i="4"/>
  <c r="I222" i="4"/>
  <c r="I223" i="4"/>
  <c r="I224" i="4"/>
  <c r="I225" i="4"/>
  <c r="I226" i="4"/>
  <c r="R190" i="4" l="1"/>
  <c r="I284" i="4"/>
  <c r="I248" i="4"/>
  <c r="I215" i="4"/>
  <c r="G204" i="4" l="1"/>
  <c r="R189" i="4"/>
  <c r="G203" i="4" s="1"/>
  <c r="R188" i="4"/>
  <c r="G202" i="4" s="1"/>
  <c r="R187" i="4"/>
  <c r="G201" i="4" s="1"/>
  <c r="R186" i="4"/>
  <c r="G200" i="4" s="1"/>
  <c r="R185" i="4"/>
  <c r="G199" i="4" s="1"/>
  <c r="R184" i="4"/>
  <c r="G198" i="4" s="1"/>
  <c r="L77" i="4"/>
  <c r="L76" i="4"/>
  <c r="L75" i="4"/>
  <c r="L74" i="4"/>
  <c r="L73" i="4"/>
  <c r="L72" i="4"/>
  <c r="L71" i="4"/>
  <c r="P36" i="4"/>
  <c r="P37" i="4"/>
  <c r="P38" i="4"/>
  <c r="P39" i="4"/>
  <c r="P40" i="4"/>
  <c r="P41" i="4"/>
  <c r="P42" i="4"/>
  <c r="J36" i="4"/>
  <c r="J37" i="4"/>
  <c r="J38" i="4"/>
  <c r="J39" i="4"/>
  <c r="J40" i="4"/>
  <c r="J41" i="4"/>
  <c r="J42" i="4"/>
  <c r="R183" i="4"/>
  <c r="G197" i="4" s="1"/>
  <c r="R182" i="4"/>
  <c r="G196" i="4" s="1"/>
  <c r="L70" i="4"/>
  <c r="L69" i="4"/>
  <c r="P34" i="4"/>
  <c r="P35" i="4"/>
  <c r="J33" i="4"/>
  <c r="J34" i="4"/>
  <c r="J35" i="4"/>
  <c r="J43" i="4"/>
  <c r="Z523" i="4"/>
  <c r="N519" i="4"/>
  <c r="O460" i="4"/>
  <c r="R460" i="4" s="1"/>
  <c r="O461" i="4"/>
  <c r="R461" i="4" s="1"/>
  <c r="O462" i="4"/>
  <c r="R462" i="4" s="1"/>
  <c r="O463" i="4"/>
  <c r="R463" i="4" s="1"/>
  <c r="O464" i="4"/>
  <c r="R464" i="4" s="1"/>
  <c r="O465" i="4"/>
  <c r="R465" i="4" s="1"/>
  <c r="O466" i="4"/>
  <c r="R466" i="4" s="1"/>
  <c r="O467" i="4"/>
  <c r="R467" i="4" s="1"/>
  <c r="O468" i="4"/>
  <c r="R468" i="4" s="1"/>
  <c r="O469" i="4"/>
  <c r="R469" i="4" s="1"/>
  <c r="O470" i="4"/>
  <c r="R470" i="4" s="1"/>
  <c r="O471" i="4"/>
  <c r="R471" i="4" s="1"/>
  <c r="O472" i="4"/>
  <c r="R472" i="4" s="1"/>
  <c r="O473" i="4"/>
  <c r="R473" i="4" s="1"/>
  <c r="O474" i="4"/>
  <c r="R474" i="4" s="1"/>
  <c r="O475" i="4"/>
  <c r="R475" i="4" s="1"/>
  <c r="O476" i="4"/>
  <c r="R476" i="4" s="1"/>
  <c r="O477" i="4"/>
  <c r="R477" i="4" s="1"/>
  <c r="O478" i="4"/>
  <c r="R478" i="4" s="1"/>
  <c r="O479" i="4"/>
  <c r="R479" i="4" s="1"/>
  <c r="O459" i="4"/>
  <c r="R459" i="4" s="1"/>
  <c r="G460" i="4"/>
  <c r="G461" i="4"/>
  <c r="G462" i="4"/>
  <c r="G463" i="4"/>
  <c r="G464" i="4"/>
  <c r="G465" i="4"/>
  <c r="G466" i="4"/>
  <c r="G467" i="4"/>
  <c r="G468" i="4"/>
  <c r="G469" i="4"/>
  <c r="G470" i="4"/>
  <c r="G471" i="4"/>
  <c r="G472" i="4"/>
  <c r="G473" i="4"/>
  <c r="G474" i="4"/>
  <c r="G475" i="4"/>
  <c r="G476" i="4"/>
  <c r="G477" i="4"/>
  <c r="G478" i="4"/>
  <c r="G479" i="4"/>
  <c r="G459" i="4"/>
  <c r="L422" i="4"/>
  <c r="O406" i="4"/>
  <c r="M403" i="4"/>
  <c r="O396" i="4" s="1"/>
  <c r="S401" i="4"/>
  <c r="S400" i="4"/>
  <c r="S399" i="4"/>
  <c r="S398" i="4"/>
  <c r="S397" i="4"/>
  <c r="S396" i="4"/>
  <c r="S395" i="4"/>
  <c r="S394" i="4"/>
  <c r="S393" i="4"/>
  <c r="S392" i="4"/>
  <c r="S391" i="4"/>
  <c r="S390" i="4"/>
  <c r="S389" i="4"/>
  <c r="S388" i="4"/>
  <c r="S387" i="4"/>
  <c r="R39" i="4" l="1"/>
  <c r="D74" i="4" s="1"/>
  <c r="R38" i="4"/>
  <c r="D73" i="4" s="1"/>
  <c r="R42" i="4"/>
  <c r="D77" i="4" s="1"/>
  <c r="R41" i="4"/>
  <c r="D76" i="4" s="1"/>
  <c r="R40" i="4"/>
  <c r="D75" i="4" s="1"/>
  <c r="R37" i="4"/>
  <c r="D72" i="4" s="1"/>
  <c r="R36" i="4"/>
  <c r="D71" i="4" s="1"/>
  <c r="R35" i="4"/>
  <c r="D70" i="4" s="1"/>
  <c r="R34" i="4"/>
  <c r="D69" i="4" s="1"/>
  <c r="Z524" i="4" a="1"/>
  <c r="Z524" i="4" s="1"/>
  <c r="O525" i="4" s="1"/>
  <c r="R483" i="4"/>
  <c r="O401" i="4"/>
  <c r="O400" i="4"/>
  <c r="O399" i="4"/>
  <c r="O398" i="4"/>
  <c r="O397" i="4"/>
  <c r="O387" i="4"/>
  <c r="O395" i="4"/>
  <c r="O394" i="4"/>
  <c r="O390" i="4"/>
  <c r="O393" i="4"/>
  <c r="O392" i="4"/>
  <c r="O391" i="4"/>
  <c r="O389" i="4"/>
  <c r="O388" i="4"/>
  <c r="S403" i="4"/>
  <c r="S485" i="4" l="1"/>
  <c r="N504" i="4"/>
  <c r="Q506" i="4" s="1"/>
  <c r="Q507" i="4" s="1"/>
  <c r="Q508" i="4" s="1"/>
  <c r="O405" i="4"/>
  <c r="O407" i="4" s="1"/>
  <c r="O510" i="4" s="1"/>
  <c r="O511" i="4" l="1"/>
  <c r="O513" i="4" s="1"/>
  <c r="O522" i="4" s="1"/>
  <c r="G414"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O167"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P32" i="4" l="1"/>
  <c r="L167" i="4" l="1"/>
  <c r="L67" i="4"/>
  <c r="R181" i="4"/>
  <c r="R191" i="4"/>
  <c r="R180" i="4"/>
  <c r="R160" i="4" l="1"/>
  <c r="R161" i="4"/>
  <c r="R162" i="4"/>
  <c r="R163" i="4"/>
  <c r="R164" i="4"/>
  <c r="R165" i="4"/>
  <c r="R159" i="4"/>
  <c r="R173" i="4" l="1"/>
  <c r="R169" i="4"/>
  <c r="J195" i="4" l="1"/>
  <c r="J196" i="4"/>
  <c r="M196" i="4" s="1"/>
  <c r="J198" i="4"/>
  <c r="M198" i="4" s="1"/>
  <c r="J197" i="4"/>
  <c r="M197" i="4" s="1"/>
  <c r="J199" i="4"/>
  <c r="M199" i="4" s="1"/>
  <c r="J200" i="4"/>
  <c r="M200" i="4" s="1"/>
  <c r="J205" i="4"/>
  <c r="J201" i="4"/>
  <c r="M201" i="4" s="1"/>
  <c r="J202" i="4"/>
  <c r="M202" i="4" s="1"/>
  <c r="J203" i="4"/>
  <c r="M203" i="4" s="1"/>
  <c r="J204" i="4"/>
  <c r="M204" i="4" s="1"/>
  <c r="J194" i="4"/>
  <c r="G338" i="4"/>
  <c r="AA321" i="4" l="1"/>
  <c r="AA322" i="4"/>
  <c r="AA320" i="4"/>
  <c r="S285" i="4"/>
  <c r="S284" i="4" a="1"/>
  <c r="S284" i="4" s="1"/>
  <c r="Z296" i="4" l="1"/>
  <c r="Z297" i="4" s="1"/>
  <c r="S286" i="4" s="1"/>
  <c r="S248" i="4" l="1"/>
  <c r="J32" i="4"/>
  <c r="G195" i="4"/>
  <c r="G205" i="4"/>
  <c r="G194" i="4"/>
  <c r="D179" i="4"/>
  <c r="D193" i="4" s="1"/>
  <c r="L64" i="4"/>
  <c r="L68" i="4"/>
  <c r="L78" i="4"/>
  <c r="D66" i="4"/>
  <c r="N76" i="4" l="1"/>
  <c r="P76" i="4" s="1"/>
  <c r="R76" i="4" s="1"/>
  <c r="D189" i="4" s="1"/>
  <c r="D203" i="4" s="1"/>
  <c r="P203" i="4" s="1"/>
  <c r="D293" i="4" s="1"/>
  <c r="N74" i="4"/>
  <c r="P74" i="4" s="1"/>
  <c r="R74" i="4" s="1"/>
  <c r="D187" i="4" s="1"/>
  <c r="D201" i="4" s="1"/>
  <c r="P201" i="4" s="1"/>
  <c r="D291" i="4" s="1"/>
  <c r="N73" i="4"/>
  <c r="P73" i="4" s="1"/>
  <c r="R73" i="4" s="1"/>
  <c r="D186" i="4" s="1"/>
  <c r="D200" i="4" s="1"/>
  <c r="P200" i="4" s="1"/>
  <c r="D290" i="4" s="1"/>
  <c r="N72" i="4"/>
  <c r="P72" i="4" s="1"/>
  <c r="R72" i="4" s="1"/>
  <c r="D185" i="4" s="1"/>
  <c r="D199" i="4" s="1"/>
  <c r="P199" i="4" s="1"/>
  <c r="D289" i="4" s="1"/>
  <c r="N77" i="4"/>
  <c r="P77" i="4" s="1"/>
  <c r="R77" i="4" s="1"/>
  <c r="D190" i="4" s="1"/>
  <c r="D204" i="4" s="1"/>
  <c r="P204" i="4" s="1"/>
  <c r="N75" i="4"/>
  <c r="P75" i="4" s="1"/>
  <c r="R75" i="4" s="1"/>
  <c r="D188" i="4" s="1"/>
  <c r="D202" i="4" s="1"/>
  <c r="P202" i="4" s="1"/>
  <c r="N71" i="4"/>
  <c r="P71" i="4" s="1"/>
  <c r="R71" i="4" s="1"/>
  <c r="D184" i="4" s="1"/>
  <c r="D198" i="4" s="1"/>
  <c r="P198" i="4" s="1"/>
  <c r="D288" i="4" s="1"/>
  <c r="N67" i="4"/>
  <c r="P67" i="4" s="1"/>
  <c r="N70" i="4"/>
  <c r="P70" i="4" s="1"/>
  <c r="R70" i="4" s="1"/>
  <c r="D183" i="4" s="1"/>
  <c r="D197" i="4" s="1"/>
  <c r="P197" i="4" s="1"/>
  <c r="N69" i="4"/>
  <c r="P69" i="4" s="1"/>
  <c r="R69" i="4" s="1"/>
  <c r="D182" i="4" s="1"/>
  <c r="D196" i="4" s="1"/>
  <c r="P196" i="4" s="1"/>
  <c r="N78" i="4"/>
  <c r="P78" i="4" s="1"/>
  <c r="N68" i="4"/>
  <c r="P68" i="4" s="1"/>
  <c r="D287" i="4" l="1"/>
  <c r="D251" i="4"/>
  <c r="D286" i="4"/>
  <c r="D250" i="4"/>
  <c r="D219" i="4"/>
  <c r="D252" i="4"/>
  <c r="D221" i="4"/>
  <c r="D254" i="4"/>
  <c r="D220" i="4"/>
  <c r="D253" i="4"/>
  <c r="D222" i="4"/>
  <c r="D255" i="4"/>
  <c r="D223" i="4"/>
  <c r="D224" i="4"/>
  <c r="D257" i="4"/>
  <c r="D217" i="4"/>
  <c r="D218" i="4"/>
  <c r="M194" i="4"/>
  <c r="M195" i="4"/>
  <c r="M205" i="4"/>
  <c r="P33" i="4" l="1"/>
  <c r="P43" i="4"/>
  <c r="R43" i="4" l="1"/>
  <c r="D78" i="4" s="1"/>
  <c r="R78" i="4" s="1"/>
  <c r="D191" i="4" s="1"/>
  <c r="D205" i="4" s="1"/>
  <c r="P205" i="4" s="1"/>
  <c r="D259" i="4" s="1"/>
  <c r="R33" i="4"/>
  <c r="D68" i="4" s="1"/>
  <c r="R68" i="4" s="1"/>
  <c r="D181" i="4" s="1"/>
  <c r="D195" i="4" s="1"/>
  <c r="P195" i="4" s="1"/>
  <c r="R32" i="4"/>
  <c r="D226" i="4" l="1"/>
  <c r="D285" i="4"/>
  <c r="D249" i="4"/>
  <c r="D295" i="4"/>
  <c r="D216" i="4"/>
  <c r="D67" i="4"/>
  <c r="R67" i="4" s="1"/>
  <c r="D180" i="4" s="1"/>
  <c r="D194" i="4" s="1"/>
  <c r="P194" i="4" s="1"/>
  <c r="R46" i="4"/>
  <c r="R45" i="4"/>
  <c r="D284" i="4" l="1"/>
  <c r="D248" i="4"/>
  <c r="R250" i="4" s="1"/>
  <c r="D215" i="4"/>
  <c r="R80" i="4"/>
  <c r="R81" i="4"/>
  <c r="R207" i="4"/>
  <c r="R208" i="4"/>
  <c r="R47" i="4"/>
  <c r="R220" i="4" l="1"/>
  <c r="R219" i="4"/>
  <c r="R216" i="4"/>
  <c r="R225" i="4"/>
  <c r="M320" i="4" s="1"/>
  <c r="AC320" i="4" s="1"/>
  <c r="R256" i="4"/>
  <c r="R255" i="4"/>
  <c r="R251" i="4"/>
  <c r="M321" i="4" s="1"/>
  <c r="AC321" i="4" s="1"/>
  <c r="R294" i="4"/>
  <c r="R293" i="4"/>
  <c r="R288" i="4"/>
  <c r="R289" i="4"/>
  <c r="R82" i="4"/>
  <c r="R209" i="4"/>
  <c r="AA310" i="4" l="1"/>
  <c r="AA312" i="4"/>
  <c r="AA306" i="4"/>
  <c r="AA308" i="4"/>
  <c r="AA307" i="4"/>
  <c r="AA311" i="4"/>
  <c r="AA309" i="4"/>
  <c r="AA273" i="4"/>
  <c r="AA267" i="4"/>
  <c r="AA271" i="4"/>
  <c r="AA269" i="4"/>
  <c r="AA268" i="4"/>
  <c r="AA272" i="4"/>
  <c r="AA270" i="4"/>
  <c r="AA230" i="4"/>
  <c r="AA234" i="4"/>
  <c r="AA231" i="4"/>
  <c r="AA228" i="4"/>
  <c r="AA232" i="4"/>
  <c r="AA229" i="4"/>
  <c r="AA233" i="4"/>
  <c r="AA304" i="4"/>
  <c r="AA305" i="4"/>
  <c r="AA265" i="4"/>
  <c r="AA266" i="4"/>
  <c r="AA226" i="4"/>
  <c r="AA227" i="4"/>
  <c r="AA225" i="4"/>
  <c r="AA223" i="4"/>
  <c r="AA264" i="4"/>
  <c r="AA263" i="4"/>
  <c r="AA262" i="4"/>
  <c r="AA224" i="4"/>
  <c r="R261" i="4"/>
  <c r="I321" i="4"/>
  <c r="AB321" i="4" s="1"/>
  <c r="I320" i="4"/>
  <c r="AB320" i="4" s="1"/>
  <c r="R262" i="4"/>
  <c r="Q321" i="4" s="1"/>
  <c r="Z321" i="4" s="1"/>
  <c r="R253" i="4"/>
  <c r="R254" i="4"/>
  <c r="R218" i="4"/>
  <c r="R217" i="4"/>
  <c r="R226" i="4"/>
  <c r="Q320" i="4" s="1"/>
  <c r="Z267" i="4" l="1"/>
  <c r="Z271" i="4"/>
  <c r="Z273" i="4"/>
  <c r="Z268" i="4"/>
  <c r="Z272" i="4"/>
  <c r="Z269" i="4"/>
  <c r="Z270" i="4"/>
  <c r="Y273" i="4"/>
  <c r="Y270" i="4"/>
  <c r="Y268" i="4"/>
  <c r="Y272" i="4"/>
  <c r="Y269" i="4"/>
  <c r="Y267" i="4"/>
  <c r="Y271" i="4"/>
  <c r="Y228" i="4"/>
  <c r="Y232" i="4"/>
  <c r="Y231" i="4"/>
  <c r="Y230" i="4"/>
  <c r="Y229" i="4"/>
  <c r="Y233" i="4"/>
  <c r="Y234" i="4"/>
  <c r="Z228" i="4"/>
  <c r="Z232" i="4"/>
  <c r="Z230" i="4"/>
  <c r="Z229" i="4"/>
  <c r="Z233" i="4"/>
  <c r="Z234" i="4"/>
  <c r="Z231" i="4"/>
  <c r="Y265" i="4"/>
  <c r="Y266" i="4"/>
  <c r="Z265" i="4"/>
  <c r="Z266" i="4"/>
  <c r="Z226" i="4"/>
  <c r="Z227" i="4"/>
  <c r="Y227" i="4"/>
  <c r="Y226" i="4"/>
  <c r="Z223" i="4"/>
  <c r="Z224" i="4"/>
  <c r="Z225" i="4"/>
  <c r="Y225" i="4"/>
  <c r="Y224" i="4"/>
  <c r="Y223" i="4"/>
  <c r="Y262" i="4"/>
  <c r="Y263" i="4"/>
  <c r="Y264" i="4"/>
  <c r="Z263" i="4"/>
  <c r="Z264" i="4"/>
  <c r="Z262" i="4"/>
  <c r="AF248" i="4"/>
  <c r="AF249" i="4"/>
  <c r="R258" i="4" a="1"/>
  <c r="R258" i="4" s="1"/>
  <c r="Z256" i="4" s="1"/>
  <c r="R222" i="4" a="1"/>
  <c r="R222" i="4" s="1"/>
  <c r="Z216" i="4" s="1"/>
  <c r="Z320" i="4"/>
  <c r="P222" i="4" l="1"/>
  <c r="R223" i="4"/>
  <c r="R259" i="4"/>
  <c r="P258" i="4"/>
  <c r="AA302" i="4" l="1"/>
  <c r="AA301" i="4"/>
  <c r="AA303" i="4"/>
  <c r="I322" i="4"/>
  <c r="AB322" i="4" s="1"/>
  <c r="R292" i="4"/>
  <c r="R291" i="4"/>
  <c r="R300" i="4"/>
  <c r="Q322" i="4" s="1"/>
  <c r="R299" i="4"/>
  <c r="M322" i="4" s="1"/>
  <c r="AC322" i="4" s="1"/>
  <c r="Z308" i="4" l="1"/>
  <c r="Z306" i="4"/>
  <c r="Z310" i="4"/>
  <c r="Z311" i="4"/>
  <c r="Z307" i="4"/>
  <c r="Z309" i="4"/>
  <c r="Z312" i="4"/>
  <c r="Y306" i="4"/>
  <c r="Y310" i="4"/>
  <c r="Y311" i="4"/>
  <c r="Y308" i="4"/>
  <c r="Y309" i="4"/>
  <c r="Y312" i="4"/>
  <c r="Y307" i="4"/>
  <c r="Y304" i="4"/>
  <c r="Y305" i="4"/>
  <c r="Z304" i="4"/>
  <c r="Z305" i="4"/>
  <c r="Z303" i="4"/>
  <c r="Z301" i="4"/>
  <c r="Z302" i="4"/>
  <c r="Y302" i="4"/>
  <c r="Y303" i="4"/>
  <c r="Y301" i="4"/>
  <c r="Z322" i="4"/>
  <c r="I324" i="4"/>
  <c r="I327" i="4" s="1"/>
  <c r="G335" i="4" s="1"/>
  <c r="R296" i="4" a="1"/>
  <c r="R296" i="4" s="1"/>
  <c r="Z299" i="4" s="1"/>
  <c r="I326" i="4" l="1"/>
  <c r="G334" i="4" s="1"/>
  <c r="I325" i="4"/>
  <c r="P296" i="4"/>
  <c r="R297" i="4"/>
  <c r="O363" i="4" l="1"/>
  <c r="O364" i="4" s="1"/>
  <c r="O521" i="4" s="1"/>
  <c r="G344" i="4"/>
  <c r="G343" i="4"/>
  <c r="Q344" i="4"/>
  <c r="Z532" i="4" l="1"/>
  <c r="O524" i="4"/>
  <c r="O527" i="4" s="1"/>
  <c r="O549" i="4" s="1"/>
  <c r="O546" i="4" s="1"/>
  <c r="O547" i="4" s="1"/>
  <c r="U545" i="4" s="1"/>
  <c r="Z531" i="4"/>
  <c r="Q343" i="4"/>
  <c r="Q345" i="4" s="1"/>
  <c r="A347" i="4" s="1" a="1"/>
  <c r="A347"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<sst xmlns="http://schemas.openxmlformats.org/spreadsheetml/2006/main" count="640" uniqueCount="408">
  <si>
    <t>Pavimentação</t>
  </si>
  <si>
    <t>Regular</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</si>
  <si>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</si>
  <si>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</si>
  <si>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</si>
  <si>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</si>
  <si>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</si>
  <si>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</si>
  <si>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</si>
  <si>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</si>
  <si>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</si>
  <si>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</si>
  <si>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</si>
  <si>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</si>
  <si>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</si>
  <si>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</si>
  <si>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</si>
  <si>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</si>
  <si>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</si>
  <si>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</si>
  <si>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</si>
  <si>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</si>
  <si>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</si>
  <si>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</si>
  <si>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</si>
  <si>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</si>
  <si>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</si>
  <si>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</si>
  <si>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</si>
  <si>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</si>
  <si>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</si>
  <si>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</si>
  <si>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</si>
  <si>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</si>
  <si>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</si>
  <si>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</si>
  <si>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</si>
  <si>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</si>
  <si>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</si>
  <si>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</si>
  <si>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</si>
  <si>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</si>
  <si>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</si>
  <si>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</si>
  <si>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</si>
  <si>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</si>
  <si>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</si>
  <si>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</si>
  <si>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</si>
  <si>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</si>
  <si>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</si>
  <si>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</si>
  <si>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</si>
  <si>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</si>
  <si>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</si>
  <si>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</si>
  <si>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</si>
  <si>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</si>
  <si>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</si>
  <si>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</si>
  <si>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</si>
  <si>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</si>
  <si>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</si>
  <si>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</si>
  <si>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</si>
  <si>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</si>
  <si>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</si>
  <si>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</si>
  <si>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</si>
  <si>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</si>
  <si>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</si>
  <si>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</si>
  <si>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</si>
  <si>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</si>
  <si>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</si>
  <si>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</si>
  <si>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</si>
  <si>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</si>
  <si>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</si>
  <si>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</si>
  <si>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</si>
  <si>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</si>
  <si>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</si>
  <si>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</si>
  <si>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</si>
  <si>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</si>
  <si>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</si>
  <si>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</si>
  <si>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</si>
  <si>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</si>
  <si>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</si>
  <si>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</si>
  <si>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</si>
  <si>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</si>
  <si>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</si>
  <si>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</si>
  <si>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</si>
  <si>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</si>
  <si>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</si>
  <si>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</si>
  <si>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</si>
  <si>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</si>
  <si>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</si>
  <si>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</si>
  <si>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</si>
  <si>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</si>
  <si>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</si>
  <si>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</si>
  <si>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</si>
  <si>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</si>
  <si>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</si>
  <si>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</si>
  <si>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</si>
  <si>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</si>
  <si>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</si>
  <si>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</si>
  <si>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</si>
  <si>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</si>
  <si>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</si>
  <si>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</si>
  <si>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</si>
  <si>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</si>
  <si>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</si>
  <si>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</si>
  <si>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</si>
  <si>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</si>
  <si>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</si>
  <si>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</si>
  <si>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</si>
  <si>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</si>
  <si>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</si>
  <si>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</si>
  <si>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</si>
  <si>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</si>
  <si>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</si>
  <si>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</si>
  <si>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</si>
  <si>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</si>
  <si>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</si>
  <si>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</si>
  <si>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</si>
  <si>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</si>
  <si>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</si>
  <si>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</si>
  <si>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</si>
  <si>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</si>
  <si>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</si>
  <si>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</si>
  <si>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</si>
  <si>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</si>
  <si>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</si>
  <si>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</si>
  <si>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</si>
  <si>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</si>
  <si>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</si>
  <si>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</si>
  <si>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</si>
  <si>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</si>
  <si>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</si>
  <si>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</si>
  <si>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</si>
  <si>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</si>
  <si>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</si>
  <si>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</si>
  <si>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</si>
  <si>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</si>
  <si>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</si>
  <si>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</si>
  <si>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</si>
  <si>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</si>
  <si>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</si>
  <si>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</si>
  <si>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</si>
  <si>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</si>
  <si>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</si>
  <si>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</si>
  <si>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</si>
  <si>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</si>
  <si>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</si>
  <si>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</si>
  <si>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</si>
  <si>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</si>
  <si>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</si>
  <si>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</si>
  <si>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</si>
  <si>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</si>
  <si>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</si>
  <si>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</si>
  <si>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</si>
  <si>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</si>
  <si>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</si>
  <si>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</si>
  <si>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</si>
  <si>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</si>
  <si>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</si>
  <si>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</si>
  <si>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</si>
  <si>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</si>
  <si>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</si>
  <si>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</si>
  <si>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</si>
  <si>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</si>
  <si>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</si>
  <si>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</si>
  <si>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</si>
  <si>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</si>
  <si>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</si>
  <si>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</si>
  <si>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</si>
  <si>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</si>
  <si>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</si>
  <si>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</si>
  <si>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</si>
  <si>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</si>
  <si>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</si>
  <si>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</si>
  <si>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</si>
  <si>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</si>
  <si>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</si>
  <si>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</si>
  <si>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</si>
  <si>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</si>
  <si>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</si>
  <si>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</si>
  <si>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</si>
  <si>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</si>
  <si>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</si>
  <si>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</si>
  <si>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</si>
  <si>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</si>
  <si>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</si>
  <si>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</si>
  <si>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</si>
  <si>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</si>
  <si>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</si>
  <si>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</si>
  <si>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</si>
  <si>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</si>
  <si>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</si>
  <si>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</si>
  <si>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</si>
  <si>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</si>
  <si>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</si>
  <si>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</si>
  <si>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</si>
  <si>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A área equivalente do imóvel será calculada conforme orientação contida na NBR 12721:2006</t>
  </si>
  <si>
    <t>NBR 12721:2006 Avaliação de custos unitários de construção para incorporação imobiliária e outras disposições para condominios edifícios - Procedimento
5.7 Área equivalente
[...]
5.7.2 Coeficientes para cálculo das áreas equivalentes às áreas de custo padrão. É recomendável que os coeficientes de equivalência de custo, para cada dependência em que forem empregados, sejam calculados na forma indicada em 5.7.2.1 ou, alternativamente, na forma indicada em 5.7.3</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</si>
  <si>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</si>
  <si>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</si>
  <si>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</si>
  <si>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</si>
  <si>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</si>
  <si>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</si>
  <si>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</si>
  <si>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</si>
  <si>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</si>
  <si>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</si>
  <si>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</si>
  <si>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</si>
  <si>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</si>
  <si>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</si>
  <si>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</si>
  <si>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</si>
  <si>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</si>
  <si>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</si>
  <si>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</si>
  <si>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</si>
  <si>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</si>
  <si>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</si>
  <si>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</si>
  <si>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</si>
  <si>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</si>
  <si>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Área real do item</t>
  </si>
  <si>
    <t>%</t>
  </si>
  <si>
    <t>Fator mínimo</t>
  </si>
  <si>
    <t>Área equivalente</t>
  </si>
  <si>
    <t>a</t>
  </si>
  <si>
    <t>Garagem (subsolo)</t>
  </si>
  <si>
    <t>b</t>
  </si>
  <si>
    <t>Área privativa (unidade autônoma padrão)</t>
  </si>
  <si>
    <t>c</t>
  </si>
  <si>
    <t>Área privativa (salas com acabamento)</t>
  </si>
  <si>
    <t>d</t>
  </si>
  <si>
    <t>Área privativa (salas sem acabamento)</t>
  </si>
  <si>
    <t>e</t>
  </si>
  <si>
    <t>Área de loja sem acabamento</t>
  </si>
  <si>
    <t>f</t>
  </si>
  <si>
    <t>Varandas</t>
  </si>
  <si>
    <t>g</t>
  </si>
  <si>
    <t>Terraços ou áreas descobertas sobre lajes</t>
  </si>
  <si>
    <t>h</t>
  </si>
  <si>
    <t>Estacionamento sobre terreno</t>
  </si>
  <si>
    <t>i</t>
  </si>
  <si>
    <t>Área de projeção do terreno sem benfeitoria</t>
  </si>
  <si>
    <t>j</t>
  </si>
  <si>
    <t>Área de serviço - residência unifamiliar padrão baixo (aberta)</t>
  </si>
  <si>
    <t>k</t>
  </si>
  <si>
    <t>Barrilete</t>
  </si>
  <si>
    <t>l</t>
  </si>
  <si>
    <t>Caixa d'água</t>
  </si>
  <si>
    <t>m</t>
  </si>
  <si>
    <t>Casa de máquinas</t>
  </si>
  <si>
    <t>n</t>
  </si>
  <si>
    <t>Piscinas</t>
  </si>
  <si>
    <t>o</t>
  </si>
  <si>
    <t>Quintais, calçadas, jardins etc.</t>
  </si>
  <si>
    <t>Área total construída:</t>
  </si>
  <si>
    <t>equivalente:</t>
  </si>
  <si>
    <t>Área equivalente da benfeitoria:</t>
  </si>
  <si>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</si>
  <si>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</si>
  <si>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</si>
  <si>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</si>
  <si>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</si>
  <si>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</si>
  <si>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</si>
  <si>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</si>
  <si>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</si>
  <si>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</si>
  <si>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</si>
  <si>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</si>
  <si>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</si>
  <si>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</si>
  <si>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</si>
  <si>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</si>
  <si>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</si>
  <si>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</si>
  <si>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</si>
  <si>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</si>
  <si>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</si>
  <si>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</si>
  <si>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</si>
  <si>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</si>
  <si>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</si>
  <si>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</si>
  <si>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</si>
  <si>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</si>
  <si>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</si>
  <si>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</si>
  <si>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</si>
  <si>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</si>
  <si>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</si>
  <si>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</si>
  <si>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</si>
  <si>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Preço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</si>
  <si>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</si>
  <si>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</si>
  <si>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</si>
  <si>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</si>
  <si>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</si>
  <si>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</si>
  <si>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</si>
  <si>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</si>
  <si>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</si>
  <si>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</si>
  <si>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</si>
  <si>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</si>
  <si>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</si>
  <si>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</si>
  <si>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</si>
  <si>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</si>
  <si>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</si>
  <si>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</si>
  <si>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</si>
  <si>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</si>
  <si>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</si>
  <si>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</si>
  <si>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Fator do terreno padrão</t>
  </si>
  <si>
    <t>Característica do terreno padrão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</si>
  <si>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</si>
  <si>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</si>
  <si>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</si>
  <si>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</si>
  <si>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</si>
  <si>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</si>
  <si>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</si>
  <si>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</si>
  <si>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</si>
  <si>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</si>
  <si>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</si>
  <si>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</si>
  <si>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</si>
  <si>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</si>
  <si>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</si>
  <si>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</si>
  <si>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</si>
  <si>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Terreno à venda</t>
  </si>
  <si>
    <t>Elemento comparativo</t>
  </si>
  <si>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</si>
  <si>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</si>
  <si>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</si>
  <si>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</si>
  <si>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</si>
  <si>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</si>
  <si>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</si>
  <si>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</si>
  <si>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</si>
  <si>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</si>
  <si>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Valor relativo na escala Heidecke</t>
  </si>
  <si>
    <t>Valor relativo específico</t>
  </si>
  <si>
    <r>
      <t xml:space="preserve">Portanto, levando em consideração o </t>
    </r>
    <r>
      <rPr>
        <b/>
        <sz val="11"/>
        <rFont val="Arial Nova"/>
        <family val="2"/>
      </rPr>
      <t>peso atribuído a cada etapa da obra</t>
    </r>
    <r>
      <rPr>
        <sz val="11"/>
        <rFont val="Arial Nova"/>
        <family val="2"/>
      </rPr>
      <t>, conforme tabela apresentada acima, o valor relativo específico apurado pelo método Heidecke (c) corresponde a:</t>
    </r>
  </si>
  <si>
    <t>Fonte</t>
  </si>
  <si>
    <t>Tipo de consulta</t>
  </si>
  <si>
    <t>Data da coleta</t>
  </si>
  <si>
    <t>Contato</t>
  </si>
  <si>
    <t>Imóveis Braga</t>
  </si>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</sst>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s>
  <fonts count="28"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sz val="11"/>
      <color theme="0"/>
      <name val="Aptos"/>
      <family val="2"/>
    </font>
    <font>
      <sz val="10"/>
      <color theme="0"/>
      <name val="Arial Nova"/>
      <family val="2"/>
    </font>
    <font>
      <b/>
      <sz val="11"/>
      <color theme="0"/>
      <name val="Arial"/>
      <family val="2"/>
    </font>
    <font>
      <i/>
      <sz val="11"/>
      <name val="Aptos"/>
      <family val="2"/>
    </font>
    <font>
      <sz val="11"/>
      <name val="Arial Nova"/>
      <family val="2"/>
    </font>
    <font>
      <vertAlign val="subscript"/>
      <sz val="11"/>
      <name val="Aptos"/>
      <family val="2"/>
    </font>
    <font>
      <b/>
      <sz val="11"/>
      <name val="Arial Nova"/>
      <family val="2"/>
    </font>
    <font>
      <sz val="11"/>
      <color theme="0"/>
      <name val="Arial Nova"/>
      <family val="2"/>
    </font>
    <font>
      <i/>
      <sz val="11"/>
      <name val="Arial Nova"/>
      <family val="2"/>
    </font>
    <font>
      <b/>
      <sz val="10"/>
      <name val="Aptos"/>
      <family val="2"/>
    </font>
    <font>
      <i/>
      <sz val="10"/>
      <name val="Aptos"/>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2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5" fillId="8" borderId="0">
      <protection hidden="1"/>
    </xf>
    <xf numFmtId="169" fontId="1" fillId="9" borderId="0" applyBorder="0" applyProtection="0">
      <alignment vertical="center"/>
    </xf>
    <xf numFmtId="164" fontId="15" fillId="10" borderId="0">
      <alignment horizontal="justify" vertical="center" wrapText="1"/>
      <protection hidden="1"/>
    </xf>
    <xf numFmtId="164" fontId="15" fillId="11" borderId="0">
      <alignment horizontal="justify" vertical="center" wrapText="1"/>
      <protection hidden="1"/>
    </xf>
    <xf numFmtId="164" fontId="15"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5" fillId="15" borderId="0">
      <alignment vertical="center"/>
      <protection hidden="1"/>
    </xf>
    <xf numFmtId="169" fontId="15" fillId="16" borderId="0">
      <alignment vertical="center"/>
      <protection hidden="1"/>
    </xf>
    <xf numFmtId="169" fontId="15" fillId="17" borderId="0">
      <alignment vertical="center"/>
      <protection hidden="1"/>
    </xf>
    <xf numFmtId="169" fontId="15" fillId="18" borderId="0">
      <alignment vertical="center"/>
      <protection hidden="1"/>
    </xf>
    <xf numFmtId="169" fontId="7" fillId="19" borderId="0">
      <alignment horizontal="center" vertical="center"/>
      <protection hidden="1"/>
    </xf>
    <xf numFmtId="169" fontId="27"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26" fillId="26" borderId="0">
      <alignment horizontal="center" vertical="center"/>
      <protection hidden="1"/>
    </xf>
    <xf numFmtId="164" fontId="15" fillId="27" borderId="0">
      <alignment horizontal="justify" vertical="center" wrapText="1"/>
      <protection hidden="1"/>
    </xf>
    <xf numFmtId="164" fontId="15" fillId="28" borderId="0">
      <alignment horizontal="justify" vertical="center" wrapText="1"/>
      <protection locked="0" hidden="1"/>
    </xf>
    <xf numFmtId="164" fontId="15"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5" fillId="15" borderId="0">
      <alignment horizontal="justify" vertical="center" wrapText="1"/>
      <protection hidden="1"/>
    </xf>
    <xf numFmtId="169" fontId="15" fillId="16" borderId="0">
      <alignment horizontal="justify" vertical="center" wrapText="1"/>
      <protection locked="0" hidden="1"/>
    </xf>
    <xf numFmtId="169" fontId="15" fillId="17" borderId="0">
      <alignment horizontal="justify" vertical="center" wrapText="1"/>
      <protection hidden="1"/>
    </xf>
    <xf numFmtId="169" fontId="15" fillId="18" borderId="0">
      <alignment horizontal="left" vertical="center"/>
      <protection hidden="1"/>
    </xf>
    <xf numFmtId="169" fontId="7" fillId="19" borderId="0">
      <alignment horizontal="center" vertical="center" wrapText="1"/>
      <protection locked="0" hidden="1"/>
    </xf>
    <xf numFmtId="164" fontId="15" fillId="32" borderId="0">
      <alignment horizontal="justify" vertical="center"/>
      <protection hidden="1"/>
    </xf>
    <xf numFmtId="164" fontId="15" fillId="33" borderId="0">
      <alignment horizontal="justify" vertical="center" wrapText="1"/>
      <protection hidden="1"/>
    </xf>
    <xf numFmtId="164" fontId="15" fillId="34" borderId="0">
      <alignment horizontal="justify" vertical="center" wrapText="1"/>
      <protection hidden="1"/>
    </xf>
    <xf numFmtId="164" fontId="15"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5" fillId="38" borderId="0">
      <alignment horizontal="justify" vertical="center" wrapText="1"/>
      <protection hidden="1"/>
    </xf>
    <xf numFmtId="169" fontId="15" fillId="39" borderId="0">
      <alignment horizontal="justify" vertical="center" wrapText="1"/>
      <protection hidden="1"/>
    </xf>
    <xf numFmtId="169" fontId="15" fillId="40" borderId="0">
      <alignment horizontal="justify" vertical="center" wrapText="1"/>
      <protection hidden="1"/>
    </xf>
    <xf numFmtId="169" fontId="15"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5" fillId="45" borderId="0">
      <alignment horizontal="justify" vertical="center" wrapText="1"/>
      <protection hidden="1"/>
    </xf>
    <xf numFmtId="164" fontId="15" fillId="46" borderId="0">
      <alignment horizontal="justify" vertical="center" wrapText="1"/>
      <protection locked="0" hidden="1"/>
    </xf>
    <xf numFmtId="164" fontId="15"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5" fillId="50" borderId="0">
      <alignment horizontal="justify" vertical="center" wrapText="1"/>
      <protection hidden="1"/>
    </xf>
    <xf numFmtId="169" fontId="15" fillId="51" borderId="0">
      <alignment horizontal="justify" vertical="center" wrapText="1"/>
      <protection hidden="1"/>
    </xf>
    <xf numFmtId="169" fontId="15" fillId="52" borderId="0">
      <alignment horizontal="justify" vertical="center" wrapText="1"/>
      <protection hidden="1"/>
    </xf>
    <xf numFmtId="169" fontId="15" fillId="53" borderId="0">
      <alignment horizontal="justify" vertical="center"/>
      <protection hidden="1"/>
    </xf>
    <xf numFmtId="169" fontId="15" fillId="54" borderId="0">
      <alignment horizontal="center" vertical="center" wrapText="1"/>
      <protection hidden="1"/>
    </xf>
    <xf numFmtId="169" fontId="15" fillId="55" borderId="0">
      <alignment horizontal="justify" vertical="center" wrapText="1"/>
      <protection hidden="1"/>
    </xf>
    <xf numFmtId="169" fontId="15" fillId="56" borderId="0">
      <alignment horizontal="justify" vertical="center" wrapText="1"/>
      <protection hidden="1"/>
    </xf>
    <xf numFmtId="169" fontId="15"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261">
    <xf numFmtId="169" fontId="0" fillId="0" borderId="0" xfId="0">
      <alignment vertical="center"/>
      <protection hidden="1"/>
    </xf>
    <xf numFmtId="169" fontId="7" fillId="0" borderId="0" xfId="0" applyFont="1" applyAlignment="1" applyProtection="1">
      <alignment vertical="center" wrapText="1"/>
      <protection locked="0"/>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horizontal="justify" vertical="top" wrapText="1"/>
      <protection hidden="1"/>
    </xf>
    <xf numFmtId="169" fontId="10" fillId="0" borderId="0" xfId="0" applyFont="1">
      <alignment vertical="center"/>
      <protection hidden="1"/>
    </xf>
    <xf numFmtId="169" fontId="3" fillId="0" borderId="11" xfId="0" applyFont="1" applyBorder="1" applyAlignment="1">
      <alignment horizontal="justify" vertical="center" wrapText="1"/>
      <protection hidden="1"/>
    </xf>
    <xf numFmtId="169" fontId="10" fillId="0" borderId="0" xfId="0" applyFont="1" applyAlignment="1">
      <alignment horizontal="justify" vertical="center" wrapText="1"/>
      <protection hidden="1"/>
    </xf>
    <xf numFmtId="171" fontId="10" fillId="0" borderId="0" xfId="0" applyNumberFormat="1" applyFont="1" applyAlignment="1">
      <alignment horizontal="right" vertical="center" wrapText="1" readingOrder="1"/>
      <protection hidden="1"/>
    </xf>
    <xf numFmtId="172" fontId="10" fillId="0" borderId="0" xfId="0" applyNumberFormat="1" applyFont="1" applyAlignment="1">
      <alignment horizontal="right" vertical="center" wrapText="1" readingOrder="1"/>
      <protection hidden="1"/>
    </xf>
    <xf numFmtId="173" fontId="10" fillId="0" borderId="0" xfId="0" applyNumberFormat="1" applyFont="1" applyAlignment="1">
      <alignment horizontal="right" vertical="center" wrapText="1" readingOrder="1"/>
      <protection hidden="1"/>
    </xf>
    <xf numFmtId="169" fontId="10" fillId="0" borderId="0" xfId="0" applyFont="1" applyAlignment="1">
      <alignment horizontal="right" vertical="center" wrapText="1" readingOrder="1"/>
      <protection hidden="1"/>
    </xf>
    <xf numFmtId="169" fontId="3" fillId="0" borderId="16" xfId="0" applyFont="1" applyBorder="1" applyAlignment="1">
      <alignment horizontal="center" vertical="center" wrapText="1"/>
      <protection hidden="1"/>
    </xf>
    <xf numFmtId="1" fontId="10" fillId="0" borderId="16" xfId="0" applyNumberFormat="1" applyFont="1" applyBorder="1" applyAlignment="1">
      <alignment horizontal="right" vertical="center" wrapText="1"/>
      <protection hidden="1"/>
    </xf>
    <xf numFmtId="169" fontId="10" fillId="0" borderId="3" xfId="0" applyFont="1" applyBorder="1" applyAlignment="1">
      <alignment horizontal="center" vertical="center" wrapText="1"/>
      <protection hidden="1"/>
    </xf>
    <xf numFmtId="9" fontId="10" fillId="2" borderId="3" xfId="2" applyFont="1" applyFill="1" applyBorder="1" applyAlignment="1" applyProtection="1">
      <alignment horizontal="center" vertical="center" wrapText="1"/>
      <protection hidden="1"/>
    </xf>
    <xf numFmtId="4" fontId="10" fillId="0" borderId="3" xfId="0" applyNumberFormat="1" applyFont="1" applyBorder="1" applyAlignment="1">
      <alignment horizontal="right" vertical="center" wrapText="1"/>
      <protection hidden="1"/>
    </xf>
    <xf numFmtId="169" fontId="13" fillId="0" borderId="0" xfId="0" applyFont="1">
      <alignment vertical="center"/>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9" fontId="10" fillId="0" borderId="3" xfId="2" applyFont="1" applyBorder="1" applyAlignment="1" applyProtection="1">
      <alignment horizontal="center" vertical="center" wrapText="1"/>
      <protection hidden="1"/>
    </xf>
    <xf numFmtId="10" fontId="10" fillId="0" borderId="3" xfId="2" applyNumberFormat="1" applyFont="1" applyBorder="1" applyAlignment="1" applyProtection="1">
      <alignment horizontal="right" vertical="center" wrapText="1"/>
      <protection hidden="1"/>
    </xf>
    <xf numFmtId="167" fontId="10" fillId="0" borderId="3" xfId="0" applyNumberFormat="1" applyFont="1" applyBorder="1" applyAlignment="1">
      <alignment horizontal="right" vertical="center" wrapText="1"/>
      <protection hidden="1"/>
    </xf>
    <xf numFmtId="169" fontId="7" fillId="0" borderId="0" xfId="0" applyFont="1" applyAlignment="1">
      <alignment vertical="center" wrapText="1"/>
      <protection hidden="1"/>
    </xf>
    <xf numFmtId="169" fontId="15" fillId="0" borderId="0" xfId="0" applyFont="1" applyAlignment="1">
      <alignment vertical="center" wrapText="1"/>
      <protection hidden="1"/>
    </xf>
    <xf numFmtId="169" fontId="7" fillId="0" borderId="2" xfId="0" applyFont="1" applyBorder="1" applyAlignment="1">
      <alignment vertical="center" wrapText="1"/>
      <protection hidden="1"/>
    </xf>
    <xf numFmtId="169" fontId="7" fillId="0" borderId="0" xfId="0" applyFont="1" applyAlignment="1">
      <alignment horizontal="justify" vertical="center" wrapText="1" readingOrder="1"/>
      <protection hidden="1"/>
    </xf>
    <xf numFmtId="169" fontId="7" fillId="2" borderId="2" xfId="0" applyFont="1" applyFill="1" applyBorder="1" applyAlignment="1">
      <alignment horizontal="center" vertical="center" wrapText="1" readingOrder="1"/>
      <protection hidden="1"/>
    </xf>
    <xf numFmtId="169" fontId="7" fillId="0" borderId="0" xfId="0" applyFont="1" applyAlignment="1">
      <alignment horizontal="center" vertical="top" wrapText="1" readingOrder="1"/>
      <protection hidden="1"/>
    </xf>
    <xf numFmtId="169" fontId="7" fillId="0" borderId="5" xfId="0" applyFont="1" applyBorder="1" applyAlignment="1">
      <alignment horizontal="center" vertical="top" wrapText="1" readingOrder="1"/>
      <protection hidden="1"/>
    </xf>
    <xf numFmtId="169" fontId="7" fillId="0" borderId="0" xfId="0" applyFont="1" applyAlignment="1">
      <alignment horizontal="right" vertical="center" wrapText="1" readingOrder="1"/>
      <protection hidden="1"/>
    </xf>
    <xf numFmtId="169" fontId="15" fillId="0" borderId="0" xfId="0" applyFont="1" applyAlignment="1">
      <alignment horizontal="left" vertical="center" wrapText="1"/>
      <protection hidden="1"/>
    </xf>
    <xf numFmtId="169" fontId="15" fillId="0" borderId="0" xfId="0" applyFont="1" applyAlignment="1">
      <alignment horizontal="justify" vertical="top" wrapText="1"/>
      <protection hidden="1"/>
    </xf>
    <xf numFmtId="169" fontId="17" fillId="0" borderId="0" xfId="0" applyFont="1" applyAlignment="1">
      <alignment horizontal="center" vertical="center" wrapText="1"/>
      <protection hidden="1"/>
    </xf>
    <xf numFmtId="169" fontId="15" fillId="0" borderId="0" xfId="0" applyFont="1" applyAlignment="1">
      <alignment horizontal="center" vertical="center" wrapText="1"/>
      <protection hidden="1"/>
    </xf>
    <xf numFmtId="10" fontId="15" fillId="0" borderId="0" xfId="0" applyNumberFormat="1" applyFont="1" applyAlignment="1">
      <alignment horizontal="center" vertical="center" wrapText="1"/>
      <protection hidden="1"/>
    </xf>
    <xf numFmtId="169" fontId="15" fillId="0" borderId="0" xfId="0" applyFont="1" applyAlignment="1">
      <alignment horizontal="right" vertical="center" wrapText="1"/>
      <protection hidden="1"/>
    </xf>
    <xf numFmtId="170" fontId="15" fillId="0" borderId="0" xfId="0" applyNumberFormat="1" applyFont="1" applyAlignment="1">
      <alignment horizontal="right" vertical="center" wrapText="1"/>
      <protection hidden="1"/>
    </xf>
    <xf numFmtId="170" fontId="15" fillId="0" borderId="0" xfId="0" applyNumberFormat="1" applyFont="1" applyAlignment="1">
      <alignment horizontal="justify" vertical="top" wrapText="1"/>
      <protection hidden="1"/>
    </xf>
    <xf numFmtId="169" fontId="16" fillId="0" borderId="0" xfId="0" applyFont="1" applyAlignment="1">
      <alignment horizontal="justify" vertical="top" wrapText="1"/>
      <protection hidden="1"/>
    </xf>
    <xf numFmtId="169" fontId="16" fillId="0" borderId="0" xfId="0" applyFont="1" applyAlignment="1">
      <alignment wrapText="1"/>
      <protection hidden="1"/>
    </xf>
    <xf numFmtId="2" fontId="7" fillId="0" borderId="0" xfId="0" applyNumberFormat="1" applyFont="1" applyAlignment="1">
      <alignment vertical="center" wrapText="1"/>
      <protection hidden="1"/>
    </xf>
    <xf numFmtId="169" fontId="7" fillId="0" borderId="5" xfId="0" applyFont="1" applyBorder="1" applyAlignment="1">
      <alignment vertical="center" wrapText="1"/>
      <protection hidden="1"/>
    </xf>
    <xf numFmtId="169" fontId="7" fillId="0" borderId="0" xfId="0" applyFont="1" applyAlignment="1">
      <alignment horizontal="justify" wrapText="1"/>
      <protection hidden="1"/>
    </xf>
    <xf numFmtId="169" fontId="7" fillId="0" borderId="5" xfId="0" applyFont="1" applyBorder="1" applyAlignment="1" applyProtection="1">
      <alignment vertical="center" wrapText="1"/>
      <protection locked="0"/>
    </xf>
    <xf numFmtId="169" fontId="7" fillId="2" borderId="2" xfId="0" applyFont="1" applyFill="1" applyBorder="1" applyAlignment="1">
      <alignment horizontal="center" vertical="center" wrapText="1"/>
      <protection hidden="1"/>
    </xf>
    <xf numFmtId="169" fontId="7" fillId="0" borderId="7" xfId="0" applyFont="1" applyBorder="1" applyAlignment="1">
      <alignment horizontal="center" vertical="center" wrapText="1"/>
      <protection hidden="1"/>
    </xf>
    <xf numFmtId="169" fontId="7" fillId="0" borderId="0" xfId="0" applyFont="1" applyAlignment="1">
      <alignment horizontal="center" vertical="center" wrapText="1"/>
      <protection hidden="1"/>
    </xf>
    <xf numFmtId="169" fontId="18" fillId="0" borderId="0" xfId="0" applyFont="1" applyAlignment="1">
      <alignment horizontal="center" vertical="center" wrapText="1"/>
      <protection hidden="1"/>
    </xf>
    <xf numFmtId="169" fontId="7" fillId="0" borderId="5" xfId="0" applyFont="1" applyBorder="1" applyAlignment="1">
      <alignment horizontal="center" vertical="center" wrapText="1"/>
      <protection hidden="1"/>
    </xf>
    <xf numFmtId="169" fontId="7" fillId="0" borderId="8" xfId="0" applyFont="1" applyBorder="1" applyAlignment="1" applyProtection="1">
      <alignment vertical="center" wrapText="1"/>
      <protection locked="0"/>
    </xf>
    <xf numFmtId="169" fontId="19" fillId="0" borderId="5" xfId="0" applyFont="1" applyBorder="1" applyAlignment="1">
      <alignment vertical="center" wrapText="1"/>
      <protection hidden="1"/>
    </xf>
    <xf numFmtId="169" fontId="7" fillId="2" borderId="8" xfId="0" applyFont="1" applyFill="1" applyBorder="1" applyAlignment="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lignment vertical="center" wrapText="1"/>
      <protection hidden="1"/>
    </xf>
    <xf numFmtId="43" fontId="7" fillId="0" borderId="0" xfId="1" applyFont="1" applyAlignment="1" applyProtection="1">
      <alignment vertical="center" wrapText="1"/>
      <protection hidden="1"/>
    </xf>
    <xf numFmtId="169" fontId="7" fillId="2" borderId="2" xfId="0" applyFont="1" applyFill="1" applyBorder="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4" fontId="7" fillId="0" borderId="1" xfId="2" applyNumberFormat="1" applyFont="1" applyFill="1" applyBorder="1" applyAlignment="1" applyProtection="1">
      <alignment horizontal="right" vertical="center" wrapText="1" readingOrder="1"/>
      <protection hidden="1"/>
    </xf>
    <xf numFmtId="10" fontId="7" fillId="0" borderId="0" xfId="2" applyNumberFormat="1" applyFont="1" applyBorder="1" applyAlignment="1" applyProtection="1">
      <alignment horizontal="right" vertical="center" wrapText="1"/>
      <protection hidden="1"/>
    </xf>
    <xf numFmtId="165" fontId="15" fillId="0" borderId="0" xfId="1" applyNumberFormat="1" applyFont="1" applyBorder="1" applyAlignment="1" applyProtection="1">
      <alignment horizontal="right" vertical="center" wrapText="1"/>
      <protection hidden="1"/>
    </xf>
    <xf numFmtId="10" fontId="15" fillId="0" borderId="0" xfId="0" applyNumberFormat="1" applyFont="1" applyAlignment="1">
      <alignment vertical="center" wrapText="1"/>
      <protection hidden="1"/>
    </xf>
    <xf numFmtId="4" fontId="15" fillId="0" borderId="0" xfId="0" applyNumberFormat="1" applyFont="1" applyAlignment="1">
      <alignment vertical="center" wrapText="1"/>
      <protection hidden="1"/>
    </xf>
    <xf numFmtId="169" fontId="7" fillId="0" borderId="7" xfId="0" applyFont="1" applyBorder="1" applyAlignment="1">
      <alignment horizontal="center" vertical="top" wrapText="1" readingOrder="1"/>
      <protection hidden="1"/>
    </xf>
    <xf numFmtId="169" fontId="19" fillId="0" borderId="0" xfId="0" applyFont="1" applyAlignment="1">
      <alignment vertical="center" wrapText="1"/>
      <protection hidden="1"/>
    </xf>
    <xf numFmtId="169" fontId="22" fillId="0" borderId="0" xfId="0" applyFont="1" applyAlignment="1">
      <alignment vertical="center" wrapText="1"/>
      <protection hidden="1"/>
    </xf>
    <xf numFmtId="169" fontId="19" fillId="0" borderId="0" xfId="0" applyFont="1">
      <alignment vertical="center"/>
      <protection hidden="1"/>
    </xf>
    <xf numFmtId="169" fontId="19" fillId="0" borderId="0" xfId="0" applyFont="1" applyAlignment="1">
      <alignment wrapText="1"/>
      <protection hidden="1"/>
    </xf>
    <xf numFmtId="169" fontId="19" fillId="0" borderId="0" xfId="0" applyFont="1" applyAlignment="1">
      <alignment horizontal="justify" wrapText="1"/>
      <protection hidden="1"/>
    </xf>
    <xf numFmtId="169" fontId="21" fillId="0" borderId="2" xfId="0" applyFont="1" applyBorder="1" applyAlignment="1">
      <alignment wrapText="1"/>
      <protection hidden="1"/>
    </xf>
    <xf numFmtId="169" fontId="19" fillId="0" borderId="2" xfId="0" applyFont="1" applyBorder="1" applyAlignment="1">
      <alignment vertical="center" wrapText="1"/>
      <protection hidden="1"/>
    </xf>
    <xf numFmtId="10" fontId="22" fillId="0" borderId="0" xfId="2" applyNumberFormat="1" applyFont="1" applyAlignment="1" applyProtection="1">
      <alignment vertical="center" wrapText="1"/>
      <protection hidden="1"/>
    </xf>
    <xf numFmtId="176" fontId="22" fillId="0" borderId="0" xfId="2" applyNumberFormat="1" applyFont="1" applyAlignment="1" applyProtection="1">
      <alignment vertical="center" wrapText="1"/>
      <protection hidden="1"/>
    </xf>
    <xf numFmtId="169" fontId="19" fillId="0" borderId="0" xfId="0" applyFont="1" applyAlignment="1">
      <alignment horizontal="distributed" wrapText="1"/>
      <protection hidden="1"/>
    </xf>
    <xf numFmtId="171" fontId="15" fillId="0" borderId="0" xfId="0" applyNumberFormat="1" applyFont="1" applyAlignment="1">
      <alignment vertical="center" wrapText="1"/>
      <protection hidden="1"/>
    </xf>
    <xf numFmtId="171" fontId="19" fillId="0" borderId="2" xfId="0" applyNumberFormat="1" applyFont="1" applyBorder="1" applyAlignment="1" applyProtection="1">
      <alignment horizontal="center" vertical="center" wrapText="1"/>
      <protection locked="0"/>
    </xf>
    <xf numFmtId="169" fontId="7" fillId="0" borderId="0" xfId="0" applyFont="1" applyAlignment="1">
      <alignment horizontal="left" vertical="center" wrapText="1"/>
      <protection hidden="1"/>
    </xf>
    <xf numFmtId="171" fontId="22" fillId="0" borderId="0" xfId="0" applyNumberFormat="1" applyFont="1" applyAlignment="1">
      <alignment vertical="center" wrapText="1"/>
      <protection hidden="1"/>
    </xf>
    <xf numFmtId="9" fontId="22" fillId="0" borderId="0" xfId="2" applyFont="1" applyAlignment="1" applyProtection="1">
      <alignment vertical="center" wrapText="1"/>
      <protection hidden="1"/>
    </xf>
    <xf numFmtId="2" fontId="7" fillId="0" borderId="5" xfId="0" applyNumberFormat="1" applyFont="1" applyBorder="1" applyAlignment="1">
      <alignment vertical="center" wrapText="1"/>
      <protection hidden="1"/>
    </xf>
    <xf numFmtId="169" fontId="25" fillId="0" borderId="0" xfId="0" applyFont="1" applyAlignment="1">
      <alignment horizontal="center" vertical="center"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69" fontId="15" fillId="15" borderId="0" xfId="10">
      <alignment vertical="center"/>
      <protection hidden="1"/>
    </xf>
    <xf numFmtId="2" fontId="7" fillId="0" borderId="5" xfId="0" applyNumberFormat="1" applyFont="1" applyBorder="1" applyAlignment="1">
      <alignment horizontal="right" vertical="top" wrapText="1" readingOrder="1"/>
      <protection hidden="1"/>
    </xf>
    <xf numFmtId="4" fontId="7" fillId="0" borderId="2" xfId="0" applyNumberFormat="1" applyFont="1" applyBorder="1" applyAlignment="1">
      <alignment horizontal="right" vertical="center" wrapText="1" readingOrder="1"/>
      <protection hidden="1"/>
    </xf>
    <xf numFmtId="169" fontId="7" fillId="0" borderId="2" xfId="0" applyFont="1" applyBorder="1" applyAlignment="1">
      <alignment horizontal="left" vertical="center" wrapText="1" readingOrder="1"/>
      <protection hidden="1"/>
    </xf>
    <xf numFmtId="2" fontId="7" fillId="0" borderId="2" xfId="0" applyNumberFormat="1" applyFont="1" applyBorder="1" applyAlignment="1">
      <alignment horizontal="right" vertical="center" wrapText="1" readingOrder="1"/>
      <protection hidden="1"/>
    </xf>
    <xf numFmtId="169" fontId="19" fillId="0" borderId="0" xfId="0" applyFont="1" applyAlignment="1">
      <alignment horizontal="center" vertical="center" wrapText="1"/>
      <protection hidden="1"/>
    </xf>
    <xf numFmtId="169" fontId="19" fillId="0" borderId="3" xfId="0" applyFont="1" applyBorder="1" applyAlignment="1" applyProtection="1">
      <alignment horizontal="center" wrapText="1"/>
      <protection locked="0"/>
    </xf>
    <xf numFmtId="171" fontId="7" fillId="0" borderId="5" xfId="0" applyNumberFormat="1" applyFont="1" applyBorder="1" applyAlignment="1">
      <alignment horizontal="center" vertical="center" wrapText="1"/>
      <protection hidden="1"/>
    </xf>
    <xf numFmtId="169" fontId="7" fillId="0" borderId="5" xfId="0" applyFont="1" applyBorder="1" applyAlignment="1" applyProtection="1">
      <alignment vertical="center" wrapText="1"/>
      <protection locked="0"/>
    </xf>
    <xf numFmtId="2" fontId="19" fillId="0" borderId="3" xfId="0" applyNumberFormat="1" applyFont="1" applyBorder="1" applyAlignment="1">
      <alignment horizontal="right" wrapText="1"/>
      <protection hidden="1"/>
    </xf>
    <xf numFmtId="175" fontId="19" fillId="0" borderId="3" xfId="2" applyNumberFormat="1" applyFont="1" applyBorder="1" applyAlignment="1" applyProtection="1">
      <alignment horizontal="right" wrapText="1"/>
      <protection hidden="1"/>
    </xf>
    <xf numFmtId="169" fontId="19" fillId="0" borderId="0" xfId="0" applyFont="1" applyAlignment="1">
      <alignment horizontal="justify" vertical="center" wrapText="1"/>
      <protection hidden="1"/>
    </xf>
    <xf numFmtId="169" fontId="21" fillId="0" borderId="0" xfId="0" applyFont="1" applyAlignment="1">
      <alignment vertical="center" wrapText="1"/>
      <protection hidden="1"/>
    </xf>
    <xf numFmtId="169" fontId="19" fillId="0" borderId="0" xfId="0" applyFont="1" applyAlignment="1">
      <alignment vertical="center" wrapText="1"/>
      <protection hidden="1"/>
    </xf>
    <xf numFmtId="169" fontId="19" fillId="0" borderId="2" xfId="0" applyFont="1" applyBorder="1" applyAlignment="1">
      <alignment vertical="center" wrapText="1"/>
      <protection hidden="1"/>
    </xf>
    <xf numFmtId="171" fontId="19" fillId="0" borderId="2" xfId="0" applyNumberFormat="1" applyFont="1" applyBorder="1" applyAlignment="1" applyProtection="1">
      <alignment vertical="center" wrapText="1"/>
      <protection locked="0"/>
    </xf>
    <xf numFmtId="169" fontId="7" fillId="0" borderId="0" xfId="0" applyFont="1" applyAlignment="1">
      <alignment horizontal="justify" vertical="center" wrapText="1"/>
      <protection hidden="1"/>
    </xf>
    <xf numFmtId="10" fontId="19" fillId="0" borderId="3" xfId="2" applyNumberFormat="1" applyFont="1" applyBorder="1" applyAlignment="1" applyProtection="1">
      <alignment horizontal="right" vertical="top" wrapText="1"/>
      <protection hidden="1"/>
    </xf>
    <xf numFmtId="169" fontId="19" fillId="0" borderId="5" xfId="0" applyFont="1" applyBorder="1" applyAlignment="1">
      <alignment vertical="center" wrapText="1"/>
      <protection hidden="1"/>
    </xf>
    <xf numFmtId="10" fontId="19" fillId="0" borderId="5" xfId="2" applyNumberFormat="1" applyFont="1" applyFill="1" applyBorder="1" applyAlignment="1" applyProtection="1">
      <alignment vertical="center" wrapText="1"/>
      <protection hidden="1"/>
    </xf>
    <xf numFmtId="169" fontId="21" fillId="0" borderId="2" xfId="0" applyFont="1" applyBorder="1" applyAlignment="1">
      <alignment vertical="center" wrapText="1"/>
      <protection hidden="1"/>
    </xf>
    <xf numFmtId="169" fontId="21" fillId="0" borderId="2" xfId="0" applyFont="1" applyBorder="1" applyAlignment="1">
      <alignment horizontal="right" vertical="center" wrapText="1"/>
      <protection hidden="1"/>
    </xf>
    <xf numFmtId="169" fontId="19" fillId="0" borderId="0" xfId="0" applyFont="1" applyAlignment="1">
      <alignment horizontal="justify" wrapText="1"/>
      <protection hidden="1"/>
    </xf>
    <xf numFmtId="169" fontId="19" fillId="0" borderId="3" xfId="0" applyFont="1" applyBorder="1" applyAlignment="1">
      <alignment wrapText="1"/>
      <protection hidden="1"/>
    </xf>
    <xf numFmtId="176" fontId="19" fillId="0" borderId="3" xfId="2" applyNumberFormat="1" applyFont="1" applyBorder="1" applyAlignment="1" applyProtection="1">
      <alignment horizontal="right" wrapText="1"/>
      <protection hidden="1"/>
    </xf>
    <xf numFmtId="169" fontId="19" fillId="0" borderId="2" xfId="0" applyFont="1" applyBorder="1" applyAlignment="1">
      <alignment horizontal="right" vertical="center" wrapText="1"/>
      <protection hidden="1"/>
    </xf>
    <xf numFmtId="171" fontId="19" fillId="7" borderId="4" xfId="0" applyNumberFormat="1" applyFont="1" applyFill="1" applyBorder="1" applyAlignment="1">
      <alignment horizontal="center" vertical="top" wrapText="1"/>
      <protection hidden="1"/>
    </xf>
    <xf numFmtId="171" fontId="19" fillId="7" borderId="6" xfId="0" applyNumberFormat="1" applyFont="1" applyFill="1" applyBorder="1" applyAlignment="1">
      <alignment horizontal="center" vertical="top" wrapText="1"/>
      <protection hidden="1"/>
    </xf>
    <xf numFmtId="169" fontId="21" fillId="7" borderId="3" xfId="0" applyFont="1" applyFill="1" applyBorder="1" applyAlignment="1">
      <alignment horizontal="center" vertical="center" wrapText="1"/>
      <protection hidden="1"/>
    </xf>
    <xf numFmtId="171" fontId="19" fillId="7" borderId="20" xfId="0" applyNumberFormat="1" applyFont="1" applyFill="1" applyBorder="1" applyAlignment="1">
      <alignment horizontal="center" vertical="top" wrapText="1"/>
      <protection hidden="1"/>
    </xf>
    <xf numFmtId="171" fontId="19" fillId="7" borderId="21" xfId="0" applyNumberFormat="1" applyFont="1" applyFill="1" applyBorder="1" applyAlignment="1">
      <alignment horizontal="center" vertical="top" wrapText="1"/>
      <protection hidden="1"/>
    </xf>
    <xf numFmtId="171" fontId="19" fillId="7" borderId="22" xfId="0" applyNumberFormat="1" applyFont="1" applyFill="1" applyBorder="1" applyAlignment="1">
      <alignment horizontal="center" vertical="top" wrapText="1"/>
      <protection hidden="1"/>
    </xf>
    <xf numFmtId="171" fontId="19" fillId="7" borderId="23" xfId="0" applyNumberFormat="1" applyFont="1" applyFill="1" applyBorder="1" applyAlignment="1">
      <alignment horizontal="center" vertical="top" wrapText="1"/>
      <protection hidden="1"/>
    </xf>
    <xf numFmtId="169" fontId="23" fillId="0" borderId="2" xfId="0" applyFont="1" applyBorder="1" applyAlignment="1">
      <alignment vertical="center" wrapText="1"/>
      <protection hidden="1"/>
    </xf>
    <xf numFmtId="170" fontId="19" fillId="0" borderId="2" xfId="0" applyNumberFormat="1" applyFont="1" applyBorder="1" applyAlignment="1">
      <alignment vertical="center" wrapText="1"/>
      <protection hidden="1"/>
    </xf>
    <xf numFmtId="169" fontId="19" fillId="0" borderId="2" xfId="0" applyFont="1" applyBorder="1" applyAlignment="1">
      <alignment horizontal="justify" vertical="center" wrapText="1"/>
      <protection hidden="1"/>
    </xf>
    <xf numFmtId="169" fontId="21" fillId="7" borderId="4" xfId="0" applyFont="1" applyFill="1" applyBorder="1" applyAlignment="1">
      <alignment horizontal="center" vertical="center" wrapText="1"/>
      <protection hidden="1"/>
    </xf>
    <xf numFmtId="169" fontId="21" fillId="7" borderId="5" xfId="0" applyFont="1" applyFill="1" applyBorder="1" applyAlignment="1">
      <alignment horizontal="center" vertical="center" wrapText="1"/>
      <protection hidden="1"/>
    </xf>
    <xf numFmtId="169" fontId="21" fillId="7" borderId="6" xfId="0" applyFont="1" applyFill="1" applyBorder="1" applyAlignment="1">
      <alignment horizontal="center" vertical="center" wrapText="1"/>
      <protection hidden="1"/>
    </xf>
    <xf numFmtId="169" fontId="19" fillId="0" borderId="4" xfId="0" applyFont="1" applyBorder="1" applyAlignment="1">
      <alignment vertical="top" wrapText="1"/>
      <protection hidden="1"/>
    </xf>
    <xf numFmtId="169" fontId="19" fillId="0" borderId="5" xfId="0" applyFont="1" applyBorder="1" applyAlignment="1">
      <alignment vertical="top" wrapText="1"/>
      <protection hidden="1"/>
    </xf>
    <xf numFmtId="169" fontId="19" fillId="0" borderId="6" xfId="0" applyFont="1" applyBorder="1" applyAlignment="1">
      <alignment vertical="top" wrapText="1"/>
      <protection hidden="1"/>
    </xf>
    <xf numFmtId="169" fontId="6" fillId="3" borderId="2" xfId="0" applyFont="1" applyFill="1" applyBorder="1" applyAlignment="1">
      <alignment vertical="center" wrapText="1"/>
      <protection hidden="1"/>
    </xf>
    <xf numFmtId="169" fontId="7" fillId="2" borderId="2" xfId="0" applyFont="1" applyFill="1" applyBorder="1" applyAlignment="1">
      <alignment horizontal="center" vertical="center" wrapText="1"/>
      <protection hidden="1"/>
    </xf>
    <xf numFmtId="169" fontId="7" fillId="0" borderId="2" xfId="0" applyFont="1" applyBorder="1" applyAlignment="1">
      <alignment vertical="center" wrapText="1"/>
      <protection hidden="1"/>
    </xf>
    <xf numFmtId="169" fontId="7" fillId="0" borderId="5" xfId="0" applyFont="1" applyBorder="1" applyAlignment="1">
      <alignment vertical="center" wrapText="1"/>
      <protection hidden="1"/>
    </xf>
    <xf numFmtId="4" fontId="7" fillId="0" borderId="5" xfId="0" applyNumberFormat="1" applyFont="1" applyBorder="1" applyAlignment="1" applyProtection="1">
      <alignment horizontal="right" vertical="top" wrapText="1" readingOrder="1"/>
      <protection locked="0"/>
    </xf>
    <xf numFmtId="9" fontId="7" fillId="0" borderId="5" xfId="2" applyFont="1" applyBorder="1" applyAlignment="1" applyProtection="1">
      <alignment horizontal="right" vertical="top" wrapText="1" readingOrder="1"/>
      <protection hidden="1"/>
    </xf>
    <xf numFmtId="169" fontId="7" fillId="0" borderId="0" xfId="0" applyFont="1" applyAlignment="1">
      <alignment horizontal="justify" vertical="center" wrapText="1" readingOrder="1"/>
      <protection hidden="1"/>
    </xf>
    <xf numFmtId="169" fontId="7" fillId="0" borderId="5" xfId="0" applyFont="1" applyBorder="1" applyAlignment="1">
      <alignment horizontal="right" vertical="center" wrapText="1"/>
      <protection hidden="1"/>
    </xf>
    <xf numFmtId="169" fontId="7" fillId="2" borderId="2" xfId="0" applyFont="1" applyFill="1" applyBorder="1" applyAlignment="1">
      <alignment horizontal="center" vertical="center" wrapText="1" readingOrder="1"/>
      <protection hidden="1"/>
    </xf>
    <xf numFmtId="169" fontId="7" fillId="0" borderId="5" xfId="0" applyFont="1" applyBorder="1" applyAlignment="1">
      <alignment vertical="top" wrapText="1" readingOrder="1"/>
      <protection hidden="1"/>
    </xf>
    <xf numFmtId="169" fontId="7" fillId="0" borderId="5" xfId="0" applyFont="1" applyBorder="1" applyAlignment="1">
      <alignment horizontal="center" vertical="center" wrapText="1"/>
      <protection hidden="1"/>
    </xf>
    <xf numFmtId="169" fontId="7" fillId="0" borderId="0" xfId="0" applyFont="1" applyAlignment="1" applyProtection="1">
      <alignment vertical="center" wrapText="1"/>
      <protection locked="0"/>
    </xf>
    <xf numFmtId="171" fontId="7" fillId="0" borderId="7" xfId="0" applyNumberFormat="1" applyFont="1" applyBorder="1" applyAlignment="1">
      <alignment horizontal="center" vertical="center" wrapText="1"/>
      <protection hidden="1"/>
    </xf>
    <xf numFmtId="169" fontId="7" fillId="0" borderId="0" xfId="0" applyFont="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hidden="1"/>
    </xf>
    <xf numFmtId="169" fontId="7" fillId="2" borderId="0" xfId="0" applyFont="1" applyFill="1" applyAlignment="1">
      <alignment horizontal="center" vertical="center" wrapText="1"/>
      <protection hidden="1"/>
    </xf>
    <xf numFmtId="169" fontId="7" fillId="0" borderId="8" xfId="0" applyFont="1" applyBorder="1" applyAlignment="1">
      <alignment vertical="center" wrapText="1"/>
      <protection hidden="1"/>
    </xf>
    <xf numFmtId="10" fontId="7" fillId="0" borderId="2" xfId="2" applyNumberFormat="1" applyFont="1" applyBorder="1" applyAlignment="1" applyProtection="1">
      <alignment vertical="center" wrapText="1"/>
      <protection hidden="1"/>
    </xf>
    <xf numFmtId="169" fontId="19" fillId="2" borderId="2" xfId="0" applyFont="1" applyFill="1" applyBorder="1" applyAlignment="1">
      <alignment horizontal="center" vertical="center" wrapText="1"/>
      <protection hidden="1"/>
    </xf>
    <xf numFmtId="175" fontId="19" fillId="0" borderId="5" xfId="0" applyNumberFormat="1" applyFont="1" applyBorder="1" applyAlignment="1">
      <alignment vertical="center" wrapText="1"/>
      <protection hidden="1"/>
    </xf>
    <xf numFmtId="169" fontId="19" fillId="0" borderId="2" xfId="0" applyFont="1" applyBorder="1" applyAlignment="1">
      <alignment horizontal="justify" wrapText="1"/>
      <protection hidden="1"/>
    </xf>
    <xf numFmtId="175" fontId="19" fillId="0" borderId="2" xfId="0" applyNumberFormat="1" applyFont="1" applyBorder="1" applyAlignment="1">
      <alignment wrapText="1"/>
      <protection hidden="1"/>
    </xf>
    <xf numFmtId="10" fontId="19" fillId="0" borderId="2" xfId="2" applyNumberFormat="1" applyFont="1" applyBorder="1" applyAlignment="1" applyProtection="1">
      <alignment horizontal="right" wrapText="1" indent="1"/>
      <protection hidden="1"/>
    </xf>
    <xf numFmtId="169" fontId="21" fillId="0" borderId="2" xfId="0" applyFont="1" applyBorder="1" applyAlignment="1">
      <alignment wrapText="1"/>
      <protection hidden="1"/>
    </xf>
    <xf numFmtId="169" fontId="19" fillId="0" borderId="2" xfId="0" applyFont="1" applyBorder="1" applyAlignment="1">
      <alignment horizontal="center" vertical="center" wrapText="1"/>
      <protection hidden="1"/>
    </xf>
    <xf numFmtId="10" fontId="19" fillId="0" borderId="2" xfId="2" applyNumberFormat="1" applyFont="1" applyBorder="1" applyAlignment="1" applyProtection="1">
      <alignment vertical="center" wrapText="1"/>
      <protection hidden="1"/>
    </xf>
    <xf numFmtId="175" fontId="19" fillId="0" borderId="2" xfId="0" applyNumberFormat="1" applyFont="1" applyBorder="1" applyAlignment="1">
      <alignment vertical="center" wrapText="1"/>
      <protection hidden="1"/>
    </xf>
    <xf numFmtId="175" fontId="19" fillId="0" borderId="5" xfId="0" applyNumberFormat="1" applyFont="1" applyBorder="1" applyAlignment="1">
      <alignment horizontal="right" vertical="center" wrapText="1"/>
      <protection hidden="1"/>
    </xf>
    <xf numFmtId="169" fontId="19" fillId="0" borderId="5" xfId="0" applyFont="1" applyBorder="1" applyAlignment="1">
      <alignment horizontal="right" vertical="center" wrapText="1"/>
      <protection hidden="1"/>
    </xf>
    <xf numFmtId="2" fontId="19" fillId="0" borderId="2" xfId="0" applyNumberFormat="1" applyFont="1" applyBorder="1" applyAlignment="1">
      <alignment vertical="center" wrapText="1"/>
      <protection hidden="1"/>
    </xf>
    <xf numFmtId="169" fontId="19" fillId="0" borderId="2" xfId="0" applyFont="1" applyBorder="1" applyAlignment="1" applyProtection="1">
      <alignment vertical="center" wrapText="1"/>
      <protection locked="0"/>
    </xf>
    <xf numFmtId="171" fontId="19" fillId="7" borderId="3" xfId="0" applyNumberFormat="1" applyFont="1" applyFill="1" applyBorder="1" applyAlignment="1">
      <alignment horizontal="center" vertical="center" wrapText="1"/>
      <protection hidden="1"/>
    </xf>
    <xf numFmtId="169" fontId="19" fillId="0" borderId="20" xfId="0" applyFont="1" applyBorder="1" applyAlignment="1">
      <alignment vertical="top" wrapText="1"/>
      <protection hidden="1"/>
    </xf>
    <xf numFmtId="169" fontId="19" fillId="0" borderId="7" xfId="0" applyFont="1" applyBorder="1" applyAlignment="1">
      <alignment vertical="top" wrapText="1"/>
      <protection hidden="1"/>
    </xf>
    <xf numFmtId="169" fontId="19" fillId="0" borderId="21" xfId="0" applyFont="1" applyBorder="1" applyAlignment="1">
      <alignment vertical="top" wrapText="1"/>
      <protection hidden="1"/>
    </xf>
    <xf numFmtId="169" fontId="19" fillId="0" borderId="22" xfId="0" applyFont="1" applyBorder="1" applyAlignment="1">
      <alignment vertical="top" wrapText="1"/>
      <protection hidden="1"/>
    </xf>
    <xf numFmtId="169" fontId="19" fillId="0" borderId="2" xfId="0" applyFont="1" applyBorder="1" applyAlignment="1">
      <alignment vertical="top" wrapText="1"/>
      <protection hidden="1"/>
    </xf>
    <xf numFmtId="169" fontId="19" fillId="0" borderId="23" xfId="0" applyFont="1" applyBorder="1" applyAlignment="1">
      <alignment vertical="top" wrapText="1"/>
      <protection hidden="1"/>
    </xf>
    <xf numFmtId="169" fontId="7" fillId="0" borderId="2" xfId="0" applyFont="1" applyBorder="1" applyAlignment="1">
      <alignment horizontal="right" vertical="center" wrapText="1"/>
      <protection hidden="1"/>
    </xf>
    <xf numFmtId="168" fontId="7" fillId="0" borderId="5" xfId="0" applyNumberFormat="1" applyFont="1" applyBorder="1" applyAlignment="1" applyProtection="1">
      <alignment vertical="center" wrapText="1"/>
      <protection locked="0"/>
    </xf>
    <xf numFmtId="4" fontId="7" fillId="0" borderId="7" xfId="0" applyNumberFormat="1" applyFont="1" applyBorder="1" applyAlignment="1" applyProtection="1">
      <alignment horizontal="right" vertical="top" wrapText="1" readingOrder="1"/>
      <protection locked="0"/>
    </xf>
    <xf numFmtId="9" fontId="7" fillId="0" borderId="7" xfId="2" applyFont="1" applyBorder="1" applyAlignment="1" applyProtection="1">
      <alignment horizontal="right" vertical="top" wrapText="1" readingOrder="1"/>
      <protection hidden="1"/>
    </xf>
    <xf numFmtId="4" fontId="7" fillId="0" borderId="7" xfId="0" applyNumberFormat="1" applyFont="1" applyBorder="1" applyAlignment="1">
      <alignment horizontal="right" vertical="top" wrapText="1" readingOrder="1"/>
      <protection hidden="1"/>
    </xf>
    <xf numFmtId="2" fontId="7" fillId="0" borderId="7" xfId="0" applyNumberFormat="1" applyFont="1" applyBorder="1" applyAlignment="1">
      <alignment horizontal="right" vertical="top" wrapText="1" readingOrder="1"/>
      <protection hidden="1"/>
    </xf>
    <xf numFmtId="169" fontId="7" fillId="0" borderId="2" xfId="0" applyFont="1" applyBorder="1" applyAlignment="1" applyProtection="1">
      <alignment horizontal="right" vertical="center" wrapText="1"/>
      <protection locked="0"/>
    </xf>
    <xf numFmtId="169" fontId="6" fillId="0" borderId="3" xfId="0" applyFont="1" applyBorder="1" applyAlignment="1">
      <alignment horizontal="center" vertical="center" wrapText="1"/>
      <protection hidden="1"/>
    </xf>
    <xf numFmtId="171" fontId="7" fillId="0" borderId="2" xfId="0" applyNumberFormat="1" applyFont="1" applyBorder="1" applyAlignment="1">
      <alignment vertical="center" wrapText="1"/>
      <protection hidden="1"/>
    </xf>
    <xf numFmtId="169" fontId="7" fillId="0" borderId="5" xfId="0" applyFont="1" applyBorder="1" applyAlignment="1" applyProtection="1">
      <alignment horizontal="left" vertical="center" wrapText="1"/>
      <protection locked="0"/>
    </xf>
    <xf numFmtId="169" fontId="21" fillId="0" borderId="2" xfId="0" applyFont="1" applyBorder="1" applyAlignment="1">
      <alignment horizontal="left" vertical="center" wrapText="1"/>
      <protection hidden="1"/>
    </xf>
    <xf numFmtId="169" fontId="7" fillId="0" borderId="2" xfId="0" applyFont="1" applyBorder="1" applyAlignment="1" applyProtection="1">
      <alignment vertical="center" wrapText="1"/>
      <protection locked="0"/>
    </xf>
    <xf numFmtId="169" fontId="7" fillId="0" borderId="2" xfId="0" applyFont="1" applyBorder="1" applyAlignment="1" applyProtection="1">
      <alignment horizontal="left" vertical="center" wrapText="1"/>
      <protection locked="0"/>
    </xf>
    <xf numFmtId="171" fontId="7" fillId="0" borderId="0" xfId="0" applyNumberFormat="1" applyFont="1" applyAlignment="1" applyProtection="1">
      <alignment horizontal="right" vertical="center" wrapText="1"/>
      <protection locked="0"/>
    </xf>
    <xf numFmtId="169" fontId="6" fillId="0" borderId="2" xfId="0" applyFont="1" applyBorder="1" applyAlignment="1">
      <alignment vertical="center" wrapText="1"/>
      <protection hidden="1"/>
    </xf>
    <xf numFmtId="171" fontId="7" fillId="0" borderId="5" xfId="0" applyNumberFormat="1" applyFont="1" applyBorder="1" applyAlignment="1" applyProtection="1">
      <alignment horizontal="right" vertical="center" wrapText="1"/>
      <protection locked="0"/>
    </xf>
    <xf numFmtId="10" fontId="7" fillId="0" borderId="5" xfId="2" applyNumberFormat="1" applyFont="1" applyBorder="1" applyAlignment="1" applyProtection="1">
      <alignment vertical="center" wrapText="1"/>
      <protection hidden="1"/>
    </xf>
    <xf numFmtId="169" fontId="7" fillId="0" borderId="3" xfId="0" applyFont="1" applyBorder="1" applyAlignment="1">
      <alignment horizontal="center" vertical="center" wrapText="1"/>
      <protection hidden="1"/>
    </xf>
    <xf numFmtId="4" fontId="7" fillId="0" borderId="0" xfId="2" applyNumberFormat="1" applyFont="1" applyFill="1" applyAlignment="1" applyProtection="1">
      <alignment horizontal="right" vertical="center" wrapText="1" readingOrder="1"/>
      <protection hidden="1"/>
    </xf>
    <xf numFmtId="169" fontId="7" fillId="0" borderId="0" xfId="0" applyFont="1" applyAlignment="1">
      <alignment horizontal="justify" wrapText="1"/>
      <protection hidden="1"/>
    </xf>
    <xf numFmtId="1" fontId="7" fillId="0" borderId="2" xfId="1" applyNumberFormat="1" applyFont="1" applyBorder="1" applyAlignment="1" applyProtection="1">
      <alignment vertical="center" wrapText="1"/>
      <protection locked="0"/>
    </xf>
    <xf numFmtId="169" fontId="15" fillId="0" borderId="0" xfId="0" applyFont="1" applyAlignment="1">
      <alignment vertical="center" wrapText="1"/>
      <protection hidden="1"/>
    </xf>
    <xf numFmtId="9" fontId="7" fillId="0" borderId="3" xfId="2" applyFont="1" applyFill="1" applyBorder="1" applyAlignment="1" applyProtection="1">
      <alignment horizontal="center" vertical="center" wrapText="1"/>
      <protection hidden="1"/>
    </xf>
    <xf numFmtId="169" fontId="24" fillId="2" borderId="0" xfId="0" applyFont="1" applyFill="1" applyAlignment="1">
      <alignment horizontal="center" vertical="center" wrapText="1"/>
      <protection hidden="1"/>
    </xf>
    <xf numFmtId="166" fontId="7" fillId="0" borderId="5" xfId="0" applyNumberFormat="1" applyFont="1" applyBorder="1" applyAlignment="1">
      <alignment horizontal="right" vertical="center" wrapText="1"/>
      <protection hidden="1"/>
    </xf>
    <xf numFmtId="169" fontId="7" fillId="0" borderId="0" xfId="0" applyFont="1" applyAlignment="1">
      <alignment horizontal="right" vertical="center" wrapText="1"/>
      <protection hidden="1"/>
    </xf>
    <xf numFmtId="169" fontId="6" fillId="3" borderId="0" xfId="0" applyFont="1" applyFill="1" applyAlignment="1">
      <alignment horizontal="center" vertical="center" wrapText="1"/>
      <protection hidden="1"/>
    </xf>
    <xf numFmtId="10" fontId="7" fillId="0" borderId="0" xfId="0" applyNumberFormat="1" applyFont="1" applyAlignment="1">
      <alignment vertical="center" wrapText="1"/>
      <protection hidden="1"/>
    </xf>
    <xf numFmtId="169" fontId="6" fillId="0" borderId="0" xfId="0" applyFont="1" applyAlignment="1">
      <alignment horizontal="center" vertical="center" wrapText="1"/>
      <protection hidden="1"/>
    </xf>
    <xf numFmtId="169" fontId="7" fillId="0" borderId="0" xfId="0" applyFont="1" applyAlignment="1">
      <alignment horizontal="center" vertical="center" wrapText="1"/>
      <protection hidden="1"/>
    </xf>
    <xf numFmtId="10" fontId="7" fillId="0" borderId="2" xfId="0" applyNumberFormat="1" applyFont="1" applyBorder="1" applyAlignment="1">
      <alignment vertical="center" wrapText="1"/>
      <protection hidden="1"/>
    </xf>
    <xf numFmtId="9" fontId="7" fillId="0" borderId="2" xfId="2" applyFont="1" applyBorder="1" applyAlignment="1" applyProtection="1">
      <alignment vertical="center" wrapText="1"/>
      <protection hidden="1"/>
    </xf>
    <xf numFmtId="165" fontId="7" fillId="0" borderId="5" xfId="1" applyNumberFormat="1" applyFont="1" applyBorder="1" applyAlignment="1" applyProtection="1">
      <alignment horizontal="right" vertical="center" wrapText="1"/>
      <protection hidden="1"/>
    </xf>
    <xf numFmtId="10" fontId="7" fillId="0" borderId="2" xfId="2" applyNumberFormat="1" applyFont="1" applyBorder="1" applyAlignment="1" applyProtection="1">
      <alignment horizontal="right" vertical="center" wrapText="1"/>
      <protection hidden="1"/>
    </xf>
    <xf numFmtId="169" fontId="6" fillId="2" borderId="0" xfId="0" applyFont="1" applyFill="1" applyAlignment="1">
      <alignment horizontal="center" vertical="center" wrapText="1"/>
      <protection hidden="1"/>
    </xf>
    <xf numFmtId="169" fontId="6" fillId="2" borderId="2" xfId="0" applyFont="1" applyFill="1" applyBorder="1" applyAlignment="1">
      <alignment horizontal="center" vertical="center" wrapText="1"/>
      <protection hidden="1"/>
    </xf>
    <xf numFmtId="169" fontId="7" fillId="0" borderId="2" xfId="0" applyFont="1" applyBorder="1" applyAlignment="1">
      <alignment horizontal="justify" vertical="center" wrapText="1"/>
      <protection hidden="1"/>
    </xf>
    <xf numFmtId="4" fontId="7" fillId="0" borderId="2" xfId="0" applyNumberFormat="1" applyFont="1" applyBorder="1" applyAlignment="1">
      <alignment horizontal="right" vertical="center" wrapText="1"/>
      <protection hidden="1"/>
    </xf>
    <xf numFmtId="169" fontId="6" fillId="0" borderId="1" xfId="0" applyFont="1" applyBorder="1" applyAlignment="1">
      <alignment horizontal="center" vertical="center" wrapText="1"/>
      <protection hidden="1"/>
    </xf>
    <xf numFmtId="169" fontId="6" fillId="3" borderId="0" xfId="0" applyFont="1" applyFill="1" applyAlignment="1">
      <alignment vertical="center" wrapText="1"/>
      <protection hidden="1"/>
    </xf>
    <xf numFmtId="169" fontId="7" fillId="0" borderId="1" xfId="0" applyFont="1" applyBorder="1" applyAlignment="1">
      <alignment horizontal="center" vertical="center" wrapText="1"/>
      <protection hidden="1"/>
    </xf>
    <xf numFmtId="169" fontId="6" fillId="2" borderId="1" xfId="0" applyFont="1" applyFill="1" applyBorder="1" applyAlignment="1">
      <alignment horizontal="center" vertical="center" wrapText="1"/>
      <protection hidden="1"/>
    </xf>
    <xf numFmtId="9" fontId="7" fillId="0" borderId="5" xfId="2" applyFont="1" applyBorder="1" applyAlignment="1" applyProtection="1">
      <alignment horizontal="right" vertical="center" wrapText="1"/>
      <protection hidden="1"/>
    </xf>
    <xf numFmtId="10" fontId="7" fillId="0" borderId="2" xfId="2" applyNumberFormat="1" applyFont="1" applyFill="1" applyBorder="1" applyAlignment="1" applyProtection="1">
      <alignment horizontal="right" vertical="center" wrapText="1"/>
      <protection hidden="1"/>
    </xf>
    <xf numFmtId="10" fontId="7" fillId="0" borderId="5" xfId="0" applyNumberFormat="1" applyFont="1" applyBorder="1" applyAlignment="1">
      <alignment vertical="center" wrapText="1"/>
      <protection hidden="1"/>
    </xf>
    <xf numFmtId="171" fontId="7" fillId="0" borderId="3" xfId="0" applyNumberFormat="1" applyFont="1" applyBorder="1" applyAlignment="1">
      <alignment horizontal="center" vertical="center" wrapText="1"/>
      <protection hidden="1"/>
    </xf>
    <xf numFmtId="1" fontId="7" fillId="0" borderId="5" xfId="1" applyNumberFormat="1" applyFont="1" applyBorder="1" applyAlignment="1" applyProtection="1">
      <alignment horizontal="right" vertical="center" wrapText="1"/>
      <protection hidden="1"/>
    </xf>
    <xf numFmtId="1" fontId="7" fillId="0" borderId="2" xfId="1" applyNumberFormat="1" applyFont="1" applyBorder="1" applyAlignment="1" applyProtection="1">
      <alignment horizontal="right" vertical="center" wrapText="1"/>
      <protection locked="0"/>
    </xf>
    <xf numFmtId="169" fontId="19" fillId="2" borderId="0" xfId="0" applyFont="1" applyFill="1" applyAlignment="1">
      <alignment horizontal="center" vertical="center" wrapText="1"/>
      <protection hidden="1"/>
    </xf>
    <xf numFmtId="169" fontId="7" fillId="0" borderId="2" xfId="0" applyFont="1" applyBorder="1" applyAlignment="1">
      <alignment horizontal="center" vertical="center" wrapText="1"/>
      <protection hidden="1"/>
    </xf>
    <xf numFmtId="169" fontId="7" fillId="0" borderId="7" xfId="0" applyFont="1" applyBorder="1" applyAlignment="1">
      <alignment vertical="center" wrapText="1"/>
      <protection hidden="1"/>
    </xf>
    <xf numFmtId="169" fontId="7" fillId="0" borderId="5" xfId="0" applyFont="1" applyBorder="1" applyAlignment="1" applyProtection="1">
      <alignment horizontal="left" vertical="center"/>
      <protection locked="0" hidden="1"/>
    </xf>
    <xf numFmtId="169" fontId="6" fillId="3" borderId="0" xfId="0" applyFont="1" applyFill="1" applyAlignment="1" applyProtection="1">
      <alignment horizontal="center" vertical="center" wrapText="1"/>
      <protection locked="0" hidden="1"/>
    </xf>
    <xf numFmtId="10" fontId="3" fillId="0" borderId="9" xfId="0" applyNumberFormat="1" applyFont="1" applyBorder="1" applyAlignment="1">
      <alignment horizontal="center" vertical="center" wrapText="1"/>
      <protection hidden="1"/>
    </xf>
    <xf numFmtId="169" fontId="3" fillId="4" borderId="9" xfId="0" applyFont="1" applyFill="1" applyBorder="1" applyAlignment="1">
      <alignment horizontal="justify" vertical="center" wrapText="1"/>
      <protection hidden="1"/>
    </xf>
    <xf numFmtId="169" fontId="17" fillId="0" borderId="0" xfId="0" applyFont="1" applyAlignment="1">
      <alignment horizontal="center" vertical="center" wrapText="1"/>
      <protection hidden="1"/>
    </xf>
    <xf numFmtId="169" fontId="17" fillId="0" borderId="0" xfId="0" applyFont="1" applyAlignment="1">
      <alignment horizontal="center" vertical="center" textRotation="90" wrapText="1"/>
      <protection hidden="1"/>
    </xf>
    <xf numFmtId="169" fontId="3" fillId="0" borderId="0" xfId="0" applyFont="1" applyAlignment="1">
      <alignment vertical="center" wrapText="1"/>
      <protection hidden="1"/>
    </xf>
    <xf numFmtId="169" fontId="3" fillId="0" borderId="0" xfId="0" applyFont="1" applyAlignment="1">
      <alignment horizontal="justify" vertical="top" wrapText="1"/>
      <protection hidden="1"/>
    </xf>
    <xf numFmtId="169" fontId="3" fillId="0" borderId="0" xfId="0" applyFont="1" applyAlignment="1">
      <alignment vertical="top"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2" fillId="4" borderId="9" xfId="0" applyFont="1" applyFill="1" applyBorder="1" applyAlignment="1">
      <alignment horizontal="center" vertical="center" wrapText="1"/>
      <protection hidden="1"/>
    </xf>
    <xf numFmtId="169" fontId="10" fillId="0" borderId="0" xfId="0" applyFont="1" applyAlignment="1">
      <alignment horizontal="justify" vertical="center" wrapText="1"/>
      <protection hidden="1"/>
    </xf>
    <xf numFmtId="169" fontId="2" fillId="5" borderId="17" xfId="0" applyFont="1" applyFill="1" applyBorder="1" applyAlignment="1">
      <alignment horizontal="center" vertical="center" wrapText="1"/>
      <protection hidden="1"/>
    </xf>
    <xf numFmtId="169" fontId="2" fillId="5" borderId="18" xfId="0" applyFont="1" applyFill="1" applyBorder="1" applyAlignment="1">
      <alignment horizontal="center" vertical="center" wrapText="1"/>
      <protection hidden="1"/>
    </xf>
    <xf numFmtId="169" fontId="2" fillId="5" borderId="19"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xf numFmtId="169" fontId="10" fillId="0" borderId="3" xfId="0" applyFont="1" applyBorder="1" applyAlignment="1">
      <alignment horizontal="center" vertical="center" wrapText="1"/>
      <protection hidden="1"/>
    </xf>
    <xf numFmtId="169" fontId="10" fillId="5" borderId="3" xfId="0" applyFont="1" applyFill="1" applyBorder="1" applyAlignment="1">
      <alignment horizontal="center" vertical="center" wrapText="1"/>
      <protection hidden="1"/>
    </xf>
    <xf numFmtId="169" fontId="3" fillId="6" borderId="3" xfId="0" applyFont="1" applyFill="1" applyBorder="1" applyAlignment="1">
      <alignment horizontal="center" vertical="center" wrapText="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0" fontId="10" fillId="0" borderId="3" xfId="0" applyNumberFormat="1" applyFont="1" applyBorder="1" applyAlignment="1">
      <alignment horizontal="right" vertical="center" wrapText="1"/>
      <protection hidden="1"/>
    </xf>
    <xf numFmtId="169" fontId="10"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10" fillId="0" borderId="16" xfId="0" applyFont="1" applyBorder="1" applyAlignment="1">
      <alignment horizontal="left" vertical="center" wrapText="1"/>
      <protection hidden="1"/>
    </xf>
    <xf numFmtId="169" fontId="10" fillId="0" borderId="16" xfId="0" applyFont="1" applyBorder="1" applyAlignment="1">
      <alignment horizontal="justify" vertical="center" wrapText="1"/>
      <protection hidden="1"/>
    </xf>
    <xf numFmtId="169" fontId="3" fillId="0" borderId="9" xfId="0" applyFont="1" applyBorder="1" applyAlignment="1">
      <alignment horizontal="center" vertical="center" wrapText="1"/>
      <protection hidden="1"/>
    </xf>
    <xf numFmtId="169" fontId="10" fillId="0" borderId="9" xfId="0" applyFont="1" applyBorder="1" applyAlignment="1">
      <alignment horizontal="left" vertical="center" wrapText="1"/>
      <protection hidden="1"/>
    </xf>
    <xf numFmtId="174" fontId="10" fillId="0" borderId="9" xfId="0" applyNumberFormat="1" applyFont="1" applyBorder="1" applyAlignment="1">
      <alignment horizontal="right" vertical="center" wrapText="1"/>
      <protection hidden="1"/>
    </xf>
    <xf numFmtId="169" fontId="10" fillId="0" borderId="9" xfId="0" applyFont="1" applyBorder="1" applyAlignment="1">
      <alignment horizontal="justify" vertical="center" wrapText="1"/>
      <protection hidden="1"/>
    </xf>
    <xf numFmtId="2" fontId="10" fillId="0" borderId="9" xfId="0" applyNumberFormat="1" applyFont="1" applyBorder="1" applyAlignment="1">
      <alignment horizontal="right" vertical="center" wrapText="1"/>
      <protection hidden="1"/>
    </xf>
    <xf numFmtId="169" fontId="3" fillId="0" borderId="0" xfId="0" applyFont="1" applyAlignment="1">
      <alignment horizontal="justify" vertical="center" wrapText="1"/>
      <protection hidden="1"/>
    </xf>
    <xf numFmtId="169" fontId="3" fillId="2" borderId="0" xfId="0" applyFont="1" applyFill="1" applyAlignment="1">
      <alignment horizontal="center" vertical="center" wrapText="1" readingOrder="1"/>
      <protection hidden="1"/>
    </xf>
    <xf numFmtId="169" fontId="3" fillId="2" borderId="10" xfId="0" applyFont="1" applyFill="1" applyBorder="1" applyAlignment="1">
      <alignment horizontal="center" vertical="center" wrapText="1" readingOrder="1"/>
      <protection hidden="1"/>
    </xf>
    <xf numFmtId="169" fontId="3" fillId="2" borderId="9" xfId="0" applyFont="1" applyFill="1" applyBorder="1" applyAlignment="1">
      <alignment horizontal="center" vertical="center" wrapText="1"/>
      <protection hidden="1"/>
    </xf>
    <xf numFmtId="169" fontId="3" fillId="5" borderId="9" xfId="0" applyFont="1" applyFill="1" applyBorder="1" applyAlignment="1">
      <alignment horizontal="center" vertical="center" wrapText="1"/>
      <protection hidden="1"/>
    </xf>
    <xf numFmtId="169" fontId="11" fillId="0" borderId="9" xfId="0" applyFont="1" applyBorder="1" applyAlignment="1">
      <alignment horizontal="left" vertical="center" wrapText="1"/>
      <protection hidden="1"/>
    </xf>
    <xf numFmtId="169" fontId="11" fillId="0" borderId="9" xfId="0" applyFont="1" applyBorder="1" applyAlignment="1">
      <alignment horizontal="right" vertical="center" wrapText="1"/>
      <protection hidden="1"/>
    </xf>
    <xf numFmtId="9" fontId="11" fillId="0" borderId="9" xfId="0" applyNumberFormat="1" applyFont="1" applyBorder="1" applyAlignment="1">
      <alignment horizontal="right" vertical="center" wrapText="1"/>
      <protection hidden="1"/>
    </xf>
    <xf numFmtId="169" fontId="3" fillId="5" borderId="9" xfId="0" applyFont="1" applyFill="1" applyBorder="1" applyAlignment="1">
      <alignment horizontal="center" vertical="center" textRotation="90" wrapText="1"/>
      <protection hidden="1"/>
    </xf>
    <xf numFmtId="169" fontId="2" fillId="2" borderId="10" xfId="0" applyFont="1" applyFill="1" applyBorder="1" applyAlignment="1">
      <alignment horizontal="center" vertical="center" wrapText="1" readingOrder="1"/>
      <protection hidden="1"/>
    </xf>
    <xf numFmtId="169" fontId="3" fillId="5" borderId="12" xfId="0" applyFont="1" applyFill="1" applyBorder="1" applyAlignment="1">
      <alignment horizontal="center" vertical="center" wrapText="1"/>
      <protection hidden="1"/>
    </xf>
    <xf numFmtId="169" fontId="3" fillId="5" borderId="13" xfId="0" applyFont="1" applyFill="1" applyBorder="1" applyAlignment="1">
      <alignment horizontal="center" vertical="center" wrapText="1"/>
      <protection hidden="1"/>
    </xf>
    <xf numFmtId="169" fontId="3" fillId="5" borderId="14" xfId="0" applyFont="1" applyFill="1" applyBorder="1" applyAlignment="1">
      <alignment horizontal="center" vertical="center" wrapText="1"/>
      <protection hidden="1"/>
    </xf>
    <xf numFmtId="169" fontId="3" fillId="5" borderId="15" xfId="0" applyFont="1" applyFill="1" applyBorder="1" applyAlignment="1">
      <alignment horizontal="center" vertical="center" wrapText="1"/>
      <protection hidden="1"/>
    </xf>
  </cellXfs>
  <cellStyles count="60">
    <cellStyle name="40% - Ênfase6" xfId="4" builtinId="51" customBuiltin="1"/>
    <cellStyle name="APT1" xfId="5" xr:uid="{C7F115FD-6012-4742-9D3B-10DFBF60B3B2}"/>
    <cellStyle name="APT2" xfId="6" xr:uid="{D1D56E91-5A03-4A86-94E2-1B7B48E638F4}"/>
    <cellStyle name="APT3" xfId="7" xr:uid="{AD9E1BB2-3F6D-4D8D-8AA0-2ABEF54CFE15}"/>
    <cellStyle name="APT4" xfId="8" xr:uid="{6A19D47D-E09D-4826-A00B-C4F30EE81765}"/>
    <cellStyle name="APT5" xfId="9" xr:uid="{3D862918-5F4E-4C40-9C06-FFB307C4FB17}"/>
    <cellStyle name="AZUL1" xfId="10" xr:uid="{8782B8D4-933A-41E9-AF8B-5B115201C46E}"/>
    <cellStyle name="AZUL2" xfId="11" xr:uid="{D6897455-212C-4A5D-9137-59BA2034D4A8}"/>
    <cellStyle name="AZUL3" xfId="12" xr:uid="{B1FBAE96-B56D-487A-989D-7D81A7F5D20F}"/>
    <cellStyle name="AZUL4" xfId="13" xr:uid="{F9C470C8-E12C-48B4-8951-7A61FF07E409}"/>
    <cellStyle name="AZUL5" xfId="14" xr:uid="{63CE00A2-8DFF-4D57-B6F5-EE9180C635F2}"/>
    <cellStyle name="CLARO1" xfId="15" xr:uid="{5A38E60C-8680-476D-98E5-B5EE84BC618D}"/>
    <cellStyle name="COMERCIAL1" xfId="16" xr:uid="{5AAE866A-F646-4792-B28D-E66BA10C022F}"/>
    <cellStyle name="COMERCIAL2" xfId="17" xr:uid="{7181862E-41E1-417E-B4BD-30F2389B4B7F}"/>
    <cellStyle name="COMERCIAL3" xfId="18" xr:uid="{2F8CC730-978E-47FE-9BE5-8307D5E5FAF2}"/>
    <cellStyle name="COMERCIAL4" xfId="19" xr:uid="{A9D993F2-AF49-4B91-88D0-B9B91EBAF9B2}"/>
    <cellStyle name="COMERCIAL5" xfId="20" xr:uid="{3DC6847F-EEF0-4EFD-B7A7-744DCDBFE55E}"/>
    <cellStyle name="Ênfase6" xfId="3" builtinId="49" customBuiltin="1"/>
    <cellStyle name="ESCURO1" xfId="21" xr:uid="{1C03403B-BCFC-4790-BAFB-4822A417638D}"/>
    <cellStyle name="ESTILO1" xfId="22" xr:uid="{6BAAFB86-269B-48E8-B6C9-314DF13B99CA}"/>
    <cellStyle name="ESTILO2" xfId="23" xr:uid="{BC401693-3D22-4043-BC83-DE356688ACB8}"/>
    <cellStyle name="ESTILO3" xfId="24" xr:uid="{CD6A8F39-3DB3-4821-8A26-102F5A2D8811}"/>
    <cellStyle name="ESTILO4" xfId="25" xr:uid="{116753D8-A683-430A-A134-FDBC222BA801}"/>
    <cellStyle name="ESTILO5" xfId="26" xr:uid="{BB2588EE-96F4-4193-9415-1BB708AF131A}"/>
    <cellStyle name="FORTE1" xfId="27" xr:uid="{1E1B064F-CC44-4584-8296-7A11F1FAA7EE}"/>
    <cellStyle name="FORTE2" xfId="28" xr:uid="{239485DB-8A3C-4CCA-B37B-A794BD2942D5}"/>
    <cellStyle name="FORTE3" xfId="29" xr:uid="{F941D29F-C59B-4ECE-81EB-6F4C8A495AFD}"/>
    <cellStyle name="FORTE4" xfId="30" xr:uid="{169A5776-C7F1-4EEF-8537-E1DC7D8A1D48}"/>
    <cellStyle name="FORTE5" xfId="31" xr:uid="{2B8AFA9E-9DDE-4159-A63F-272BC9B95E26}"/>
    <cellStyle name="Inverso" xfId="32" xr:uid="{103222B9-95BF-4C9C-AF5B-C515F8563EE2}"/>
    <cellStyle name="LINHA1" xfId="33" xr:uid="{861765FA-904B-4453-B9BD-864FFCD923F7}"/>
    <cellStyle name="LINHA2" xfId="34" xr:uid="{50B2EC5E-7539-4BFD-8D65-9202396EF12E}"/>
    <cellStyle name="LINHA3" xfId="35" xr:uid="{695802D7-EB08-4BC4-AA15-8D4482F24676}"/>
    <cellStyle name="LINHA4" xfId="36" xr:uid="{291FD070-C95C-439D-9B13-14E80557DCD8}"/>
    <cellStyle name="LINHA5" xfId="37" xr:uid="{5895E278-2F92-44CC-AC85-E639D5ACEF73}"/>
    <cellStyle name="Normal" xfId="0" builtinId="0" customBuiltin="1"/>
    <cellStyle name="Porcentagem" xfId="2" builtinId="5"/>
    <cellStyle name="RESEDA" xfId="38" xr:uid="{131DDD72-D3DF-48BF-BC40-5C72C20FA06F}"/>
    <cellStyle name="RESEDA1" xfId="39" xr:uid="{5D5DB200-A8D2-41F8-9AE2-295FE2C06FDE}"/>
    <cellStyle name="RESEDA2" xfId="40" xr:uid="{6A706033-890C-42B5-AC5D-3F43BBADBBD1}"/>
    <cellStyle name="RESEDA3" xfId="41" xr:uid="{9FB8913D-1A0B-49C4-A4B8-1D4C833AA6BE}"/>
    <cellStyle name="RESEDA4" xfId="42" xr:uid="{C3AFF183-C0AB-4F9B-BF64-E797DBC7DA3F}"/>
    <cellStyle name="RESEDA5" xfId="43" xr:uid="{47AE9919-EF63-4B6C-90F7-F3C7081F1F67}"/>
    <cellStyle name="RESEDA6" xfId="44" xr:uid="{673AA179-4E0E-47E4-89CD-48E7A7320873}"/>
    <cellStyle name="RESID1" xfId="45" xr:uid="{4D11F725-2215-4152-85C8-D30AD041B490}"/>
    <cellStyle name="RESID2" xfId="46" xr:uid="{B6541BBE-C513-4CA4-825A-C9C953F55044}"/>
    <cellStyle name="RESID3" xfId="47" xr:uid="{34D4B959-F853-415D-B30C-8BD1FAB5C948}"/>
    <cellStyle name="RESID4" xfId="48" xr:uid="{F08862BA-3EF0-44AC-AA2D-7DE93061EE75}"/>
    <cellStyle name="RESID5" xfId="49" xr:uid="{D50EF893-1009-4C5F-89FB-11D7E233C636}"/>
    <cellStyle name="RURAL1" xfId="50" xr:uid="{14741713-9A71-4DD4-AD4C-E48A51DB045B}"/>
    <cellStyle name="RURAL2" xfId="51" xr:uid="{7F5D1DD2-35FF-48AC-B7A8-493D6CE255EB}"/>
    <cellStyle name="RURAL3" xfId="52" xr:uid="{7A77E68E-B3AD-4E9C-B956-09065B2FDD95}"/>
    <cellStyle name="RURAL4" xfId="53" xr:uid="{54F7448F-0062-422E-89B1-1FA52960D144}"/>
    <cellStyle name="RURAL5" xfId="54" xr:uid="{91E78FA2-B325-4792-8456-E8757D4DE163}"/>
    <cellStyle name="VERDE1" xfId="55" xr:uid="{0303605D-1128-465A-9A79-7C8F53342AAF}"/>
    <cellStyle name="VERDE2" xfId="56" xr:uid="{D7B09167-3D0A-4CF3-BB34-2FA61FF4E51D}"/>
    <cellStyle name="VERDE3" xfId="57" xr:uid="{21A97063-ACA3-442A-A92D-E5DCEF87FCCB}"/>
    <cellStyle name="VERDE4" xfId="58" xr:uid="{E7192BB4-C879-4B51-9B04-C7B5C2B48C0C}"/>
    <cellStyle name="VERDE5" xfId="59" xr:uid="{6EC37715-B8E1-4118-A794-A36737AB7817}"/>
    <cellStyle name="Vírgula" xfId="1" builtinId="3"/>
  </cellStyles>
  <dxfs count="25">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b/>
        <i val="0"/>
      </font>
      <fill>
        <patternFill>
          <bgColor theme="7" tint="0.59996337778862885"/>
        </patternFill>
      </fill>
      <border>
        <left/>
        <right/>
        <top/>
        <bottom/>
      </border>
    </dxf>
    <dxf>
      <font>
        <b/>
        <i val="0"/>
      </font>
      <fill>
        <patternFill>
          <bgColor theme="7" tint="0.59996337778862885"/>
        </patternFill>
      </fill>
      <border>
        <left/>
        <right/>
        <top/>
        <bottom/>
      </border>
    </dxf>
    <dxf>
      <font>
        <color rgb="FFFF0000"/>
      </font>
    </dxf>
    <dxf>
      <font>
        <color rgb="FFFF0000"/>
      </font>
    </dxf>
    <dxf>
      <font>
        <color rgb="FFFF0000"/>
      </font>
    </dxf>
    <dxf>
      <font>
        <color rgb="FFFF0000"/>
      </font>
    </dxf>
  </dxfs>
  <tableStyles count="0" defaultTableStyle="TableStyleMedium2" defaultPivotStyle="PivotStyleLight16"/>
  <colors>
    <mruColors>
      <color rgb="FFB9CFD9"/>
      <color rgb="FF213A8F"/>
      <color rgb="FFB8C5EE"/>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BENFEITORIAS'!$L$67:$L$78</c:f>
              <c:numCache>
                <c:formatCode>#,##0.00_ ;\-#,##0.00\ </c:formatCode>
                <c:ptCount val="12"/>
                <c:pt idx="0">
                  <c:v>0.90000000000000036</c:v>
                </c:pt>
                <c:pt idx="1">
                  <c:v>0.95000000000000018</c:v>
                </c:pt>
                <c:pt idx="2">
                  <c:v>1</c:v>
                </c:pt>
                <c:pt idx="3">
                  <c:v>1.25</c:v>
                </c:pt>
                <c:pt idx="4">
                  <c:v>1</c:v>
                </c:pt>
                <c:pt idx="5">
                  <c:v>1</c:v>
                </c:pt>
                <c:pt idx="6">
                  <c:v>0.79999999999999982</c:v>
                </c:pt>
                <c:pt idx="7">
                  <c:v>1</c:v>
                </c:pt>
                <c:pt idx="8">
                  <c:v>1</c:v>
                </c:pt>
                <c:pt idx="9">
                  <c:v>1</c:v>
                </c:pt>
                <c:pt idx="10">
                  <c:v>0.60000000000000053</c:v>
                </c:pt>
                <c:pt idx="11">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BENFEITORIAS'!$L$67:$L$78</c:f>
              <c:numCache>
                <c:formatCode>#,##0.00_ ;\-#,##0.00\ </c:formatCode>
                <c:ptCount val="12"/>
                <c:pt idx="0">
                  <c:v>0.90000000000000036</c:v>
                </c:pt>
                <c:pt idx="1">
                  <c:v>0.95000000000000018</c:v>
                </c:pt>
                <c:pt idx="2">
                  <c:v>1</c:v>
                </c:pt>
                <c:pt idx="3">
                  <c:v>1.25</c:v>
                </c:pt>
                <c:pt idx="4">
                  <c:v>1</c:v>
                </c:pt>
                <c:pt idx="5">
                  <c:v>1</c:v>
                </c:pt>
                <c:pt idx="6">
                  <c:v>0.79999999999999982</c:v>
                </c:pt>
                <c:pt idx="7">
                  <c:v>1</c:v>
                </c:pt>
                <c:pt idx="8">
                  <c:v>1</c:v>
                </c:pt>
                <c:pt idx="9">
                  <c:v>1</c:v>
                </c:pt>
                <c:pt idx="10">
                  <c:v>0.60000000000000053</c:v>
                </c:pt>
                <c:pt idx="11">
                  <c:v>1</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BENFEITORIAS'!$N$67:$N$78</c:f>
              <c:numCache>
                <c:formatCode>#,##0.00_ ;\-#,##0.00\ </c:formatCode>
                <c:ptCount val="12"/>
                <c:pt idx="0">
                  <c:v>0.90000000000000036</c:v>
                </c:pt>
                <c:pt idx="1">
                  <c:v>0.90000000000000036</c:v>
                </c:pt>
                <c:pt idx="2">
                  <c:v>0.90000000000000036</c:v>
                </c:pt>
                <c:pt idx="3">
                  <c:v>0.90000000000000036</c:v>
                </c:pt>
                <c:pt idx="4">
                  <c:v>0.90000000000000036</c:v>
                </c:pt>
                <c:pt idx="5">
                  <c:v>0.90000000000000036</c:v>
                </c:pt>
                <c:pt idx="6">
                  <c:v>0.90000000000000036</c:v>
                </c:pt>
                <c:pt idx="7">
                  <c:v>0.90000000000000036</c:v>
                </c:pt>
                <c:pt idx="8">
                  <c:v>0.90000000000000036</c:v>
                </c:pt>
                <c:pt idx="9">
                  <c:v>0.90000000000000036</c:v>
                </c:pt>
                <c:pt idx="10">
                  <c:v>0.90000000000000036</c:v>
                </c:pt>
                <c:pt idx="11">
                  <c:v>0.90000000000000036</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w="0">
              <a:noFill/>
            </a:ln>
          </c:spPr>
          <c:dPt>
            <c:idx val="0"/>
            <c:bubble3D val="0"/>
            <c:spPr>
              <a:solidFill>
                <a:schemeClr val="accent1"/>
              </a:solidFill>
              <a:ln w="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BENFEITORIAS'!$Z$531:$Z$532</c:f>
              <c:numCache>
                <c:formatCode>0.0%</c:formatCode>
                <c:ptCount val="2"/>
                <c:pt idx="0">
                  <c:v>0.46190070064494765</c:v>
                </c:pt>
                <c:pt idx="1">
                  <c:v>0.53809929935505241</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BENFEITORIAS'!$AA$222</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BENFEITORIAS'!$AA$223:$AA$234</c:f>
              <c:numCache>
                <c:formatCode>#,##0.00_ ;\-#,##0.00\ </c:formatCode>
                <c:ptCount val="12"/>
                <c:pt idx="0">
                  <c:v>506.78875273700447</c:v>
                </c:pt>
                <c:pt idx="1">
                  <c:v>506.78875273700447</c:v>
                </c:pt>
                <c:pt idx="2">
                  <c:v>506.78875273700447</c:v>
                </c:pt>
                <c:pt idx="3">
                  <c:v>506.78875273700447</c:v>
                </c:pt>
                <c:pt idx="4">
                  <c:v>506.78875273700447</c:v>
                </c:pt>
                <c:pt idx="5">
                  <c:v>506.78875273700447</c:v>
                </c:pt>
                <c:pt idx="6">
                  <c:v>506.78875273700447</c:v>
                </c:pt>
                <c:pt idx="7">
                  <c:v>506.78875273700447</c:v>
                </c:pt>
                <c:pt idx="8">
                  <c:v>506.78875273700447</c:v>
                </c:pt>
                <c:pt idx="9">
                  <c:v>506.78875273700447</c:v>
                </c:pt>
                <c:pt idx="10">
                  <c:v>506.78875273700447</c:v>
                </c:pt>
                <c:pt idx="11">
                  <c:v>506.78875273700447</c:v>
                </c:pt>
              </c:numCache>
            </c:numRef>
          </c:val>
          <c:smooth val="0"/>
          <c:extLst>
            <c:ext xmlns:c16="http://schemas.microsoft.com/office/drawing/2014/chart" uri="{C3380CC4-5D6E-409C-BE32-E72D297353CC}">
              <c16:uniqueId val="{00000000-1678-446D-B6C4-E59F60D21F0F}"/>
            </c:ext>
          </c:extLst>
        </c:ser>
        <c:ser>
          <c:idx val="2"/>
          <c:order val="2"/>
          <c:tx>
            <c:strRef>
              <c:f>'TERRENO E BENFEITORIAS'!$Z$222</c:f>
              <c:strCache>
                <c:ptCount val="1"/>
                <c:pt idx="0">
                  <c:v>Limite superior</c:v>
                </c:pt>
              </c:strCache>
            </c:strRef>
          </c:tx>
          <c:spPr>
            <a:ln w="12700" cap="sq">
              <a:solidFill>
                <a:srgbClr val="0070C0"/>
              </a:solidFill>
              <a:prstDash val="solid"/>
              <a:round/>
            </a:ln>
            <a:effectLst/>
          </c:spPr>
          <c:marker>
            <c:symbol val="none"/>
          </c:marker>
          <c:val>
            <c:numRef>
              <c:f>'TERRENO E BENFEITORIAS'!$Z$223:$Z$234</c:f>
              <c:numCache>
                <c:formatCode>#,##0.00_ ;\-#,##0.00\ </c:formatCode>
                <c:ptCount val="12"/>
                <c:pt idx="0">
                  <c:v>658.82537855810585</c:v>
                </c:pt>
                <c:pt idx="1">
                  <c:v>658.82537855810585</c:v>
                </c:pt>
                <c:pt idx="2">
                  <c:v>658.82537855810585</c:v>
                </c:pt>
                <c:pt idx="3">
                  <c:v>658.82537855810585</c:v>
                </c:pt>
                <c:pt idx="4">
                  <c:v>658.82537855810585</c:v>
                </c:pt>
                <c:pt idx="5">
                  <c:v>658.82537855810585</c:v>
                </c:pt>
                <c:pt idx="6">
                  <c:v>658.82537855810585</c:v>
                </c:pt>
                <c:pt idx="7">
                  <c:v>658.82537855810585</c:v>
                </c:pt>
                <c:pt idx="8">
                  <c:v>658.82537855810585</c:v>
                </c:pt>
                <c:pt idx="9">
                  <c:v>658.82537855810585</c:v>
                </c:pt>
                <c:pt idx="10">
                  <c:v>658.82537855810585</c:v>
                </c:pt>
                <c:pt idx="11">
                  <c:v>658.82537855810585</c:v>
                </c:pt>
              </c:numCache>
            </c:numRef>
          </c:val>
          <c:smooth val="0"/>
          <c:extLst>
            <c:ext xmlns:c16="http://schemas.microsoft.com/office/drawing/2014/chart" uri="{C3380CC4-5D6E-409C-BE32-E72D297353CC}">
              <c16:uniqueId val="{00000001-1678-446D-B6C4-E59F60D21F0F}"/>
            </c:ext>
          </c:extLst>
        </c:ser>
        <c:ser>
          <c:idx val="1"/>
          <c:order val="3"/>
          <c:tx>
            <c:strRef>
              <c:f>'TERRENO E BENFEITORIAS'!$Y$222</c:f>
              <c:strCache>
                <c:ptCount val="1"/>
                <c:pt idx="0">
                  <c:v>Limite inferior</c:v>
                </c:pt>
              </c:strCache>
            </c:strRef>
          </c:tx>
          <c:spPr>
            <a:ln w="12700" cap="sq">
              <a:solidFill>
                <a:srgbClr val="FF0000"/>
              </a:solidFill>
              <a:round/>
            </a:ln>
            <a:effectLst/>
          </c:spPr>
          <c:marker>
            <c:symbol val="none"/>
          </c:marker>
          <c:val>
            <c:numRef>
              <c:f>'TERRENO E BENFEITORIAS'!$Y$223:$Y$234</c:f>
              <c:numCache>
                <c:formatCode>#,##0.00_ ;\-#,##0.00\ </c:formatCode>
                <c:ptCount val="12"/>
                <c:pt idx="0">
                  <c:v>354.75212691590309</c:v>
                </c:pt>
                <c:pt idx="1">
                  <c:v>354.75212691590309</c:v>
                </c:pt>
                <c:pt idx="2">
                  <c:v>354.75212691590309</c:v>
                </c:pt>
                <c:pt idx="3">
                  <c:v>354.75212691590309</c:v>
                </c:pt>
                <c:pt idx="4">
                  <c:v>354.75212691590309</c:v>
                </c:pt>
                <c:pt idx="5">
                  <c:v>354.75212691590309</c:v>
                </c:pt>
                <c:pt idx="6">
                  <c:v>354.75212691590309</c:v>
                </c:pt>
                <c:pt idx="7">
                  <c:v>354.75212691590309</c:v>
                </c:pt>
                <c:pt idx="8">
                  <c:v>354.75212691590309</c:v>
                </c:pt>
                <c:pt idx="9">
                  <c:v>354.75212691590309</c:v>
                </c:pt>
                <c:pt idx="10">
                  <c:v>354.75212691590309</c:v>
                </c:pt>
                <c:pt idx="11">
                  <c:v>354.75212691590309</c:v>
                </c:pt>
              </c:numCache>
            </c:numRef>
          </c:val>
          <c:smooth val="0"/>
          <c:extLst>
            <c:ext xmlns:c16="http://schemas.microsoft.com/office/drawing/2014/chart" uri="{C3380CC4-5D6E-409C-BE32-E72D297353CC}">
              <c16:uniqueId val="{00000002-1678-446D-B6C4-E59F60D21F0F}"/>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BENFEITORIAS'!$D$214</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BENFEITORIAS'!$D$215:$D$226</c:f>
              <c:numCache>
                <c:formatCode>#,##0.00_ ;\-#,##0.00\ </c:formatCode>
                <c:ptCount val="12"/>
                <c:pt idx="0">
                  <c:v>500</c:v>
                </c:pt>
                <c:pt idx="1">
                  <c:v>479.6052631578948</c:v>
                </c:pt>
                <c:pt idx="2">
                  <c:v>499.50000000000017</c:v>
                </c:pt>
                <c:pt idx="3">
                  <c:v>456.00000000000023</c:v>
                </c:pt>
                <c:pt idx="4">
                  <c:v>499.50000000000017</c:v>
                </c:pt>
                <c:pt idx="5">
                  <c:v>486.00000000000017</c:v>
                </c:pt>
                <c:pt idx="6">
                  <c:v>506.25000000000028</c:v>
                </c:pt>
                <c:pt idx="7">
                  <c:v>502.20000000000022</c:v>
                </c:pt>
                <c:pt idx="8">
                  <c:v>498.96000000000015</c:v>
                </c:pt>
                <c:pt idx="9">
                  <c:v>567.00000000000023</c:v>
                </c:pt>
                <c:pt idx="11">
                  <c:v>579.66101694915278</c:v>
                </c:pt>
              </c:numCache>
            </c:numRef>
          </c:yVal>
          <c:smooth val="0"/>
          <c:extLst>
            <c:ext xmlns:c16="http://schemas.microsoft.com/office/drawing/2014/chart" uri="{C3380CC4-5D6E-409C-BE32-E72D297353CC}">
              <c16:uniqueId val="{00000003-1678-446D-B6C4-E59F60D21F0F}"/>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BENFEITORIAS'!$AA$261</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BENFEITORIAS'!$AA$262:$AA$273</c:f>
              <c:numCache>
                <c:formatCode>#,##0.00_ ;\-#,##0.00\ </c:formatCode>
                <c:ptCount val="12"/>
                <c:pt idx="0">
                  <c:v>506.78875273700447</c:v>
                </c:pt>
                <c:pt idx="1">
                  <c:v>506.78875273700447</c:v>
                </c:pt>
                <c:pt idx="2">
                  <c:v>506.78875273700447</c:v>
                </c:pt>
                <c:pt idx="3">
                  <c:v>506.78875273700447</c:v>
                </c:pt>
                <c:pt idx="4">
                  <c:v>506.78875273700447</c:v>
                </c:pt>
                <c:pt idx="5">
                  <c:v>506.78875273700447</c:v>
                </c:pt>
                <c:pt idx="6">
                  <c:v>506.78875273700447</c:v>
                </c:pt>
                <c:pt idx="7">
                  <c:v>506.78875273700447</c:v>
                </c:pt>
                <c:pt idx="8">
                  <c:v>506.78875273700447</c:v>
                </c:pt>
                <c:pt idx="9">
                  <c:v>506.78875273700447</c:v>
                </c:pt>
                <c:pt idx="10">
                  <c:v>506.78875273700447</c:v>
                </c:pt>
                <c:pt idx="11">
                  <c:v>506.78875273700447</c:v>
                </c:pt>
              </c:numCache>
            </c:numRef>
          </c:val>
          <c:smooth val="0"/>
          <c:extLst>
            <c:ext xmlns:c16="http://schemas.microsoft.com/office/drawing/2014/chart" uri="{C3380CC4-5D6E-409C-BE32-E72D297353CC}">
              <c16:uniqueId val="{00000000-8CCA-487D-8646-07C89F285775}"/>
            </c:ext>
          </c:extLst>
        </c:ser>
        <c:ser>
          <c:idx val="1"/>
          <c:order val="2"/>
          <c:tx>
            <c:strRef>
              <c:f>'TERRENO E BENFEITORIAS'!$Y$261</c:f>
              <c:strCache>
                <c:ptCount val="1"/>
                <c:pt idx="0">
                  <c:v>Limite inferior</c:v>
                </c:pt>
              </c:strCache>
            </c:strRef>
          </c:tx>
          <c:spPr>
            <a:ln w="12700" cap="sq">
              <a:solidFill>
                <a:srgbClr val="FF0000"/>
              </a:solidFill>
              <a:round/>
            </a:ln>
            <a:effectLst/>
          </c:spPr>
          <c:marker>
            <c:symbol val="none"/>
          </c:marker>
          <c:val>
            <c:numRef>
              <c:f>'TERRENO E BENFEITORIAS'!$Y$262:$Y$273</c:f>
              <c:numCache>
                <c:formatCode>#,##0.00_ ;\-#,##0.00\ </c:formatCode>
                <c:ptCount val="12"/>
                <c:pt idx="0">
                  <c:v>430.59615383664084</c:v>
                </c:pt>
                <c:pt idx="1">
                  <c:v>430.59615383664084</c:v>
                </c:pt>
                <c:pt idx="2">
                  <c:v>430.59615383664084</c:v>
                </c:pt>
                <c:pt idx="3">
                  <c:v>430.59615383664084</c:v>
                </c:pt>
                <c:pt idx="4">
                  <c:v>430.59615383664084</c:v>
                </c:pt>
                <c:pt idx="5">
                  <c:v>430.59615383664084</c:v>
                </c:pt>
                <c:pt idx="6">
                  <c:v>430.59615383664084</c:v>
                </c:pt>
                <c:pt idx="7">
                  <c:v>430.59615383664084</c:v>
                </c:pt>
                <c:pt idx="8">
                  <c:v>430.59615383664084</c:v>
                </c:pt>
                <c:pt idx="9">
                  <c:v>430.59615383664084</c:v>
                </c:pt>
                <c:pt idx="10">
                  <c:v>430.59615383664084</c:v>
                </c:pt>
                <c:pt idx="11">
                  <c:v>430.59615383664084</c:v>
                </c:pt>
              </c:numCache>
            </c:numRef>
          </c:val>
          <c:smooth val="0"/>
          <c:extLst>
            <c:ext xmlns:c16="http://schemas.microsoft.com/office/drawing/2014/chart" uri="{C3380CC4-5D6E-409C-BE32-E72D297353CC}">
              <c16:uniqueId val="{00000001-8CCA-487D-8646-07C89F285775}"/>
            </c:ext>
          </c:extLst>
        </c:ser>
        <c:ser>
          <c:idx val="3"/>
          <c:order val="3"/>
          <c:tx>
            <c:strRef>
              <c:f>'TERRENO E BENFEITORIAS'!$Z$261</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BENFEITORIAS'!$Z$262:$Z$273</c:f>
              <c:numCache>
                <c:formatCode>#,##0.00_ ;\-#,##0.00\ </c:formatCode>
                <c:ptCount val="12"/>
                <c:pt idx="0">
                  <c:v>584.54710218476919</c:v>
                </c:pt>
                <c:pt idx="1">
                  <c:v>584.54710218476919</c:v>
                </c:pt>
                <c:pt idx="2">
                  <c:v>584.54710218476919</c:v>
                </c:pt>
                <c:pt idx="3">
                  <c:v>584.54710218476919</c:v>
                </c:pt>
                <c:pt idx="4">
                  <c:v>584.54710218476919</c:v>
                </c:pt>
                <c:pt idx="5">
                  <c:v>584.54710218476919</c:v>
                </c:pt>
                <c:pt idx="6">
                  <c:v>584.54710218476919</c:v>
                </c:pt>
                <c:pt idx="7">
                  <c:v>584.54710218476919</c:v>
                </c:pt>
                <c:pt idx="8">
                  <c:v>584.54710218476919</c:v>
                </c:pt>
                <c:pt idx="9">
                  <c:v>584.54710218476919</c:v>
                </c:pt>
                <c:pt idx="10">
                  <c:v>584.54710218476919</c:v>
                </c:pt>
                <c:pt idx="11">
                  <c:v>584.54710218476919</c:v>
                </c:pt>
              </c:numCache>
            </c:numRef>
          </c:val>
          <c:smooth val="0"/>
          <c:extLst>
            <c:ext xmlns:c16="http://schemas.microsoft.com/office/drawing/2014/chart" uri="{C3380CC4-5D6E-409C-BE32-E72D297353CC}">
              <c16:uniqueId val="{00000002-8CCA-487D-8646-07C89F285775}"/>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BENFEITORIAS'!$D$247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BENFEITORIAS'!$D$248:$D$259</c:f>
              <c:numCache>
                <c:formatCode>#,##0.00_ ;\-#,##0.00\ </c:formatCode>
                <c:ptCount val="12"/>
                <c:pt idx="0">
                  <c:v>500</c:v>
                </c:pt>
                <c:pt idx="1">
                  <c:v>479.6052631578948</c:v>
                </c:pt>
                <c:pt idx="2">
                  <c:v>499.50000000000017</c:v>
                </c:pt>
                <c:pt idx="3">
                  <c:v>456.00000000000023</c:v>
                </c:pt>
                <c:pt idx="4">
                  <c:v>499.50000000000017</c:v>
                </c:pt>
                <c:pt idx="5">
                  <c:v>486.00000000000017</c:v>
                </c:pt>
                <c:pt idx="6">
                  <c:v>506.25000000000028</c:v>
                </c:pt>
                <c:pt idx="7">
                  <c:v>502.20000000000022</c:v>
                </c:pt>
                <c:pt idx="9">
                  <c:v>567.00000000000023</c:v>
                </c:pt>
                <c:pt idx="11">
                  <c:v>579.66101694915278</c:v>
                </c:pt>
              </c:numCache>
            </c:numRef>
          </c:yVal>
          <c:smooth val="0"/>
          <c:extLst>
            <c:ext xmlns:c16="http://schemas.microsoft.com/office/drawing/2014/chart" uri="{C3380CC4-5D6E-409C-BE32-E72D297353CC}">
              <c16:uniqueId val="{00000003-8CCA-487D-8646-07C89F285775}"/>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BENFEITORIAS'!$AA$300</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BENFEITORIAS'!$AA$301:$AA$312</c:f>
              <c:numCache>
                <c:formatCode>#,##0.00_ ;\-#,##0.00\ </c:formatCode>
                <c:ptCount val="12"/>
                <c:pt idx="0">
                  <c:v>507.57162801070501</c:v>
                </c:pt>
                <c:pt idx="1">
                  <c:v>507.57162801070501</c:v>
                </c:pt>
                <c:pt idx="2">
                  <c:v>507.57162801070501</c:v>
                </c:pt>
                <c:pt idx="3">
                  <c:v>507.57162801070501</c:v>
                </c:pt>
                <c:pt idx="4">
                  <c:v>507.57162801070501</c:v>
                </c:pt>
                <c:pt idx="5">
                  <c:v>507.57162801070501</c:v>
                </c:pt>
                <c:pt idx="6">
                  <c:v>507.57162801070501</c:v>
                </c:pt>
                <c:pt idx="7">
                  <c:v>507.57162801070501</c:v>
                </c:pt>
                <c:pt idx="8">
                  <c:v>507.57162801070501</c:v>
                </c:pt>
                <c:pt idx="9">
                  <c:v>507.57162801070501</c:v>
                </c:pt>
                <c:pt idx="10">
                  <c:v>507.57162801070501</c:v>
                </c:pt>
                <c:pt idx="11">
                  <c:v>507.57162801070501</c:v>
                </c:pt>
              </c:numCache>
            </c:numRef>
          </c:val>
          <c:smooth val="0"/>
          <c:extLst>
            <c:ext xmlns:c16="http://schemas.microsoft.com/office/drawing/2014/chart" uri="{C3380CC4-5D6E-409C-BE32-E72D297353CC}">
              <c16:uniqueId val="{00000000-DCDB-44FD-A0F1-14807E83307E}"/>
            </c:ext>
          </c:extLst>
        </c:ser>
        <c:ser>
          <c:idx val="3"/>
          <c:order val="2"/>
          <c:tx>
            <c:strRef>
              <c:f>'TERRENO E BENFEITORIAS'!$Y$300</c:f>
              <c:strCache>
                <c:ptCount val="1"/>
                <c:pt idx="0">
                  <c:v>Limite inferior</c:v>
                </c:pt>
              </c:strCache>
            </c:strRef>
          </c:tx>
          <c:spPr>
            <a:ln w="12700" cap="sq">
              <a:solidFill>
                <a:srgbClr val="FF0000"/>
              </a:solidFill>
              <a:round/>
            </a:ln>
            <a:effectLst/>
          </c:spPr>
          <c:marker>
            <c:symbol val="none"/>
          </c:marker>
          <c:val>
            <c:numRef>
              <c:f>'TERRENO E BENFEITORIAS'!$Y$301:$Y$312</c:f>
              <c:numCache>
                <c:formatCode>#,##0.00_ ;\-#,##0.00\ </c:formatCode>
                <c:ptCount val="12"/>
                <c:pt idx="0">
                  <c:v>418.8443156418474</c:v>
                </c:pt>
                <c:pt idx="1">
                  <c:v>418.8443156418474</c:v>
                </c:pt>
                <c:pt idx="2">
                  <c:v>418.8443156418474</c:v>
                </c:pt>
                <c:pt idx="3">
                  <c:v>418.8443156418474</c:v>
                </c:pt>
                <c:pt idx="4">
                  <c:v>418.8443156418474</c:v>
                </c:pt>
                <c:pt idx="5">
                  <c:v>418.8443156418474</c:v>
                </c:pt>
                <c:pt idx="6">
                  <c:v>418.8443156418474</c:v>
                </c:pt>
                <c:pt idx="7">
                  <c:v>418.8443156418474</c:v>
                </c:pt>
                <c:pt idx="8">
                  <c:v>418.8443156418474</c:v>
                </c:pt>
                <c:pt idx="9">
                  <c:v>418.8443156418474</c:v>
                </c:pt>
                <c:pt idx="10">
                  <c:v>418.8443156418474</c:v>
                </c:pt>
                <c:pt idx="11">
                  <c:v>418.8443156418474</c:v>
                </c:pt>
              </c:numCache>
            </c:numRef>
          </c:val>
          <c:smooth val="0"/>
          <c:extLst>
            <c:ext xmlns:c16="http://schemas.microsoft.com/office/drawing/2014/chart" uri="{C3380CC4-5D6E-409C-BE32-E72D297353CC}">
              <c16:uniqueId val="{00000001-DCDB-44FD-A0F1-14807E83307E}"/>
            </c:ext>
          </c:extLst>
        </c:ser>
        <c:ser>
          <c:idx val="2"/>
          <c:order val="3"/>
          <c:tx>
            <c:strRef>
              <c:f>'TERRENO E BENFEITORIAS'!$Z$300</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BENFEITORIAS'!$Z$301:$Z$312</c:f>
              <c:numCache>
                <c:formatCode>#,##0.00_ ;\-#,##0.00\ </c:formatCode>
                <c:ptCount val="12"/>
                <c:pt idx="0">
                  <c:v>596.29894037956262</c:v>
                </c:pt>
                <c:pt idx="1">
                  <c:v>596.29894037956262</c:v>
                </c:pt>
                <c:pt idx="2">
                  <c:v>596.29894037956262</c:v>
                </c:pt>
                <c:pt idx="3">
                  <c:v>596.29894037956262</c:v>
                </c:pt>
                <c:pt idx="4">
                  <c:v>596.29894037956262</c:v>
                </c:pt>
                <c:pt idx="5">
                  <c:v>596.29894037956262</c:v>
                </c:pt>
                <c:pt idx="6">
                  <c:v>596.29894037956262</c:v>
                </c:pt>
                <c:pt idx="7">
                  <c:v>596.29894037956262</c:v>
                </c:pt>
                <c:pt idx="8">
                  <c:v>596.29894037956262</c:v>
                </c:pt>
                <c:pt idx="9">
                  <c:v>596.29894037956262</c:v>
                </c:pt>
                <c:pt idx="10">
                  <c:v>596.29894037956262</c:v>
                </c:pt>
                <c:pt idx="11">
                  <c:v>596.29894037956262</c:v>
                </c:pt>
              </c:numCache>
            </c:numRef>
          </c:val>
          <c:smooth val="0"/>
          <c:extLst>
            <c:ext xmlns:c16="http://schemas.microsoft.com/office/drawing/2014/chart" uri="{C3380CC4-5D6E-409C-BE32-E72D297353CC}">
              <c16:uniqueId val="{00000002-DCDB-44FD-A0F1-14807E83307E}"/>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BENFEITORIAS'!$D$283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BENFEITORIAS'!$D$284:$D$295</c:f>
              <c:numCache>
                <c:formatCode>#,##0.00_ ;\-#,##0.00\ </c:formatCode>
                <c:ptCount val="12"/>
                <c:pt idx="0">
                  <c:v>500</c:v>
                </c:pt>
                <c:pt idx="1">
                  <c:v>479.6052631578948</c:v>
                </c:pt>
                <c:pt idx="2">
                  <c:v>499.50000000000017</c:v>
                </c:pt>
                <c:pt idx="3">
                  <c:v>456.00000000000023</c:v>
                </c:pt>
                <c:pt idx="4">
                  <c:v>499.50000000000017</c:v>
                </c:pt>
                <c:pt idx="5">
                  <c:v>486.00000000000017</c:v>
                </c:pt>
                <c:pt idx="6">
                  <c:v>506.25000000000028</c:v>
                </c:pt>
                <c:pt idx="7">
                  <c:v>502.20000000000022</c:v>
                </c:pt>
                <c:pt idx="9">
                  <c:v>567.00000000000023</c:v>
                </c:pt>
                <c:pt idx="11">
                  <c:v>579.66101694915278</c:v>
                </c:pt>
              </c:numCache>
            </c:numRef>
          </c:yVal>
          <c:smooth val="0"/>
          <c:extLst>
            <c:ext xmlns:c16="http://schemas.microsoft.com/office/drawing/2014/chart" uri="{C3380CC4-5D6E-409C-BE32-E72D297353CC}">
              <c16:uniqueId val="{00000003-DCDB-44FD-A0F1-14807E83307E}"/>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2.png"/><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8.xml"/><Relationship Id="rId5" Type="http://schemas.openxmlformats.org/officeDocument/2006/relationships/image" Target="../media/image1.png"/><Relationship Id="rId10" Type="http://schemas.openxmlformats.org/officeDocument/2006/relationships/chart" Target="../charts/chart7.xml"/><Relationship Id="rId4" Type="http://schemas.openxmlformats.org/officeDocument/2006/relationships/chart" Target="../charts/chart4.xml"/><Relationship Id="rId9" Type="http://schemas.openxmlformats.org/officeDocument/2006/relationships/chart" Target="../charts/chart6.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86</xdr:row>
      <xdr:rowOff>0</xdr:rowOff>
    </xdr:from>
    <xdr:to>
      <xdr:col>13</xdr:col>
      <xdr:colOff>564975</xdr:colOff>
      <xdr:row>100</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102</xdr:row>
      <xdr:rowOff>0</xdr:rowOff>
    </xdr:from>
    <xdr:to>
      <xdr:col>13</xdr:col>
      <xdr:colOff>564975</xdr:colOff>
      <xdr:row>116</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120</xdr:row>
      <xdr:rowOff>0</xdr:rowOff>
    </xdr:from>
    <xdr:to>
      <xdr:col>13</xdr:col>
      <xdr:colOff>564975</xdr:colOff>
      <xdr:row>134</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138</xdr:row>
      <xdr:rowOff>0</xdr:rowOff>
    </xdr:from>
    <xdr:to>
      <xdr:col>13</xdr:col>
      <xdr:colOff>564975</xdr:colOff>
      <xdr:row>152</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647705</xdr:colOff>
      <xdr:row>490</xdr:row>
      <xdr:rowOff>28584</xdr:rowOff>
    </xdr:from>
    <xdr:to>
      <xdr:col>9</xdr:col>
      <xdr:colOff>270069</xdr:colOff>
      <xdr:row>499</xdr:row>
      <xdr:rowOff>131163</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2619380" y="125853834"/>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531</xdr:row>
      <xdr:rowOff>0</xdr:rowOff>
    </xdr:from>
    <xdr:to>
      <xdr:col>12</xdr:col>
      <xdr:colOff>87320</xdr:colOff>
      <xdr:row>541</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421</xdr:row>
      <xdr:rowOff>0</xdr:rowOff>
    </xdr:from>
    <xdr:to>
      <xdr:col>4</xdr:col>
      <xdr:colOff>601576</xdr:colOff>
      <xdr:row>425</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38109</xdr:colOff>
      <xdr:row>499</xdr:row>
      <xdr:rowOff>238134</xdr:rowOff>
    </xdr:from>
    <xdr:to>
      <xdr:col>17</xdr:col>
      <xdr:colOff>51360</xdr:colOff>
      <xdr:row>501</xdr:row>
      <xdr:rowOff>32358</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0553709" y="128292234"/>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226</xdr:row>
      <xdr:rowOff>247649</xdr:rowOff>
    </xdr:from>
    <xdr:to>
      <xdr:col>12</xdr:col>
      <xdr:colOff>564975</xdr:colOff>
      <xdr:row>241</xdr:row>
      <xdr:rowOff>132899</xdr:rowOff>
    </xdr:to>
    <xdr:graphicFrame macro="">
      <xdr:nvGraphicFramePr>
        <xdr:cNvPr id="3" name="Gráfico 2">
          <a:extLst>
            <a:ext uri="{FF2B5EF4-FFF2-40B4-BE49-F238E27FC236}">
              <a16:creationId xmlns:a16="http://schemas.microsoft.com/office/drawing/2014/main" id="{712FFC62-9741-48B1-A686-C555E0124E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0</xdr:colOff>
      <xdr:row>263</xdr:row>
      <xdr:rowOff>0</xdr:rowOff>
    </xdr:from>
    <xdr:to>
      <xdr:col>12</xdr:col>
      <xdr:colOff>564975</xdr:colOff>
      <xdr:row>277</xdr:row>
      <xdr:rowOff>132900</xdr:rowOff>
    </xdr:to>
    <xdr:graphicFrame macro="">
      <xdr:nvGraphicFramePr>
        <xdr:cNvPr id="5" name="Gráfico 4">
          <a:extLst>
            <a:ext uri="{FF2B5EF4-FFF2-40B4-BE49-F238E27FC236}">
              <a16:creationId xmlns:a16="http://schemas.microsoft.com/office/drawing/2014/main" id="{BD00EC85-6828-46BB-B546-AD83C1384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300</xdr:row>
      <xdr:rowOff>247639</xdr:rowOff>
    </xdr:from>
    <xdr:to>
      <xdr:col>12</xdr:col>
      <xdr:colOff>564975</xdr:colOff>
      <xdr:row>315</xdr:row>
      <xdr:rowOff>132889</xdr:rowOff>
    </xdr:to>
    <xdr:graphicFrame macro="">
      <xdr:nvGraphicFramePr>
        <xdr:cNvPr id="12" name="Gráfico 11">
          <a:extLst>
            <a:ext uri="{FF2B5EF4-FFF2-40B4-BE49-F238E27FC236}">
              <a16:creationId xmlns:a16="http://schemas.microsoft.com/office/drawing/2014/main" id="{3E65E460-B35A-4CD1-B9E0-D5B673C87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0</xdr:row>
      <xdr:rowOff>0</xdr:rowOff>
    </xdr:from>
    <xdr:to>
      <xdr:col>10</xdr:col>
      <xdr:colOff>45624</xdr:colOff>
      <xdr:row>0</xdr:row>
      <xdr:rowOff>1620000</xdr:rowOff>
    </xdr:to>
    <xdr:pic>
      <xdr:nvPicPr>
        <xdr:cNvPr id="2" name="Imagem 1">
          <a:extLst>
            <a:ext uri="{FF2B5EF4-FFF2-40B4-BE49-F238E27FC236}">
              <a16:creationId xmlns:a16="http://schemas.microsoft.com/office/drawing/2014/main" id="{24BDE308-9A45-4357-BCF5-4462AEBF738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P582"/>
  <sheetViews>
    <sheetView tabSelected="1" topLeftCell="A431" zoomScaleNormal="100" workbookViewId="0">
      <selection activeCell="O313" sqref="O313"/>
    </sheetView>
  </sheetViews>
  <sheetFormatPr defaultColWidth="4.75" defaultRowHeight="20.100000000000001" customHeight="1" x14ac:dyDescent="0.25"/>
  <cols>
    <col min="1" max="20" width="8.625" style="23" customWidth="1"/>
    <col min="21" max="22" width="20.625" style="23" customWidth="1"/>
    <col min="23" max="30" width="20.625" style="24" customWidth="1"/>
    <col min="31" max="31" width="20.625" style="23" customWidth="1"/>
    <col min="32" max="34" width="20.625" style="24" customWidth="1"/>
    <col min="35" max="35" width="15.625" style="24" customWidth="1"/>
    <col min="36" max="36" width="15.625" style="23" customWidth="1"/>
    <col min="37" max="40" width="15.625" style="24" customWidth="1"/>
    <col min="41" max="130" width="4.75" style="24" customWidth="1"/>
    <col min="131" max="16384" width="4.75" style="24"/>
  </cols>
  <sheetData>
    <row r="1" spans="1:20" ht="140.1" customHeight="1" x14ac:dyDescent="0.25">
      <c r="A1" s="83"/>
      <c r="B1" s="83"/>
      <c r="C1" s="83"/>
      <c r="D1" s="83"/>
      <c r="E1" s="83"/>
      <c r="F1" s="83"/>
      <c r="G1" s="83"/>
      <c r="H1" s="83"/>
      <c r="I1" s="83"/>
      <c r="J1" s="83"/>
      <c r="K1" s="83"/>
      <c r="L1" s="83"/>
      <c r="M1" s="83"/>
      <c r="N1" s="83"/>
      <c r="O1" s="83"/>
      <c r="P1" s="83"/>
      <c r="Q1" s="83"/>
      <c r="R1" s="83"/>
      <c r="S1" s="83"/>
      <c r="T1" s="83"/>
    </row>
    <row r="2" spans="1:20" ht="5.0999999999999996" customHeight="1" x14ac:dyDescent="0.25"/>
    <row r="3" spans="1:20" ht="5.0999999999999996" customHeight="1" x14ac:dyDescent="0.25">
      <c r="A3" s="83"/>
      <c r="B3" s="83"/>
      <c r="C3" s="83"/>
      <c r="D3" s="83"/>
      <c r="E3" s="83"/>
      <c r="F3" s="83"/>
      <c r="G3" s="83"/>
      <c r="H3" s="83"/>
      <c r="I3" s="83"/>
      <c r="J3" s="83"/>
      <c r="K3" s="83"/>
      <c r="L3" s="83"/>
      <c r="M3" s="83"/>
      <c r="N3" s="83"/>
      <c r="O3" s="83"/>
      <c r="P3" s="83"/>
      <c r="Q3" s="83"/>
      <c r="R3" s="83"/>
      <c r="S3" s="83"/>
      <c r="T3" s="83"/>
    </row>
    <row r="5" spans="1:20" ht="20.100000000000001" customHeight="1" x14ac:dyDescent="0.25">
      <c r="A5" s="125" t="s">
        <v>96</v>
      </c>
      <c r="B5" s="125"/>
      <c r="C5" s="125"/>
      <c r="D5" s="125"/>
      <c r="E5" s="125"/>
      <c r="F5" s="125"/>
      <c r="G5" s="125"/>
      <c r="H5" s="125"/>
      <c r="I5" s="125"/>
      <c r="J5" s="125"/>
      <c r="K5" s="125"/>
      <c r="L5" s="125"/>
      <c r="M5" s="125"/>
      <c r="N5" s="125"/>
      <c r="O5" s="125"/>
      <c r="P5" s="125"/>
      <c r="Q5" s="125"/>
      <c r="R5" s="125"/>
      <c r="S5" s="125"/>
      <c r="T5" s="125"/>
    </row>
    <row r="7" spans="1:20" ht="20.100000000000001" customHeight="1" x14ac:dyDescent="0.25">
      <c r="A7" s="125" t="s">
        <v>95</v>
      </c>
      <c r="B7" s="125"/>
      <c r="C7" s="125"/>
      <c r="D7" s="125"/>
      <c r="E7" s="125"/>
      <c r="F7" s="125"/>
      <c r="G7" s="125"/>
      <c r="H7" s="125"/>
      <c r="I7" s="125"/>
      <c r="J7" s="125"/>
      <c r="K7" s="125"/>
      <c r="L7" s="125"/>
      <c r="M7" s="125"/>
      <c r="N7" s="125"/>
      <c r="O7" s="125"/>
      <c r="P7" s="125"/>
      <c r="Q7" s="125"/>
      <c r="R7" s="125"/>
      <c r="S7" s="125"/>
      <c r="T7" s="125"/>
    </row>
    <row r="9" spans="1:20" ht="20.100000000000001" customHeight="1" x14ac:dyDescent="0.25">
      <c r="A9" s="191" t="s">
        <v>101</v>
      </c>
      <c r="B9" s="191"/>
      <c r="C9" s="191"/>
      <c r="D9" s="191"/>
      <c r="E9" s="191"/>
      <c r="F9" s="191"/>
      <c r="G9" s="191"/>
      <c r="H9" s="191"/>
      <c r="I9" s="191"/>
      <c r="J9" s="191"/>
      <c r="K9" s="191"/>
      <c r="L9" s="191"/>
      <c r="M9" s="191"/>
      <c r="N9" s="191"/>
      <c r="O9" s="191"/>
      <c r="P9" s="191"/>
      <c r="Q9" s="191"/>
      <c r="R9" s="191"/>
      <c r="S9" s="191"/>
      <c r="T9" s="191"/>
    </row>
    <row r="10" spans="1:20" ht="20.100000000000001" customHeight="1" x14ac:dyDescent="0.25">
      <c r="A10" s="170" t="s">
        <v>5</v>
      </c>
      <c r="B10" s="170"/>
      <c r="C10" s="170"/>
      <c r="D10" s="170"/>
      <c r="E10" s="170" t="s">
        <v>72</v>
      </c>
      <c r="F10" s="170"/>
      <c r="G10" s="170"/>
      <c r="H10" s="170"/>
      <c r="I10" s="170"/>
      <c r="J10" s="170"/>
      <c r="K10" s="170"/>
      <c r="L10" s="170" t="s">
        <v>73</v>
      </c>
      <c r="M10" s="170"/>
      <c r="N10" s="170"/>
      <c r="O10" s="170"/>
      <c r="P10" s="170"/>
      <c r="Q10" s="170"/>
      <c r="R10" s="170"/>
      <c r="S10" s="170"/>
      <c r="T10" s="170"/>
    </row>
    <row r="11" spans="1:20" ht="20.100000000000001" customHeight="1" x14ac:dyDescent="0.25">
      <c r="A11" s="208">
        <v>2</v>
      </c>
      <c r="B11" s="208"/>
      <c r="C11" s="208"/>
      <c r="D11" s="208"/>
      <c r="E11" s="180" t="s">
        <v>100</v>
      </c>
      <c r="F11" s="180"/>
      <c r="G11" s="180"/>
      <c r="H11" s="180"/>
      <c r="I11" s="180"/>
      <c r="J11" s="180"/>
      <c r="K11" s="180"/>
      <c r="L11" s="180" t="s">
        <v>76</v>
      </c>
      <c r="M11" s="180"/>
      <c r="N11" s="180"/>
      <c r="O11" s="180" t="s">
        <v>77</v>
      </c>
      <c r="P11" s="180"/>
      <c r="Q11" s="180"/>
      <c r="R11" s="180" t="s">
        <v>67</v>
      </c>
      <c r="S11" s="180"/>
      <c r="T11" s="180"/>
    </row>
    <row r="12" spans="1:20" ht="20.100000000000001" customHeight="1" x14ac:dyDescent="0.25">
      <c r="A12" s="208"/>
      <c r="B12" s="208"/>
      <c r="C12" s="208"/>
      <c r="D12" s="208"/>
      <c r="E12" s="180"/>
      <c r="F12" s="180"/>
      <c r="G12" s="180"/>
      <c r="H12" s="180"/>
      <c r="I12" s="180"/>
      <c r="J12" s="180"/>
      <c r="K12" s="180"/>
      <c r="L12" s="208">
        <v>12</v>
      </c>
      <c r="M12" s="208"/>
      <c r="N12" s="208"/>
      <c r="O12" s="208">
        <v>5</v>
      </c>
      <c r="P12" s="208"/>
      <c r="Q12" s="208"/>
      <c r="R12" s="208">
        <v>3</v>
      </c>
      <c r="S12" s="208"/>
      <c r="T12" s="208"/>
    </row>
    <row r="14" spans="1:20" ht="20.100000000000001" customHeight="1" x14ac:dyDescent="0.25">
      <c r="A14" s="81" t="s">
        <v>5</v>
      </c>
      <c r="B14" s="215" t="s">
        <v>401</v>
      </c>
      <c r="C14" s="215"/>
      <c r="D14" s="215"/>
      <c r="E14" s="215"/>
      <c r="F14" s="215"/>
      <c r="G14" s="215" t="s">
        <v>402</v>
      </c>
      <c r="H14" s="215"/>
      <c r="I14" s="215"/>
      <c r="J14" s="215"/>
      <c r="K14" s="215"/>
      <c r="L14" s="215"/>
      <c r="M14" s="215"/>
      <c r="N14" s="215"/>
      <c r="O14" s="215" t="s">
        <v>403</v>
      </c>
      <c r="P14" s="215"/>
      <c r="Q14" s="215"/>
      <c r="R14" s="215" t="s">
        <v>404</v>
      </c>
      <c r="S14" s="215"/>
      <c r="T14" s="215"/>
    </row>
    <row r="15" spans="1:20" ht="20.100000000000001" customHeight="1" x14ac:dyDescent="0.25">
      <c r="A15" s="82">
        <v>1</v>
      </c>
      <c r="B15" s="214" t="s">
        <v>405</v>
      </c>
      <c r="C15" s="214"/>
      <c r="D15" s="214"/>
      <c r="E15" s="214"/>
      <c r="F15" s="214"/>
      <c r="G15" s="214"/>
      <c r="H15" s="214"/>
      <c r="I15" s="214"/>
      <c r="J15" s="214"/>
      <c r="K15" s="214"/>
      <c r="L15" s="214"/>
      <c r="M15" s="214"/>
      <c r="N15" s="214"/>
      <c r="O15" s="214"/>
      <c r="P15" s="214"/>
      <c r="Q15" s="214"/>
      <c r="R15" s="214"/>
      <c r="S15" s="214"/>
      <c r="T15" s="214"/>
    </row>
    <row r="16" spans="1:20" ht="20.100000000000001" customHeight="1" x14ac:dyDescent="0.25">
      <c r="A16" s="82">
        <v>2</v>
      </c>
      <c r="B16" s="214" t="s">
        <v>405</v>
      </c>
      <c r="C16" s="214"/>
      <c r="D16" s="214"/>
      <c r="E16" s="214"/>
      <c r="F16" s="214"/>
      <c r="G16" s="214"/>
      <c r="H16" s="214"/>
      <c r="I16" s="214"/>
      <c r="J16" s="214"/>
      <c r="K16" s="214"/>
      <c r="L16" s="214"/>
      <c r="M16" s="214"/>
      <c r="N16" s="214"/>
      <c r="O16" s="214"/>
      <c r="P16" s="214"/>
      <c r="Q16" s="214"/>
      <c r="R16" s="214"/>
      <c r="S16" s="214"/>
      <c r="T16" s="214"/>
    </row>
    <row r="17" spans="1:23" ht="20.100000000000001" customHeight="1" x14ac:dyDescent="0.25">
      <c r="A17" s="82">
        <v>3</v>
      </c>
      <c r="B17" s="214" t="s">
        <v>405</v>
      </c>
      <c r="C17" s="214"/>
      <c r="D17" s="214"/>
      <c r="E17" s="214"/>
      <c r="F17" s="214"/>
      <c r="G17" s="214"/>
      <c r="H17" s="214"/>
      <c r="I17" s="214"/>
      <c r="J17" s="214"/>
      <c r="K17" s="214"/>
      <c r="L17" s="214"/>
      <c r="M17" s="214"/>
      <c r="N17" s="214"/>
      <c r="O17" s="214"/>
      <c r="P17" s="214"/>
      <c r="Q17" s="214"/>
      <c r="R17" s="214"/>
      <c r="S17" s="214"/>
      <c r="T17" s="214"/>
    </row>
    <row r="18" spans="1:23" ht="20.100000000000001" customHeight="1" x14ac:dyDescent="0.25">
      <c r="A18" s="82">
        <v>4</v>
      </c>
      <c r="B18" s="214" t="s">
        <v>405</v>
      </c>
      <c r="C18" s="214"/>
      <c r="D18" s="214"/>
      <c r="E18" s="214"/>
      <c r="F18" s="214"/>
      <c r="G18" s="214"/>
      <c r="H18" s="214"/>
      <c r="I18" s="214"/>
      <c r="J18" s="214"/>
      <c r="K18" s="214"/>
      <c r="L18" s="214"/>
      <c r="M18" s="214"/>
      <c r="N18" s="214"/>
      <c r="O18" s="214"/>
      <c r="P18" s="214"/>
      <c r="Q18" s="214"/>
      <c r="R18" s="214"/>
      <c r="S18" s="214"/>
      <c r="T18" s="214"/>
    </row>
    <row r="19" spans="1:23" ht="20.100000000000001" customHeight="1" x14ac:dyDescent="0.25">
      <c r="A19" s="82">
        <v>5</v>
      </c>
      <c r="B19" s="214" t="s">
        <v>405</v>
      </c>
      <c r="C19" s="214"/>
      <c r="D19" s="214"/>
      <c r="E19" s="214"/>
      <c r="F19" s="214"/>
      <c r="G19" s="214"/>
      <c r="H19" s="214"/>
      <c r="I19" s="214"/>
      <c r="J19" s="214"/>
      <c r="K19" s="214"/>
      <c r="L19" s="214"/>
      <c r="M19" s="214"/>
      <c r="N19" s="214"/>
      <c r="O19" s="214"/>
      <c r="P19" s="214"/>
      <c r="Q19" s="214"/>
      <c r="R19" s="214"/>
      <c r="S19" s="214"/>
      <c r="T19" s="214"/>
    </row>
    <row r="20" spans="1:23" ht="20.100000000000001" customHeight="1" x14ac:dyDescent="0.25">
      <c r="A20" s="82">
        <v>6</v>
      </c>
      <c r="B20" s="214" t="s">
        <v>405</v>
      </c>
      <c r="C20" s="214"/>
      <c r="D20" s="214"/>
      <c r="E20" s="214"/>
      <c r="F20" s="214"/>
      <c r="G20" s="214"/>
      <c r="H20" s="214"/>
      <c r="I20" s="214"/>
      <c r="J20" s="214"/>
      <c r="K20" s="214"/>
      <c r="L20" s="214"/>
      <c r="M20" s="214"/>
      <c r="N20" s="214"/>
      <c r="O20" s="214"/>
      <c r="P20" s="214"/>
      <c r="Q20" s="214"/>
      <c r="R20" s="214"/>
      <c r="S20" s="214"/>
      <c r="T20" s="214"/>
    </row>
    <row r="21" spans="1:23" ht="20.100000000000001" customHeight="1" x14ac:dyDescent="0.25">
      <c r="A21" s="82">
        <v>7</v>
      </c>
      <c r="B21" s="214" t="s">
        <v>405</v>
      </c>
      <c r="C21" s="214"/>
      <c r="D21" s="214"/>
      <c r="E21" s="214"/>
      <c r="F21" s="214"/>
      <c r="G21" s="214"/>
      <c r="H21" s="214"/>
      <c r="I21" s="214"/>
      <c r="J21" s="214"/>
      <c r="K21" s="214"/>
      <c r="L21" s="214"/>
      <c r="M21" s="214"/>
      <c r="N21" s="214"/>
      <c r="O21" s="214"/>
      <c r="P21" s="214"/>
      <c r="Q21" s="214"/>
      <c r="R21" s="214"/>
      <c r="S21" s="214"/>
      <c r="T21" s="214"/>
    </row>
    <row r="22" spans="1:23" ht="20.100000000000001" customHeight="1" x14ac:dyDescent="0.25">
      <c r="A22" s="82">
        <v>8</v>
      </c>
      <c r="B22" s="214" t="s">
        <v>405</v>
      </c>
      <c r="C22" s="214"/>
      <c r="D22" s="214"/>
      <c r="E22" s="214"/>
      <c r="F22" s="214"/>
      <c r="G22" s="214"/>
      <c r="H22" s="214"/>
      <c r="I22" s="214"/>
      <c r="J22" s="214"/>
      <c r="K22" s="214"/>
      <c r="L22" s="214"/>
      <c r="M22" s="214"/>
      <c r="N22" s="214"/>
      <c r="O22" s="214"/>
      <c r="P22" s="214"/>
      <c r="Q22" s="214"/>
      <c r="R22" s="214"/>
      <c r="S22" s="214"/>
      <c r="T22" s="214"/>
    </row>
    <row r="23" spans="1:23" ht="20.100000000000001" customHeight="1" x14ac:dyDescent="0.25">
      <c r="A23" s="82">
        <v>9</v>
      </c>
      <c r="B23" s="214" t="s">
        <v>405</v>
      </c>
      <c r="C23" s="214"/>
      <c r="D23" s="214"/>
      <c r="E23" s="214"/>
      <c r="F23" s="214"/>
      <c r="G23" s="214"/>
      <c r="H23" s="214"/>
      <c r="I23" s="214"/>
      <c r="J23" s="214"/>
      <c r="K23" s="214"/>
      <c r="L23" s="214"/>
      <c r="M23" s="214"/>
      <c r="N23" s="214"/>
      <c r="O23" s="214"/>
      <c r="P23" s="214"/>
      <c r="Q23" s="214"/>
      <c r="R23" s="214"/>
      <c r="S23" s="214"/>
      <c r="T23" s="214"/>
    </row>
    <row r="24" spans="1:23" ht="20.100000000000001" customHeight="1" x14ac:dyDescent="0.25">
      <c r="A24" s="82">
        <v>10</v>
      </c>
      <c r="B24" s="214" t="s">
        <v>405</v>
      </c>
      <c r="C24" s="214"/>
      <c r="D24" s="214"/>
      <c r="E24" s="214"/>
      <c r="F24" s="214"/>
      <c r="G24" s="214"/>
      <c r="H24" s="214"/>
      <c r="I24" s="214"/>
      <c r="J24" s="214"/>
      <c r="K24" s="214"/>
      <c r="L24" s="214"/>
      <c r="M24" s="214"/>
      <c r="N24" s="214"/>
      <c r="O24" s="214"/>
      <c r="P24" s="214"/>
      <c r="Q24" s="214"/>
      <c r="R24" s="214"/>
      <c r="S24" s="214"/>
      <c r="T24" s="214"/>
    </row>
    <row r="25" spans="1:23" ht="20.100000000000001" customHeight="1" x14ac:dyDescent="0.25">
      <c r="A25" s="82">
        <v>11</v>
      </c>
      <c r="B25" s="214" t="s">
        <v>405</v>
      </c>
      <c r="C25" s="214"/>
      <c r="D25" s="214"/>
      <c r="E25" s="214"/>
      <c r="F25" s="214"/>
      <c r="G25" s="214"/>
      <c r="H25" s="214"/>
      <c r="I25" s="214"/>
      <c r="J25" s="214"/>
      <c r="K25" s="214"/>
      <c r="L25" s="214"/>
      <c r="M25" s="214"/>
      <c r="N25" s="214"/>
      <c r="O25" s="214"/>
      <c r="P25" s="214"/>
      <c r="Q25" s="214"/>
      <c r="R25" s="214"/>
      <c r="S25" s="214"/>
      <c r="T25" s="214"/>
    </row>
    <row r="26" spans="1:23" ht="20.100000000000001" customHeight="1" x14ac:dyDescent="0.25">
      <c r="A26" s="82">
        <v>12</v>
      </c>
      <c r="B26" s="214" t="s">
        <v>405</v>
      </c>
      <c r="C26" s="214"/>
      <c r="D26" s="214"/>
      <c r="E26" s="214"/>
      <c r="F26" s="214"/>
      <c r="G26" s="214"/>
      <c r="H26" s="214"/>
      <c r="I26" s="214"/>
      <c r="J26" s="214"/>
      <c r="K26" s="214"/>
      <c r="L26" s="214"/>
      <c r="M26" s="214"/>
      <c r="N26" s="214"/>
      <c r="O26" s="214"/>
      <c r="P26" s="214"/>
      <c r="Q26" s="214"/>
      <c r="R26" s="214"/>
      <c r="S26" s="214"/>
      <c r="T26" s="214"/>
    </row>
    <row r="29" spans="1:23" ht="20.100000000000001" customHeight="1" x14ac:dyDescent="0.25">
      <c r="A29" s="125" t="s">
        <v>8</v>
      </c>
      <c r="B29" s="125"/>
      <c r="C29" s="125"/>
      <c r="D29" s="125"/>
      <c r="E29" s="125"/>
      <c r="F29" s="125"/>
      <c r="G29" s="125"/>
      <c r="H29" s="125"/>
      <c r="I29" s="125"/>
      <c r="J29" s="125"/>
      <c r="K29" s="125"/>
      <c r="L29" s="125"/>
      <c r="M29" s="125"/>
      <c r="N29" s="125"/>
      <c r="O29" s="125"/>
      <c r="P29" s="125"/>
      <c r="Q29" s="125"/>
      <c r="R29" s="125"/>
      <c r="S29" s="125"/>
      <c r="T29" s="125"/>
    </row>
    <row r="30" spans="1:23" ht="20.100000000000001" customHeight="1" x14ac:dyDescent="0.25">
      <c r="W30" s="23"/>
    </row>
    <row r="31" spans="1:23" ht="39.950000000000003" customHeight="1" thickBot="1" x14ac:dyDescent="0.3">
      <c r="A31" s="126" t="s">
        <v>5</v>
      </c>
      <c r="B31" s="126"/>
      <c r="C31" s="45"/>
      <c r="D31" s="126" t="s">
        <v>344</v>
      </c>
      <c r="E31" s="126"/>
      <c r="F31" s="126"/>
      <c r="G31" s="126" t="s">
        <v>6</v>
      </c>
      <c r="H31" s="126"/>
      <c r="I31" s="126"/>
      <c r="J31" s="126" t="s">
        <v>7</v>
      </c>
      <c r="K31" s="126"/>
      <c r="L31" s="126"/>
      <c r="M31" s="126" t="s">
        <v>93</v>
      </c>
      <c r="N31" s="126"/>
      <c r="O31" s="126"/>
      <c r="P31" s="126" t="s">
        <v>9</v>
      </c>
      <c r="Q31" s="126"/>
      <c r="R31" s="126" t="s">
        <v>10</v>
      </c>
      <c r="S31" s="126"/>
      <c r="T31" s="126"/>
      <c r="V31" s="201" t="s">
        <v>2</v>
      </c>
      <c r="W31" s="201"/>
    </row>
    <row r="32" spans="1:23" ht="20.100000000000001" customHeight="1" x14ac:dyDescent="0.25">
      <c r="A32" s="137">
        <v>1</v>
      </c>
      <c r="B32" s="137"/>
      <c r="C32" s="46"/>
      <c r="D32" s="213">
        <v>200000</v>
      </c>
      <c r="E32" s="213"/>
      <c r="F32" s="213"/>
      <c r="G32" s="136">
        <v>360</v>
      </c>
      <c r="H32" s="136"/>
      <c r="I32" s="136"/>
      <c r="J32" s="138">
        <f>D32/G32</f>
        <v>555.55555555555554</v>
      </c>
      <c r="K32" s="138"/>
      <c r="L32" s="138"/>
      <c r="M32" s="91" t="s">
        <v>386</v>
      </c>
      <c r="N32" s="91"/>
      <c r="O32" s="91"/>
      <c r="P32" s="192">
        <f>VLOOKUP(M32,$V$33:$W$34,2,0)</f>
        <v>0.9</v>
      </c>
      <c r="Q32" s="192"/>
      <c r="R32" s="138">
        <f>J32*P32</f>
        <v>500</v>
      </c>
      <c r="S32" s="138"/>
      <c r="T32" s="138"/>
      <c r="V32" s="80" t="s">
        <v>387</v>
      </c>
      <c r="W32" s="48" t="s">
        <v>3</v>
      </c>
    </row>
    <row r="33" spans="1:23" ht="20.100000000000001" customHeight="1" x14ac:dyDescent="0.25">
      <c r="A33" s="90">
        <v>2</v>
      </c>
      <c r="B33" s="90"/>
      <c r="C33" s="49"/>
      <c r="D33" s="128">
        <v>180000</v>
      </c>
      <c r="E33" s="128"/>
      <c r="F33" s="128"/>
      <c r="G33" s="91">
        <v>320</v>
      </c>
      <c r="H33" s="91"/>
      <c r="I33" s="91"/>
      <c r="J33" s="128">
        <f t="shared" ref="J33:J43" si="0">D33/G33</f>
        <v>562.5</v>
      </c>
      <c r="K33" s="128"/>
      <c r="L33" s="128"/>
      <c r="M33" s="91" t="s">
        <v>386</v>
      </c>
      <c r="N33" s="91"/>
      <c r="O33" s="91"/>
      <c r="P33" s="135">
        <f>VLOOKUP(M33,$V$33:$W$34,2,0)</f>
        <v>0.9</v>
      </c>
      <c r="Q33" s="135"/>
      <c r="R33" s="128">
        <f>J33*P33</f>
        <v>506.25</v>
      </c>
      <c r="S33" s="128"/>
      <c r="T33" s="128"/>
      <c r="V33" s="42" t="s">
        <v>386</v>
      </c>
      <c r="W33" s="79">
        <v>0.9</v>
      </c>
    </row>
    <row r="34" spans="1:23" ht="20.100000000000001" customHeight="1" x14ac:dyDescent="0.25">
      <c r="A34" s="90">
        <v>3</v>
      </c>
      <c r="B34" s="90"/>
      <c r="C34" s="49"/>
      <c r="D34" s="128">
        <v>185000</v>
      </c>
      <c r="E34" s="128"/>
      <c r="F34" s="128"/>
      <c r="G34" s="91">
        <v>300</v>
      </c>
      <c r="H34" s="91"/>
      <c r="I34" s="91"/>
      <c r="J34" s="128">
        <f t="shared" si="0"/>
        <v>616.66666666666663</v>
      </c>
      <c r="K34" s="128"/>
      <c r="L34" s="128"/>
      <c r="M34" s="91" t="s">
        <v>386</v>
      </c>
      <c r="N34" s="91"/>
      <c r="O34" s="91"/>
      <c r="P34" s="135">
        <f>VLOOKUP(M34,$V$33:$W$34,2,0)</f>
        <v>0.9</v>
      </c>
      <c r="Q34" s="135"/>
      <c r="R34" s="128">
        <f t="shared" ref="R34:R35" si="1">J34*P34</f>
        <v>555</v>
      </c>
      <c r="S34" s="128"/>
      <c r="T34" s="128"/>
      <c r="V34" s="42" t="s">
        <v>4</v>
      </c>
      <c r="W34" s="79">
        <v>1</v>
      </c>
    </row>
    <row r="35" spans="1:23" ht="20.100000000000001" customHeight="1" x14ac:dyDescent="0.25">
      <c r="A35" s="90">
        <v>4</v>
      </c>
      <c r="B35" s="90"/>
      <c r="C35" s="49"/>
      <c r="D35" s="128">
        <v>190000</v>
      </c>
      <c r="E35" s="128"/>
      <c r="F35" s="128"/>
      <c r="G35" s="91">
        <v>300</v>
      </c>
      <c r="H35" s="91"/>
      <c r="I35" s="91"/>
      <c r="J35" s="128">
        <f t="shared" si="0"/>
        <v>633.33333333333337</v>
      </c>
      <c r="K35" s="128"/>
      <c r="L35" s="128"/>
      <c r="M35" s="91" t="s">
        <v>4</v>
      </c>
      <c r="N35" s="91"/>
      <c r="O35" s="91"/>
      <c r="P35" s="135">
        <f>VLOOKUP(M35,$V$33:$W$34,2,0)</f>
        <v>1</v>
      </c>
      <c r="Q35" s="135"/>
      <c r="R35" s="128">
        <f t="shared" si="1"/>
        <v>633.33333333333337</v>
      </c>
      <c r="S35" s="128"/>
      <c r="T35" s="128"/>
    </row>
    <row r="36" spans="1:23" ht="20.100000000000001" customHeight="1" x14ac:dyDescent="0.25">
      <c r="A36" s="137">
        <v>5</v>
      </c>
      <c r="B36" s="137"/>
      <c r="C36" s="46"/>
      <c r="D36" s="128">
        <v>185000</v>
      </c>
      <c r="E36" s="128"/>
      <c r="F36" s="128"/>
      <c r="G36" s="91">
        <v>300</v>
      </c>
      <c r="H36" s="91"/>
      <c r="I36" s="91"/>
      <c r="J36" s="128">
        <f t="shared" ref="J36:J42" si="2">D36/G36</f>
        <v>616.66666666666663</v>
      </c>
      <c r="K36" s="128"/>
      <c r="L36" s="128"/>
      <c r="M36" s="91" t="s">
        <v>386</v>
      </c>
      <c r="N36" s="91"/>
      <c r="O36" s="91"/>
      <c r="P36" s="135">
        <f t="shared" ref="P36:P42" si="3">VLOOKUP(M36,$V$33:$W$34,2,0)</f>
        <v>0.9</v>
      </c>
      <c r="Q36" s="135"/>
      <c r="R36" s="128">
        <f t="shared" ref="R36:R42" si="4">J36*P36</f>
        <v>555</v>
      </c>
      <c r="S36" s="128"/>
      <c r="T36" s="128"/>
    </row>
    <row r="37" spans="1:23" ht="20.100000000000001" customHeight="1" x14ac:dyDescent="0.25">
      <c r="A37" s="90">
        <v>6</v>
      </c>
      <c r="B37" s="90"/>
      <c r="C37" s="49"/>
      <c r="D37" s="128">
        <v>150000</v>
      </c>
      <c r="E37" s="128"/>
      <c r="F37" s="128"/>
      <c r="G37" s="91">
        <v>250</v>
      </c>
      <c r="H37" s="91"/>
      <c r="I37" s="91"/>
      <c r="J37" s="128">
        <f t="shared" si="2"/>
        <v>600</v>
      </c>
      <c r="K37" s="128"/>
      <c r="L37" s="128"/>
      <c r="M37" s="91" t="s">
        <v>386</v>
      </c>
      <c r="N37" s="91"/>
      <c r="O37" s="91"/>
      <c r="P37" s="135">
        <f t="shared" si="3"/>
        <v>0.9</v>
      </c>
      <c r="Q37" s="135"/>
      <c r="R37" s="128">
        <f t="shared" si="4"/>
        <v>540</v>
      </c>
      <c r="S37" s="128"/>
      <c r="T37" s="128"/>
    </row>
    <row r="38" spans="1:23" ht="20.100000000000001" customHeight="1" x14ac:dyDescent="0.25">
      <c r="A38" s="90">
        <v>7</v>
      </c>
      <c r="B38" s="90"/>
      <c r="C38" s="49"/>
      <c r="D38" s="128">
        <v>125000</v>
      </c>
      <c r="E38" s="128"/>
      <c r="F38" s="128"/>
      <c r="G38" s="91">
        <v>250</v>
      </c>
      <c r="H38" s="91"/>
      <c r="I38" s="91"/>
      <c r="J38" s="128">
        <f t="shared" si="2"/>
        <v>500</v>
      </c>
      <c r="K38" s="128"/>
      <c r="L38" s="128"/>
      <c r="M38" s="91" t="s">
        <v>386</v>
      </c>
      <c r="N38" s="91"/>
      <c r="O38" s="91"/>
      <c r="P38" s="135">
        <f t="shared" si="3"/>
        <v>0.9</v>
      </c>
      <c r="Q38" s="135"/>
      <c r="R38" s="128">
        <f t="shared" si="4"/>
        <v>450</v>
      </c>
      <c r="S38" s="128"/>
      <c r="T38" s="128"/>
    </row>
    <row r="39" spans="1:23" ht="20.100000000000001" customHeight="1" x14ac:dyDescent="0.25">
      <c r="A39" s="90">
        <v>8</v>
      </c>
      <c r="B39" s="90"/>
      <c r="C39" s="49"/>
      <c r="D39" s="128">
        <v>186000</v>
      </c>
      <c r="E39" s="128"/>
      <c r="F39" s="128"/>
      <c r="G39" s="91">
        <v>300</v>
      </c>
      <c r="H39" s="91"/>
      <c r="I39" s="91"/>
      <c r="J39" s="128">
        <f t="shared" si="2"/>
        <v>620</v>
      </c>
      <c r="K39" s="128"/>
      <c r="L39" s="128"/>
      <c r="M39" s="91" t="s">
        <v>386</v>
      </c>
      <c r="N39" s="91"/>
      <c r="O39" s="91"/>
      <c r="P39" s="135">
        <f t="shared" si="3"/>
        <v>0.9</v>
      </c>
      <c r="Q39" s="135"/>
      <c r="R39" s="128">
        <f t="shared" si="4"/>
        <v>558</v>
      </c>
      <c r="S39" s="128"/>
      <c r="T39" s="128"/>
    </row>
    <row r="40" spans="1:23" ht="20.100000000000001" customHeight="1" x14ac:dyDescent="0.25">
      <c r="A40" s="137">
        <v>9</v>
      </c>
      <c r="B40" s="137"/>
      <c r="C40" s="46"/>
      <c r="D40" s="128">
        <v>154000</v>
      </c>
      <c r="E40" s="128"/>
      <c r="F40" s="128"/>
      <c r="G40" s="91">
        <v>250</v>
      </c>
      <c r="H40" s="91"/>
      <c r="I40" s="91"/>
      <c r="J40" s="128">
        <f t="shared" si="2"/>
        <v>616</v>
      </c>
      <c r="K40" s="128"/>
      <c r="L40" s="128"/>
      <c r="M40" s="91" t="s">
        <v>386</v>
      </c>
      <c r="N40" s="91"/>
      <c r="O40" s="91"/>
      <c r="P40" s="135">
        <f t="shared" si="3"/>
        <v>0.9</v>
      </c>
      <c r="Q40" s="135"/>
      <c r="R40" s="128">
        <f t="shared" si="4"/>
        <v>554.4</v>
      </c>
      <c r="S40" s="128"/>
      <c r="T40" s="128"/>
    </row>
    <row r="41" spans="1:23" ht="20.100000000000001" customHeight="1" x14ac:dyDescent="0.25">
      <c r="A41" s="90">
        <v>10</v>
      </c>
      <c r="B41" s="90"/>
      <c r="C41" s="49"/>
      <c r="D41" s="128">
        <v>189000</v>
      </c>
      <c r="E41" s="128"/>
      <c r="F41" s="128"/>
      <c r="G41" s="91">
        <v>300</v>
      </c>
      <c r="H41" s="91"/>
      <c r="I41" s="91"/>
      <c r="J41" s="128">
        <f t="shared" si="2"/>
        <v>630</v>
      </c>
      <c r="K41" s="128"/>
      <c r="L41" s="128"/>
      <c r="M41" s="91" t="s">
        <v>4</v>
      </c>
      <c r="N41" s="91"/>
      <c r="O41" s="91"/>
      <c r="P41" s="135">
        <f t="shared" si="3"/>
        <v>1</v>
      </c>
      <c r="Q41" s="135"/>
      <c r="R41" s="128">
        <f t="shared" si="4"/>
        <v>630</v>
      </c>
      <c r="S41" s="128"/>
      <c r="T41" s="128"/>
    </row>
    <row r="42" spans="1:23" ht="20.100000000000001" customHeight="1" x14ac:dyDescent="0.25">
      <c r="A42" s="90">
        <v>11</v>
      </c>
      <c r="B42" s="90"/>
      <c r="C42" s="49"/>
      <c r="D42" s="128">
        <v>125000</v>
      </c>
      <c r="E42" s="128"/>
      <c r="F42" s="128"/>
      <c r="G42" s="91">
        <v>250</v>
      </c>
      <c r="H42" s="91"/>
      <c r="I42" s="91"/>
      <c r="J42" s="128">
        <f t="shared" si="2"/>
        <v>500</v>
      </c>
      <c r="K42" s="128"/>
      <c r="L42" s="128"/>
      <c r="M42" s="91" t="s">
        <v>386</v>
      </c>
      <c r="N42" s="91"/>
      <c r="O42" s="91"/>
      <c r="P42" s="135">
        <f t="shared" si="3"/>
        <v>0.9</v>
      </c>
      <c r="Q42" s="135"/>
      <c r="R42" s="128">
        <f t="shared" si="4"/>
        <v>450</v>
      </c>
      <c r="S42" s="128"/>
      <c r="T42" s="128"/>
    </row>
    <row r="43" spans="1:23" ht="20.100000000000001" customHeight="1" x14ac:dyDescent="0.25">
      <c r="A43" s="90">
        <v>12</v>
      </c>
      <c r="B43" s="90"/>
      <c r="C43" s="49"/>
      <c r="D43" s="128">
        <v>190000</v>
      </c>
      <c r="E43" s="128"/>
      <c r="F43" s="128"/>
      <c r="G43" s="91">
        <v>295</v>
      </c>
      <c r="H43" s="91"/>
      <c r="I43" s="91"/>
      <c r="J43" s="128">
        <f t="shared" si="0"/>
        <v>644.06779661016947</v>
      </c>
      <c r="K43" s="128"/>
      <c r="L43" s="128"/>
      <c r="M43" s="91" t="s">
        <v>4</v>
      </c>
      <c r="N43" s="91"/>
      <c r="O43" s="91"/>
      <c r="P43" s="135">
        <f>VLOOKUP(M43,$V$33:$W$34,2,0)</f>
        <v>1</v>
      </c>
      <c r="Q43" s="135"/>
      <c r="R43" s="128">
        <f>J43*P43</f>
        <v>644.06779661016947</v>
      </c>
      <c r="S43" s="128"/>
      <c r="T43" s="128"/>
    </row>
    <row r="45" spans="1:23" ht="20.100000000000001" customHeight="1" x14ac:dyDescent="0.25">
      <c r="N45" s="127" t="s">
        <v>24</v>
      </c>
      <c r="O45" s="127"/>
      <c r="P45" s="127"/>
      <c r="Q45" s="127"/>
      <c r="R45" s="127">
        <f>AVERAGE(R32:T43)</f>
        <v>548.00426082862521</v>
      </c>
      <c r="S45" s="127"/>
      <c r="T45" s="127"/>
    </row>
    <row r="46" spans="1:23" ht="20.100000000000001" customHeight="1" x14ac:dyDescent="0.25">
      <c r="N46" s="138" t="s">
        <v>25</v>
      </c>
      <c r="O46" s="138"/>
      <c r="P46" s="138"/>
      <c r="Q46" s="138"/>
      <c r="R46" s="127">
        <f>STDEVA(R32:T43)</f>
        <v>65.221874192812862</v>
      </c>
      <c r="S46" s="127"/>
      <c r="T46" s="127"/>
    </row>
    <row r="47" spans="1:23" ht="20.100000000000001" customHeight="1" x14ac:dyDescent="0.25">
      <c r="N47" s="128" t="s">
        <v>23</v>
      </c>
      <c r="O47" s="128"/>
      <c r="P47" s="128"/>
      <c r="Q47" s="128"/>
      <c r="R47" s="142">
        <f>R46/R45</f>
        <v>0.11901709321418834</v>
      </c>
      <c r="S47" s="142"/>
      <c r="T47" s="142"/>
    </row>
    <row r="50" spans="1:20" ht="20.100000000000001" customHeight="1" x14ac:dyDescent="0.25">
      <c r="A50" s="125" t="s">
        <v>17</v>
      </c>
      <c r="B50" s="125"/>
      <c r="C50" s="125"/>
      <c r="D50" s="125"/>
      <c r="E50" s="125"/>
      <c r="F50" s="125"/>
      <c r="G50" s="125"/>
      <c r="H50" s="125"/>
      <c r="I50" s="125"/>
      <c r="J50" s="125"/>
      <c r="K50" s="125"/>
      <c r="L50" s="125"/>
      <c r="M50" s="125"/>
      <c r="N50" s="125"/>
      <c r="O50" s="125"/>
      <c r="P50" s="125"/>
      <c r="Q50" s="125"/>
      <c r="R50" s="125"/>
      <c r="S50" s="125"/>
      <c r="T50" s="125"/>
    </row>
    <row r="52" spans="1:20" ht="80.099999999999994" customHeight="1" x14ac:dyDescent="0.25">
      <c r="A52" s="99" t="s">
        <v>70</v>
      </c>
      <c r="B52" s="99"/>
      <c r="C52" s="99"/>
      <c r="D52" s="99"/>
      <c r="E52" s="99"/>
      <c r="F52" s="99"/>
      <c r="G52" s="99"/>
      <c r="H52" s="99"/>
      <c r="I52" s="99"/>
      <c r="J52" s="99"/>
      <c r="K52" s="99"/>
      <c r="L52" s="99"/>
      <c r="M52" s="99"/>
      <c r="N52" s="99"/>
      <c r="O52" s="99"/>
      <c r="P52" s="99"/>
      <c r="Q52" s="99"/>
      <c r="R52" s="99"/>
      <c r="S52" s="99"/>
      <c r="T52" s="99"/>
    </row>
    <row r="54" spans="1:20" ht="20.100000000000001" customHeight="1" x14ac:dyDescent="0.25">
      <c r="A54" s="126" t="s">
        <v>11</v>
      </c>
      <c r="B54" s="126"/>
      <c r="C54" s="126"/>
      <c r="D54" s="126"/>
      <c r="E54" s="126"/>
      <c r="F54" s="126"/>
      <c r="G54" s="126"/>
      <c r="H54" s="126"/>
      <c r="I54" s="126"/>
      <c r="J54" s="126" t="s">
        <v>71</v>
      </c>
      <c r="K54" s="126"/>
      <c r="L54" s="143" t="s">
        <v>368</v>
      </c>
      <c r="M54" s="143"/>
      <c r="N54" s="143"/>
      <c r="O54" s="143"/>
      <c r="P54" s="143"/>
      <c r="Q54" s="211" t="s">
        <v>367</v>
      </c>
      <c r="R54" s="211"/>
      <c r="S54" s="211"/>
      <c r="T54" s="211"/>
    </row>
    <row r="55" spans="1:20" ht="20.100000000000001" customHeight="1" x14ac:dyDescent="0.25">
      <c r="A55" s="128" t="s">
        <v>12</v>
      </c>
      <c r="B55" s="128"/>
      <c r="C55" s="128"/>
      <c r="D55" s="128"/>
      <c r="E55" s="128"/>
      <c r="F55" s="128"/>
      <c r="G55" s="128"/>
      <c r="H55" s="128"/>
      <c r="I55" s="128"/>
      <c r="J55" s="192" t="s">
        <v>369</v>
      </c>
      <c r="K55" s="192"/>
      <c r="L55" s="101" t="s">
        <v>362</v>
      </c>
      <c r="M55" s="101"/>
      <c r="N55" s="101"/>
      <c r="O55" s="101"/>
      <c r="P55" s="101"/>
      <c r="Q55" s="101">
        <v>1</v>
      </c>
      <c r="R55" s="101"/>
      <c r="S55" s="101"/>
      <c r="T55" s="101"/>
    </row>
    <row r="56" spans="1:20" ht="20.100000000000001" customHeight="1" x14ac:dyDescent="0.25">
      <c r="A56" s="128" t="s">
        <v>15</v>
      </c>
      <c r="B56" s="128"/>
      <c r="C56" s="128"/>
      <c r="D56" s="128"/>
      <c r="E56" s="128"/>
      <c r="F56" s="128"/>
      <c r="G56" s="128"/>
      <c r="H56" s="128"/>
      <c r="I56" s="128"/>
      <c r="J56" s="135" t="s">
        <v>370</v>
      </c>
      <c r="K56" s="135"/>
      <c r="L56" s="101" t="s">
        <v>363</v>
      </c>
      <c r="M56" s="101"/>
      <c r="N56" s="101"/>
      <c r="O56" s="101"/>
      <c r="P56" s="101"/>
      <c r="Q56" s="101">
        <v>1</v>
      </c>
      <c r="R56" s="101"/>
      <c r="S56" s="101"/>
      <c r="T56" s="101"/>
    </row>
    <row r="57" spans="1:20" ht="20.100000000000001" customHeight="1" x14ac:dyDescent="0.25">
      <c r="A57" s="128" t="s">
        <v>16</v>
      </c>
      <c r="B57" s="128"/>
      <c r="C57" s="128"/>
      <c r="D57" s="128"/>
      <c r="E57" s="128"/>
      <c r="F57" s="128"/>
      <c r="G57" s="128"/>
      <c r="H57" s="128"/>
      <c r="I57" s="128"/>
      <c r="J57" s="135" t="s">
        <v>371</v>
      </c>
      <c r="K57" s="135"/>
      <c r="L57" s="101" t="s">
        <v>364</v>
      </c>
      <c r="M57" s="101"/>
      <c r="N57" s="101"/>
      <c r="O57" s="101"/>
      <c r="P57" s="101"/>
      <c r="Q57" s="101">
        <v>1</v>
      </c>
      <c r="R57" s="101"/>
      <c r="S57" s="101"/>
      <c r="T57" s="101"/>
    </row>
    <row r="58" spans="1:20" ht="20.100000000000001" customHeight="1" x14ac:dyDescent="0.25">
      <c r="A58" s="128" t="s">
        <v>13</v>
      </c>
      <c r="B58" s="128"/>
      <c r="C58" s="128"/>
      <c r="D58" s="128"/>
      <c r="E58" s="128"/>
      <c r="F58" s="128"/>
      <c r="G58" s="128"/>
      <c r="H58" s="128"/>
      <c r="I58" s="128"/>
      <c r="J58" s="135" t="s">
        <v>372</v>
      </c>
      <c r="K58" s="135"/>
      <c r="L58" s="101" t="s">
        <v>365</v>
      </c>
      <c r="M58" s="101"/>
      <c r="N58" s="101"/>
      <c r="O58" s="101"/>
      <c r="P58" s="101"/>
      <c r="Q58" s="101">
        <v>1</v>
      </c>
      <c r="R58" s="101"/>
      <c r="S58" s="101"/>
      <c r="T58" s="101"/>
    </row>
    <row r="59" spans="1:20" ht="20.100000000000001" customHeight="1" x14ac:dyDescent="0.25">
      <c r="A59" s="128" t="s">
        <v>14</v>
      </c>
      <c r="B59" s="128"/>
      <c r="C59" s="128"/>
      <c r="D59" s="128"/>
      <c r="E59" s="128"/>
      <c r="F59" s="128"/>
      <c r="G59" s="128"/>
      <c r="H59" s="128"/>
      <c r="I59" s="128"/>
      <c r="J59" s="135" t="s">
        <v>373</v>
      </c>
      <c r="K59" s="135"/>
      <c r="L59" s="101" t="s">
        <v>366</v>
      </c>
      <c r="M59" s="101"/>
      <c r="N59" s="101"/>
      <c r="O59" s="101"/>
      <c r="P59" s="101"/>
      <c r="Q59" s="101">
        <v>1</v>
      </c>
      <c r="R59" s="101"/>
      <c r="S59" s="101"/>
      <c r="T59" s="101"/>
    </row>
    <row r="62" spans="1:20" ht="20.100000000000001" customHeight="1" x14ac:dyDescent="0.25">
      <c r="A62" s="140" t="s">
        <v>21</v>
      </c>
      <c r="B62" s="140"/>
      <c r="C62" s="140"/>
      <c r="D62" s="140"/>
      <c r="E62" s="140"/>
      <c r="F62" s="140"/>
      <c r="G62" s="140" t="s">
        <v>22</v>
      </c>
      <c r="H62" s="140"/>
      <c r="I62" s="140"/>
      <c r="J62" s="140"/>
      <c r="K62" s="140"/>
      <c r="L62" s="140" t="s">
        <v>18</v>
      </c>
      <c r="M62" s="140"/>
    </row>
    <row r="63" spans="1:20" ht="20.100000000000001" customHeight="1" x14ac:dyDescent="0.25">
      <c r="A63" s="126"/>
      <c r="B63" s="126"/>
      <c r="C63" s="126"/>
      <c r="D63" s="126"/>
      <c r="E63" s="126"/>
      <c r="F63" s="126"/>
      <c r="G63" s="45" t="s">
        <v>369</v>
      </c>
      <c r="H63" s="45" t="s">
        <v>370</v>
      </c>
      <c r="I63" s="45" t="s">
        <v>371</v>
      </c>
      <c r="J63" s="45" t="s">
        <v>372</v>
      </c>
      <c r="K63" s="45" t="s">
        <v>373</v>
      </c>
      <c r="L63" s="126"/>
      <c r="M63" s="126"/>
    </row>
    <row r="64" spans="1:20" ht="20.100000000000001" customHeight="1" thickBot="1" x14ac:dyDescent="0.3">
      <c r="A64" s="52"/>
      <c r="B64" s="52"/>
      <c r="C64" s="52"/>
      <c r="D64" s="52"/>
      <c r="E64" s="52"/>
      <c r="F64" s="52"/>
      <c r="G64" s="50">
        <v>0.9</v>
      </c>
      <c r="H64" s="50">
        <v>1</v>
      </c>
      <c r="I64" s="50">
        <v>1</v>
      </c>
      <c r="J64" s="50">
        <v>1</v>
      </c>
      <c r="K64" s="50">
        <v>1</v>
      </c>
      <c r="L64" s="141">
        <f>SUM(G64:K64)-COUNT(G64:K64)+1</f>
        <v>0.90000000000000036</v>
      </c>
      <c r="M64" s="141"/>
    </row>
    <row r="66" spans="1:20" ht="39.950000000000003" customHeight="1" x14ac:dyDescent="0.25">
      <c r="A66" s="126" t="s">
        <v>5</v>
      </c>
      <c r="B66" s="126"/>
      <c r="C66" s="45"/>
      <c r="D66" s="126" t="str">
        <f>R31</f>
        <v>Valor unitário ajustado</v>
      </c>
      <c r="E66" s="126"/>
      <c r="F66" s="126"/>
      <c r="G66" s="45" t="s">
        <v>369</v>
      </c>
      <c r="H66" s="45" t="s">
        <v>370</v>
      </c>
      <c r="I66" s="45" t="s">
        <v>371</v>
      </c>
      <c r="J66" s="45" t="s">
        <v>372</v>
      </c>
      <c r="K66" s="45" t="s">
        <v>373</v>
      </c>
      <c r="L66" s="126" t="s">
        <v>18</v>
      </c>
      <c r="M66" s="126"/>
      <c r="N66" s="126" t="s">
        <v>19</v>
      </c>
      <c r="O66" s="126"/>
      <c r="P66" s="126" t="s">
        <v>11</v>
      </c>
      <c r="Q66" s="126"/>
      <c r="R66" s="126" t="s">
        <v>20</v>
      </c>
      <c r="S66" s="126"/>
      <c r="T66" s="126"/>
    </row>
    <row r="67" spans="1:20" ht="20.100000000000001" customHeight="1" x14ac:dyDescent="0.25">
      <c r="A67" s="137">
        <v>1</v>
      </c>
      <c r="B67" s="137"/>
      <c r="C67" s="47"/>
      <c r="D67" s="138">
        <f>R32</f>
        <v>500</v>
      </c>
      <c r="E67" s="138"/>
      <c r="F67" s="138"/>
      <c r="G67" s="1">
        <v>0.95</v>
      </c>
      <c r="H67" s="1">
        <v>0.95</v>
      </c>
      <c r="I67" s="1">
        <v>1</v>
      </c>
      <c r="J67" s="1">
        <v>1</v>
      </c>
      <c r="K67" s="1">
        <v>1</v>
      </c>
      <c r="L67" s="138">
        <f>SUM(G67:K67)-COUNT(G67:K67)+1</f>
        <v>0.90000000000000036</v>
      </c>
      <c r="M67" s="138"/>
      <c r="N67" s="138">
        <f t="shared" ref="N67:N78" si="5">$L$64</f>
        <v>0.90000000000000036</v>
      </c>
      <c r="O67" s="138"/>
      <c r="P67" s="138">
        <f t="shared" ref="P67:P78" si="6">N67/L67</f>
        <v>1</v>
      </c>
      <c r="Q67" s="138"/>
      <c r="R67" s="138">
        <f t="shared" ref="R67:R78" si="7">D67*P67</f>
        <v>500</v>
      </c>
      <c r="S67" s="138"/>
      <c r="T67" s="138"/>
    </row>
    <row r="68" spans="1:20" ht="20.100000000000001" customHeight="1" x14ac:dyDescent="0.25">
      <c r="A68" s="90">
        <v>2</v>
      </c>
      <c r="B68" s="90"/>
      <c r="C68" s="49"/>
      <c r="D68" s="128">
        <f>R33</f>
        <v>506.25</v>
      </c>
      <c r="E68" s="128"/>
      <c r="F68" s="128"/>
      <c r="G68" s="44">
        <v>1</v>
      </c>
      <c r="H68" s="44">
        <v>1</v>
      </c>
      <c r="I68" s="44">
        <v>1</v>
      </c>
      <c r="J68" s="44">
        <v>0.95</v>
      </c>
      <c r="K68" s="44">
        <v>1</v>
      </c>
      <c r="L68" s="128">
        <f t="shared" ref="L68:L78" si="8">SUM(G68:K68)-COUNT(G68:K68)+1</f>
        <v>0.95000000000000018</v>
      </c>
      <c r="M68" s="128"/>
      <c r="N68" s="128">
        <f t="shared" si="5"/>
        <v>0.90000000000000036</v>
      </c>
      <c r="O68" s="128"/>
      <c r="P68" s="128">
        <f t="shared" si="6"/>
        <v>0.94736842105263175</v>
      </c>
      <c r="Q68" s="128"/>
      <c r="R68" s="128">
        <f t="shared" si="7"/>
        <v>479.6052631578948</v>
      </c>
      <c r="S68" s="128"/>
      <c r="T68" s="128"/>
    </row>
    <row r="69" spans="1:20" ht="20.100000000000001" customHeight="1" x14ac:dyDescent="0.25">
      <c r="A69" s="90">
        <v>3</v>
      </c>
      <c r="B69" s="90"/>
      <c r="C69" s="49"/>
      <c r="D69" s="128">
        <f>R34</f>
        <v>555</v>
      </c>
      <c r="E69" s="128"/>
      <c r="F69" s="128"/>
      <c r="G69" s="44">
        <v>1</v>
      </c>
      <c r="H69" s="44">
        <v>1</v>
      </c>
      <c r="I69" s="44">
        <v>1</v>
      </c>
      <c r="J69" s="44">
        <v>1</v>
      </c>
      <c r="K69" s="44">
        <v>1</v>
      </c>
      <c r="L69" s="128">
        <f t="shared" ref="L69:L70" si="9">SUM(G69:K69)-COUNT(G69:K69)+1</f>
        <v>1</v>
      </c>
      <c r="M69" s="128"/>
      <c r="N69" s="128">
        <f t="shared" si="5"/>
        <v>0.90000000000000036</v>
      </c>
      <c r="O69" s="128"/>
      <c r="P69" s="128">
        <f t="shared" ref="P69:P70" si="10">N69/L69</f>
        <v>0.90000000000000036</v>
      </c>
      <c r="Q69" s="128"/>
      <c r="R69" s="128">
        <f t="shared" ref="R69:R70" si="11">D69*P69</f>
        <v>499.50000000000017</v>
      </c>
      <c r="S69" s="128"/>
      <c r="T69" s="128"/>
    </row>
    <row r="70" spans="1:20" ht="20.100000000000001" customHeight="1" x14ac:dyDescent="0.25">
      <c r="A70" s="90">
        <v>4</v>
      </c>
      <c r="B70" s="90"/>
      <c r="C70" s="49"/>
      <c r="D70" s="128">
        <f>R35</f>
        <v>633.33333333333337</v>
      </c>
      <c r="E70" s="128"/>
      <c r="F70" s="128"/>
      <c r="G70" s="44">
        <v>1</v>
      </c>
      <c r="H70" s="44">
        <v>1</v>
      </c>
      <c r="I70" s="44">
        <v>1</v>
      </c>
      <c r="J70" s="44">
        <v>1</v>
      </c>
      <c r="K70" s="44">
        <v>1.25</v>
      </c>
      <c r="L70" s="128">
        <f t="shared" si="9"/>
        <v>1.25</v>
      </c>
      <c r="M70" s="128"/>
      <c r="N70" s="128">
        <f t="shared" si="5"/>
        <v>0.90000000000000036</v>
      </c>
      <c r="O70" s="128"/>
      <c r="P70" s="128">
        <f t="shared" si="10"/>
        <v>0.72000000000000031</v>
      </c>
      <c r="Q70" s="128"/>
      <c r="R70" s="128">
        <f t="shared" si="11"/>
        <v>456.00000000000023</v>
      </c>
      <c r="S70" s="128"/>
      <c r="T70" s="128"/>
    </row>
    <row r="71" spans="1:20" ht="20.100000000000001" customHeight="1" x14ac:dyDescent="0.25">
      <c r="A71" s="137">
        <v>5</v>
      </c>
      <c r="B71" s="137"/>
      <c r="C71" s="47"/>
      <c r="D71" s="138">
        <f t="shared" ref="D71:D77" si="12">R36</f>
        <v>555</v>
      </c>
      <c r="E71" s="138"/>
      <c r="F71" s="138"/>
      <c r="G71" s="44">
        <v>1</v>
      </c>
      <c r="H71" s="44">
        <v>1</v>
      </c>
      <c r="I71" s="44">
        <v>1</v>
      </c>
      <c r="J71" s="44">
        <v>1</v>
      </c>
      <c r="K71" s="44">
        <v>1</v>
      </c>
      <c r="L71" s="128">
        <f t="shared" ref="L71:L77" si="13">SUM(G71:K71)-COUNT(G71:K71)+1</f>
        <v>1</v>
      </c>
      <c r="M71" s="128"/>
      <c r="N71" s="128">
        <f t="shared" si="5"/>
        <v>0.90000000000000036</v>
      </c>
      <c r="O71" s="128"/>
      <c r="P71" s="128">
        <f t="shared" ref="P71:P77" si="14">N71/L71</f>
        <v>0.90000000000000036</v>
      </c>
      <c r="Q71" s="128"/>
      <c r="R71" s="128">
        <f t="shared" ref="R71:R77" si="15">D71*P71</f>
        <v>499.50000000000017</v>
      </c>
      <c r="S71" s="128"/>
      <c r="T71" s="128"/>
    </row>
    <row r="72" spans="1:20" ht="20.100000000000001" customHeight="1" x14ac:dyDescent="0.25">
      <c r="A72" s="90">
        <v>6</v>
      </c>
      <c r="B72" s="90"/>
      <c r="C72" s="49"/>
      <c r="D72" s="128">
        <f t="shared" si="12"/>
        <v>540</v>
      </c>
      <c r="E72" s="128"/>
      <c r="F72" s="128"/>
      <c r="G72" s="44">
        <v>1</v>
      </c>
      <c r="H72" s="44">
        <v>1</v>
      </c>
      <c r="I72" s="44">
        <v>1</v>
      </c>
      <c r="J72" s="44">
        <v>1</v>
      </c>
      <c r="K72" s="44">
        <v>1</v>
      </c>
      <c r="L72" s="128">
        <f t="shared" si="13"/>
        <v>1</v>
      </c>
      <c r="M72" s="128"/>
      <c r="N72" s="128">
        <f t="shared" si="5"/>
        <v>0.90000000000000036</v>
      </c>
      <c r="O72" s="128"/>
      <c r="P72" s="128">
        <f t="shared" si="14"/>
        <v>0.90000000000000036</v>
      </c>
      <c r="Q72" s="128"/>
      <c r="R72" s="128">
        <f t="shared" si="15"/>
        <v>486.00000000000017</v>
      </c>
      <c r="S72" s="128"/>
      <c r="T72" s="128"/>
    </row>
    <row r="73" spans="1:20" ht="20.100000000000001" customHeight="1" x14ac:dyDescent="0.25">
      <c r="A73" s="90">
        <v>7</v>
      </c>
      <c r="B73" s="90"/>
      <c r="C73" s="49"/>
      <c r="D73" s="128">
        <f t="shared" si="12"/>
        <v>450</v>
      </c>
      <c r="E73" s="128"/>
      <c r="F73" s="128"/>
      <c r="G73" s="44">
        <v>0.9</v>
      </c>
      <c r="H73" s="44">
        <v>1</v>
      </c>
      <c r="I73" s="44">
        <v>0.9</v>
      </c>
      <c r="J73" s="44">
        <v>1</v>
      </c>
      <c r="K73" s="44">
        <v>1</v>
      </c>
      <c r="L73" s="128">
        <f t="shared" si="13"/>
        <v>0.79999999999999982</v>
      </c>
      <c r="M73" s="128"/>
      <c r="N73" s="128">
        <f t="shared" si="5"/>
        <v>0.90000000000000036</v>
      </c>
      <c r="O73" s="128"/>
      <c r="P73" s="128">
        <f t="shared" si="14"/>
        <v>1.1250000000000007</v>
      </c>
      <c r="Q73" s="128"/>
      <c r="R73" s="128">
        <f t="shared" si="15"/>
        <v>506.25000000000028</v>
      </c>
      <c r="S73" s="128"/>
      <c r="T73" s="128"/>
    </row>
    <row r="74" spans="1:20" ht="20.100000000000001" customHeight="1" x14ac:dyDescent="0.25">
      <c r="A74" s="90">
        <v>8</v>
      </c>
      <c r="B74" s="90"/>
      <c r="C74" s="49"/>
      <c r="D74" s="128">
        <f t="shared" si="12"/>
        <v>558</v>
      </c>
      <c r="E74" s="128"/>
      <c r="F74" s="128"/>
      <c r="G74" s="44">
        <v>1</v>
      </c>
      <c r="H74" s="44">
        <v>1</v>
      </c>
      <c r="I74" s="44">
        <v>1</v>
      </c>
      <c r="J74" s="44">
        <v>1</v>
      </c>
      <c r="K74" s="44">
        <v>1</v>
      </c>
      <c r="L74" s="128">
        <f t="shared" si="13"/>
        <v>1</v>
      </c>
      <c r="M74" s="128"/>
      <c r="N74" s="128">
        <f t="shared" si="5"/>
        <v>0.90000000000000036</v>
      </c>
      <c r="O74" s="128"/>
      <c r="P74" s="128">
        <f t="shared" si="14"/>
        <v>0.90000000000000036</v>
      </c>
      <c r="Q74" s="128"/>
      <c r="R74" s="128">
        <f t="shared" si="15"/>
        <v>502.20000000000022</v>
      </c>
      <c r="S74" s="128"/>
      <c r="T74" s="128"/>
    </row>
    <row r="75" spans="1:20" ht="20.100000000000001" customHeight="1" x14ac:dyDescent="0.25">
      <c r="A75" s="137">
        <v>9</v>
      </c>
      <c r="B75" s="137"/>
      <c r="C75" s="47"/>
      <c r="D75" s="138">
        <f t="shared" si="12"/>
        <v>554.4</v>
      </c>
      <c r="E75" s="138"/>
      <c r="F75" s="138"/>
      <c r="G75" s="44">
        <v>1</v>
      </c>
      <c r="H75" s="44">
        <v>1</v>
      </c>
      <c r="I75" s="44">
        <v>1</v>
      </c>
      <c r="J75" s="44">
        <v>1</v>
      </c>
      <c r="K75" s="44">
        <v>1</v>
      </c>
      <c r="L75" s="128">
        <f t="shared" si="13"/>
        <v>1</v>
      </c>
      <c r="M75" s="128"/>
      <c r="N75" s="128">
        <f t="shared" si="5"/>
        <v>0.90000000000000036</v>
      </c>
      <c r="O75" s="128"/>
      <c r="P75" s="128">
        <f t="shared" si="14"/>
        <v>0.90000000000000036</v>
      </c>
      <c r="Q75" s="128"/>
      <c r="R75" s="128">
        <f t="shared" si="15"/>
        <v>498.96000000000015</v>
      </c>
      <c r="S75" s="128"/>
      <c r="T75" s="128"/>
    </row>
    <row r="76" spans="1:20" ht="20.100000000000001" customHeight="1" x14ac:dyDescent="0.25">
      <c r="A76" s="90">
        <v>10</v>
      </c>
      <c r="B76" s="90"/>
      <c r="C76" s="49"/>
      <c r="D76" s="128">
        <f t="shared" si="12"/>
        <v>630</v>
      </c>
      <c r="E76" s="128"/>
      <c r="F76" s="128"/>
      <c r="G76" s="44">
        <v>1</v>
      </c>
      <c r="H76" s="44">
        <v>1</v>
      </c>
      <c r="I76" s="44">
        <v>1</v>
      </c>
      <c r="J76" s="44">
        <v>1</v>
      </c>
      <c r="K76" s="44">
        <v>1</v>
      </c>
      <c r="L76" s="128">
        <f t="shared" si="13"/>
        <v>1</v>
      </c>
      <c r="M76" s="128"/>
      <c r="N76" s="128">
        <f t="shared" si="5"/>
        <v>0.90000000000000036</v>
      </c>
      <c r="O76" s="128"/>
      <c r="P76" s="128">
        <f t="shared" si="14"/>
        <v>0.90000000000000036</v>
      </c>
      <c r="Q76" s="128"/>
      <c r="R76" s="128">
        <f t="shared" si="15"/>
        <v>567.00000000000023</v>
      </c>
      <c r="S76" s="128"/>
      <c r="T76" s="128"/>
    </row>
    <row r="77" spans="1:20" ht="20.100000000000001" customHeight="1" x14ac:dyDescent="0.25">
      <c r="A77" s="90">
        <v>11</v>
      </c>
      <c r="B77" s="90"/>
      <c r="C77" s="49"/>
      <c r="D77" s="128">
        <f t="shared" si="12"/>
        <v>450</v>
      </c>
      <c r="E77" s="128"/>
      <c r="F77" s="128"/>
      <c r="G77" s="44">
        <v>0.9</v>
      </c>
      <c r="H77" s="44">
        <v>0.95</v>
      </c>
      <c r="I77" s="44">
        <v>0.8</v>
      </c>
      <c r="J77" s="44">
        <v>0.95</v>
      </c>
      <c r="K77" s="44">
        <v>1</v>
      </c>
      <c r="L77" s="128">
        <f t="shared" si="13"/>
        <v>0.60000000000000053</v>
      </c>
      <c r="M77" s="128"/>
      <c r="N77" s="128">
        <f t="shared" si="5"/>
        <v>0.90000000000000036</v>
      </c>
      <c r="O77" s="128"/>
      <c r="P77" s="128">
        <f t="shared" si="14"/>
        <v>1.4999999999999993</v>
      </c>
      <c r="Q77" s="128"/>
      <c r="R77" s="128">
        <f t="shared" si="15"/>
        <v>674.99999999999966</v>
      </c>
      <c r="S77" s="128"/>
      <c r="T77" s="128"/>
    </row>
    <row r="78" spans="1:20" ht="20.100000000000001" customHeight="1" x14ac:dyDescent="0.25">
      <c r="A78" s="90">
        <v>12</v>
      </c>
      <c r="B78" s="90"/>
      <c r="C78" s="49"/>
      <c r="D78" s="128">
        <f>R43</f>
        <v>644.06779661016947</v>
      </c>
      <c r="E78" s="128"/>
      <c r="F78" s="128"/>
      <c r="G78" s="44">
        <v>1</v>
      </c>
      <c r="H78" s="44">
        <v>1</v>
      </c>
      <c r="I78" s="44">
        <v>1</v>
      </c>
      <c r="J78" s="44">
        <v>1</v>
      </c>
      <c r="K78" s="44">
        <v>1</v>
      </c>
      <c r="L78" s="128">
        <f t="shared" si="8"/>
        <v>1</v>
      </c>
      <c r="M78" s="128"/>
      <c r="N78" s="128">
        <f t="shared" si="5"/>
        <v>0.90000000000000036</v>
      </c>
      <c r="O78" s="128"/>
      <c r="P78" s="128">
        <f t="shared" si="6"/>
        <v>0.90000000000000036</v>
      </c>
      <c r="Q78" s="128"/>
      <c r="R78" s="128">
        <f t="shared" si="7"/>
        <v>579.66101694915278</v>
      </c>
      <c r="S78" s="128"/>
      <c r="T78" s="128"/>
    </row>
    <row r="80" spans="1:20" ht="20.100000000000001" customHeight="1" x14ac:dyDescent="0.25">
      <c r="G80" s="53"/>
      <c r="H80" s="53"/>
      <c r="I80" s="53"/>
      <c r="J80" s="53"/>
      <c r="K80" s="53"/>
      <c r="N80" s="127" t="s">
        <v>24</v>
      </c>
      <c r="O80" s="127"/>
      <c r="P80" s="127"/>
      <c r="Q80" s="127"/>
      <c r="R80" s="127">
        <f>AVERAGE(R67:T78)</f>
        <v>520.80635667558738</v>
      </c>
      <c r="S80" s="127"/>
      <c r="T80" s="127"/>
    </row>
    <row r="81" spans="1:20" ht="20.100000000000001" customHeight="1" x14ac:dyDescent="0.25">
      <c r="N81" s="138" t="s">
        <v>25</v>
      </c>
      <c r="O81" s="138"/>
      <c r="P81" s="138"/>
      <c r="Q81" s="138"/>
      <c r="R81" s="127">
        <f>STDEVA(R67:T78)</f>
        <v>59.435567309093209</v>
      </c>
      <c r="S81" s="127"/>
      <c r="T81" s="127"/>
    </row>
    <row r="82" spans="1:20" ht="20.100000000000001" customHeight="1" x14ac:dyDescent="0.25">
      <c r="J82" s="54"/>
      <c r="N82" s="128" t="s">
        <v>23</v>
      </c>
      <c r="O82" s="128"/>
      <c r="P82" s="128"/>
      <c r="Q82" s="128"/>
      <c r="R82" s="142">
        <f>R81/R80</f>
        <v>0.11412220021368881</v>
      </c>
      <c r="S82" s="142"/>
      <c r="T82" s="142"/>
    </row>
    <row r="83" spans="1:20" ht="20.100000000000001" customHeight="1" x14ac:dyDescent="0.25">
      <c r="K83" s="55"/>
    </row>
    <row r="84" spans="1:20" ht="20.100000000000001" customHeight="1" x14ac:dyDescent="0.25">
      <c r="K84" s="55"/>
    </row>
    <row r="85" spans="1:20" ht="20.100000000000001" customHeight="1" x14ac:dyDescent="0.25">
      <c r="A85" s="138" t="s">
        <v>80</v>
      </c>
      <c r="B85" s="138"/>
      <c r="C85" s="138"/>
      <c r="D85" s="138"/>
      <c r="E85" s="138"/>
      <c r="F85" s="138"/>
      <c r="G85" s="138"/>
      <c r="H85" s="138"/>
      <c r="I85" s="138"/>
      <c r="J85" s="138"/>
      <c r="K85" s="138"/>
      <c r="L85" s="138"/>
      <c r="M85" s="138"/>
      <c r="N85" s="138"/>
      <c r="O85" s="138"/>
      <c r="P85" s="138"/>
      <c r="Q85" s="138"/>
      <c r="R85" s="138"/>
      <c r="S85" s="138"/>
      <c r="T85" s="138"/>
    </row>
    <row r="86" spans="1:20" ht="20.100000000000001" customHeight="1" x14ac:dyDescent="0.25">
      <c r="K86" s="55"/>
    </row>
    <row r="87" spans="1:20" ht="20.100000000000001" customHeight="1" x14ac:dyDescent="0.25">
      <c r="K87" s="55"/>
    </row>
    <row r="88" spans="1:20" ht="20.100000000000001" customHeight="1" x14ac:dyDescent="0.25">
      <c r="K88" s="55"/>
    </row>
    <row r="89" spans="1:20" ht="20.100000000000001" customHeight="1" x14ac:dyDescent="0.25">
      <c r="K89" s="55"/>
    </row>
    <row r="90" spans="1:20" ht="20.100000000000001" customHeight="1" x14ac:dyDescent="0.25">
      <c r="K90" s="55"/>
    </row>
    <row r="91" spans="1:20" ht="20.100000000000001" customHeight="1" x14ac:dyDescent="0.25">
      <c r="K91" s="55"/>
    </row>
    <row r="92" spans="1:20" ht="20.100000000000001" customHeight="1" x14ac:dyDescent="0.25">
      <c r="K92" s="55"/>
    </row>
    <row r="93" spans="1:20" ht="20.100000000000001" customHeight="1" x14ac:dyDescent="0.25">
      <c r="K93" s="55"/>
    </row>
    <row r="94" spans="1:20" ht="20.100000000000001" customHeight="1" x14ac:dyDescent="0.25">
      <c r="K94" s="55"/>
    </row>
    <row r="95" spans="1:20" ht="20.100000000000001" customHeight="1" x14ac:dyDescent="0.25">
      <c r="K95" s="55"/>
    </row>
    <row r="96" spans="1:20" ht="20.100000000000001" customHeight="1" x14ac:dyDescent="0.25">
      <c r="K96" s="55"/>
    </row>
    <row r="97" spans="11:11" ht="20.100000000000001" customHeight="1" x14ac:dyDescent="0.25">
      <c r="K97" s="55"/>
    </row>
    <row r="98" spans="11:11" ht="20.100000000000001" customHeight="1" x14ac:dyDescent="0.25">
      <c r="K98" s="55"/>
    </row>
    <row r="99" spans="11:11" ht="20.100000000000001" customHeight="1" x14ac:dyDescent="0.25">
      <c r="K99" s="55"/>
    </row>
    <row r="100" spans="11:11" ht="20.100000000000001" customHeight="1" x14ac:dyDescent="0.25">
      <c r="K100" s="55"/>
    </row>
    <row r="101" spans="11:11" ht="20.100000000000001" customHeight="1" x14ac:dyDescent="0.25">
      <c r="K101" s="55"/>
    </row>
    <row r="102" spans="11:11" ht="20.100000000000001" customHeight="1" x14ac:dyDescent="0.25">
      <c r="K102" s="55"/>
    </row>
    <row r="103" spans="11:11" ht="20.100000000000001" customHeight="1" x14ac:dyDescent="0.25">
      <c r="K103" s="55"/>
    </row>
    <row r="104" spans="11:11" ht="20.100000000000001" customHeight="1" x14ac:dyDescent="0.25">
      <c r="K104" s="55"/>
    </row>
    <row r="105" spans="11:11" ht="20.100000000000001" customHeight="1" x14ac:dyDescent="0.25">
      <c r="K105" s="55"/>
    </row>
    <row r="106" spans="11:11" ht="20.100000000000001" customHeight="1" x14ac:dyDescent="0.25">
      <c r="K106" s="55"/>
    </row>
    <row r="107" spans="11:11" ht="20.100000000000001" customHeight="1" x14ac:dyDescent="0.25">
      <c r="K107" s="55"/>
    </row>
    <row r="108" spans="11:11" ht="20.100000000000001" customHeight="1" x14ac:dyDescent="0.25">
      <c r="K108" s="55"/>
    </row>
    <row r="109" spans="11:11" ht="20.100000000000001" customHeight="1" x14ac:dyDescent="0.25">
      <c r="K109" s="55"/>
    </row>
    <row r="110" spans="11:11" ht="20.100000000000001" customHeight="1" x14ac:dyDescent="0.25">
      <c r="K110" s="55"/>
    </row>
    <row r="111" spans="11:11" ht="20.100000000000001" customHeight="1" x14ac:dyDescent="0.25">
      <c r="K111" s="55"/>
    </row>
    <row r="112" spans="11:11" ht="20.100000000000001" customHeight="1" x14ac:dyDescent="0.25">
      <c r="K112" s="55"/>
    </row>
    <row r="113" spans="1:20" ht="20.100000000000001" customHeight="1" x14ac:dyDescent="0.25">
      <c r="K113" s="55"/>
    </row>
    <row r="114" spans="1:20" ht="20.100000000000001" customHeight="1" x14ac:dyDescent="0.25">
      <c r="K114" s="55"/>
    </row>
    <row r="115" spans="1:20" ht="20.100000000000001" customHeight="1" x14ac:dyDescent="0.25">
      <c r="K115" s="55"/>
    </row>
    <row r="116" spans="1:20" ht="20.100000000000001" customHeight="1" x14ac:dyDescent="0.25">
      <c r="K116" s="55"/>
    </row>
    <row r="117" spans="1:20" ht="20.100000000000001" customHeight="1" x14ac:dyDescent="0.25">
      <c r="K117" s="55"/>
    </row>
    <row r="118" spans="1:20" ht="20.100000000000001" customHeight="1" x14ac:dyDescent="0.25">
      <c r="K118" s="55"/>
    </row>
    <row r="119" spans="1:20" ht="20.100000000000001" customHeight="1" x14ac:dyDescent="0.25">
      <c r="A119" s="138" t="s">
        <v>79</v>
      </c>
      <c r="B119" s="138"/>
      <c r="C119" s="138"/>
      <c r="D119" s="138"/>
      <c r="E119" s="138"/>
      <c r="F119" s="138"/>
      <c r="G119" s="138"/>
      <c r="H119" s="138"/>
      <c r="I119" s="138"/>
      <c r="J119" s="138"/>
      <c r="K119" s="138"/>
      <c r="L119" s="138"/>
      <c r="M119" s="138"/>
      <c r="N119" s="138"/>
      <c r="O119" s="138"/>
      <c r="P119" s="138"/>
      <c r="Q119" s="138"/>
      <c r="R119" s="138"/>
      <c r="S119" s="138"/>
      <c r="T119" s="138"/>
    </row>
    <row r="120" spans="1:20" ht="20.100000000000001" customHeight="1" x14ac:dyDescent="0.25">
      <c r="K120" s="55"/>
    </row>
    <row r="121" spans="1:20" ht="20.100000000000001" customHeight="1" x14ac:dyDescent="0.25">
      <c r="K121" s="55"/>
    </row>
    <row r="122" spans="1:20" ht="20.100000000000001" customHeight="1" x14ac:dyDescent="0.25">
      <c r="K122" s="55"/>
    </row>
    <row r="123" spans="1:20" ht="20.100000000000001" customHeight="1" x14ac:dyDescent="0.25">
      <c r="K123" s="55"/>
    </row>
    <row r="124" spans="1:20" ht="20.100000000000001" customHeight="1" x14ac:dyDescent="0.25">
      <c r="K124" s="55"/>
    </row>
    <row r="125" spans="1:20" ht="20.100000000000001" customHeight="1" x14ac:dyDescent="0.25">
      <c r="K125" s="55"/>
    </row>
    <row r="126" spans="1:20" ht="20.100000000000001" customHeight="1" x14ac:dyDescent="0.25">
      <c r="K126" s="55"/>
    </row>
    <row r="127" spans="1:20" ht="20.100000000000001" customHeight="1" x14ac:dyDescent="0.25">
      <c r="K127" s="55"/>
    </row>
    <row r="128" spans="1:20" ht="20.100000000000001" customHeight="1" x14ac:dyDescent="0.25">
      <c r="K128" s="55"/>
    </row>
    <row r="129" spans="1:20" ht="20.100000000000001" customHeight="1" x14ac:dyDescent="0.25">
      <c r="K129" s="55"/>
    </row>
    <row r="130" spans="1:20" ht="20.100000000000001" customHeight="1" x14ac:dyDescent="0.25">
      <c r="K130" s="55"/>
    </row>
    <row r="131" spans="1:20" ht="20.100000000000001" customHeight="1" x14ac:dyDescent="0.25">
      <c r="K131" s="55"/>
    </row>
    <row r="132" spans="1:20" ht="20.100000000000001" customHeight="1" x14ac:dyDescent="0.25">
      <c r="K132" s="55"/>
    </row>
    <row r="133" spans="1:20" ht="20.100000000000001" customHeight="1" x14ac:dyDescent="0.25">
      <c r="K133" s="55"/>
    </row>
    <row r="134" spans="1:20" ht="20.100000000000001" customHeight="1" x14ac:dyDescent="0.25">
      <c r="K134" s="55"/>
    </row>
    <row r="135" spans="1:20" ht="20.100000000000001" customHeight="1" x14ac:dyDescent="0.25">
      <c r="K135" s="55"/>
    </row>
    <row r="136" spans="1:20" ht="20.100000000000001" customHeight="1" x14ac:dyDescent="0.25">
      <c r="K136" s="55"/>
    </row>
    <row r="137" spans="1:20" ht="20.100000000000001" customHeight="1" x14ac:dyDescent="0.25">
      <c r="A137" s="138" t="s">
        <v>78</v>
      </c>
      <c r="B137" s="138"/>
      <c r="C137" s="138"/>
      <c r="D137" s="138"/>
      <c r="E137" s="138"/>
      <c r="F137" s="138"/>
      <c r="G137" s="138"/>
      <c r="H137" s="138"/>
      <c r="I137" s="138"/>
      <c r="J137" s="138"/>
      <c r="K137" s="138"/>
      <c r="L137" s="138"/>
      <c r="M137" s="138"/>
      <c r="N137" s="138"/>
      <c r="O137" s="138"/>
      <c r="P137" s="138"/>
      <c r="Q137" s="138"/>
      <c r="R137" s="138"/>
      <c r="S137" s="138"/>
      <c r="T137" s="138"/>
    </row>
    <row r="138" spans="1:20" ht="20.100000000000001" customHeight="1" x14ac:dyDescent="0.25">
      <c r="K138" s="55"/>
    </row>
    <row r="139" spans="1:20" ht="20.100000000000001" customHeight="1" x14ac:dyDescent="0.25">
      <c r="K139" s="55"/>
    </row>
    <row r="140" spans="1:20" ht="20.100000000000001" customHeight="1" x14ac:dyDescent="0.25">
      <c r="K140" s="55"/>
    </row>
    <row r="141" spans="1:20" ht="20.100000000000001" customHeight="1" x14ac:dyDescent="0.25">
      <c r="K141" s="55"/>
    </row>
    <row r="142" spans="1:20" ht="20.100000000000001" customHeight="1" x14ac:dyDescent="0.25">
      <c r="K142" s="55"/>
    </row>
    <row r="143" spans="1:20" ht="20.100000000000001" customHeight="1" x14ac:dyDescent="0.25">
      <c r="K143" s="55"/>
    </row>
    <row r="144" spans="1:20" ht="20.100000000000001" customHeight="1" x14ac:dyDescent="0.25">
      <c r="K144" s="55"/>
    </row>
    <row r="145" spans="1:20" ht="20.100000000000001" customHeight="1" x14ac:dyDescent="0.25">
      <c r="K145" s="55"/>
    </row>
    <row r="146" spans="1:20" ht="20.100000000000001" customHeight="1" x14ac:dyDescent="0.25">
      <c r="K146" s="55"/>
    </row>
    <row r="147" spans="1:20" ht="20.100000000000001" customHeight="1" x14ac:dyDescent="0.25">
      <c r="K147" s="55"/>
    </row>
    <row r="148" spans="1:20" ht="20.100000000000001" customHeight="1" x14ac:dyDescent="0.25">
      <c r="K148" s="55"/>
    </row>
    <row r="149" spans="1:20" ht="20.100000000000001" customHeight="1" x14ac:dyDescent="0.25">
      <c r="K149" s="55"/>
    </row>
    <row r="150" spans="1:20" ht="20.100000000000001" customHeight="1" x14ac:dyDescent="0.25">
      <c r="K150" s="55"/>
    </row>
    <row r="151" spans="1:20" ht="20.100000000000001" customHeight="1" x14ac:dyDescent="0.25">
      <c r="K151" s="55"/>
    </row>
    <row r="152" spans="1:20" ht="20.100000000000001" customHeight="1" x14ac:dyDescent="0.25">
      <c r="K152" s="55"/>
    </row>
    <row r="153" spans="1:20" ht="20.100000000000001" customHeight="1" x14ac:dyDescent="0.25">
      <c r="K153" s="55"/>
    </row>
    <row r="156" spans="1:20" ht="20.100000000000001" customHeight="1" x14ac:dyDescent="0.25">
      <c r="A156" s="125" t="s">
        <v>26</v>
      </c>
      <c r="B156" s="125"/>
      <c r="C156" s="125"/>
      <c r="D156" s="125"/>
      <c r="E156" s="125"/>
      <c r="F156" s="125"/>
      <c r="G156" s="125"/>
      <c r="H156" s="125"/>
      <c r="I156" s="125"/>
      <c r="J156" s="125"/>
      <c r="K156" s="125"/>
      <c r="L156" s="125"/>
      <c r="M156" s="125"/>
      <c r="N156" s="125"/>
      <c r="O156" s="125"/>
      <c r="P156" s="125"/>
      <c r="Q156" s="125"/>
      <c r="R156" s="125"/>
      <c r="S156" s="125"/>
      <c r="T156" s="125"/>
    </row>
    <row r="158" spans="1:20" ht="39.950000000000003" customHeight="1" x14ac:dyDescent="0.25">
      <c r="A158" s="126" t="s">
        <v>28</v>
      </c>
      <c r="B158" s="126"/>
      <c r="C158" s="126"/>
      <c r="D158" s="126"/>
      <c r="E158" s="126"/>
      <c r="F158" s="126"/>
      <c r="G158" s="126"/>
      <c r="H158" s="126"/>
      <c r="I158" s="126"/>
      <c r="J158" s="126"/>
      <c r="K158" s="56" t="s">
        <v>71</v>
      </c>
      <c r="L158" s="126" t="s">
        <v>27</v>
      </c>
      <c r="M158" s="126"/>
      <c r="N158" s="126"/>
      <c r="O158" s="126" t="s">
        <v>21</v>
      </c>
      <c r="P158" s="126"/>
      <c r="Q158" s="126"/>
      <c r="R158" s="126" t="s">
        <v>29</v>
      </c>
      <c r="S158" s="126"/>
      <c r="T158" s="126"/>
    </row>
    <row r="159" spans="1:20" ht="20.100000000000001" customHeight="1" x14ac:dyDescent="0.25">
      <c r="A159" s="138" t="s">
        <v>388</v>
      </c>
      <c r="B159" s="138"/>
      <c r="C159" s="138"/>
      <c r="D159" s="138"/>
      <c r="E159" s="138"/>
      <c r="F159" s="138"/>
      <c r="G159" s="138"/>
      <c r="H159" s="138"/>
      <c r="I159" s="138"/>
      <c r="J159" s="138"/>
      <c r="K159" s="23" t="s">
        <v>374</v>
      </c>
      <c r="L159" s="181">
        <v>0.15</v>
      </c>
      <c r="M159" s="181"/>
      <c r="N159" s="181"/>
      <c r="O159" s="181">
        <f>L159</f>
        <v>0.15</v>
      </c>
      <c r="P159" s="181"/>
      <c r="Q159" s="181"/>
      <c r="R159" s="181">
        <f>(L159-O159)</f>
        <v>0</v>
      </c>
      <c r="S159" s="181"/>
      <c r="T159" s="181"/>
    </row>
    <row r="160" spans="1:20" ht="20.100000000000001" customHeight="1" x14ac:dyDescent="0.25">
      <c r="A160" s="128" t="s">
        <v>389</v>
      </c>
      <c r="B160" s="128"/>
      <c r="C160" s="128"/>
      <c r="D160" s="128"/>
      <c r="E160" s="128"/>
      <c r="F160" s="128"/>
      <c r="G160" s="128"/>
      <c r="H160" s="128"/>
      <c r="I160" s="128"/>
      <c r="J160" s="128"/>
      <c r="K160" s="42" t="s">
        <v>375</v>
      </c>
      <c r="L160" s="139">
        <v>0.1</v>
      </c>
      <c r="M160" s="139"/>
      <c r="N160" s="139"/>
      <c r="O160" s="139">
        <f t="shared" ref="O160:O165" si="16">L160</f>
        <v>0.1</v>
      </c>
      <c r="P160" s="139"/>
      <c r="Q160" s="139"/>
      <c r="R160" s="139">
        <f t="shared" ref="R160:R165" si="17">(L160-O160)</f>
        <v>0</v>
      </c>
      <c r="S160" s="139"/>
      <c r="T160" s="139"/>
    </row>
    <row r="161" spans="1:20" ht="20.100000000000001" customHeight="1" x14ac:dyDescent="0.25">
      <c r="A161" s="128" t="s">
        <v>390</v>
      </c>
      <c r="B161" s="128"/>
      <c r="C161" s="128"/>
      <c r="D161" s="128"/>
      <c r="E161" s="128"/>
      <c r="F161" s="128"/>
      <c r="G161" s="128"/>
      <c r="H161" s="128"/>
      <c r="I161" s="128"/>
      <c r="J161" s="128"/>
      <c r="K161" s="42" t="s">
        <v>376</v>
      </c>
      <c r="L161" s="139">
        <v>0.05</v>
      </c>
      <c r="M161" s="139"/>
      <c r="N161" s="139"/>
      <c r="O161" s="139">
        <f t="shared" si="16"/>
        <v>0.05</v>
      </c>
      <c r="P161" s="139"/>
      <c r="Q161" s="139"/>
      <c r="R161" s="139">
        <f t="shared" si="17"/>
        <v>0</v>
      </c>
      <c r="S161" s="139"/>
      <c r="T161" s="139"/>
    </row>
    <row r="162" spans="1:20" ht="20.100000000000001" customHeight="1" x14ac:dyDescent="0.25">
      <c r="A162" s="128" t="s">
        <v>391</v>
      </c>
      <c r="B162" s="128"/>
      <c r="C162" s="128"/>
      <c r="D162" s="128"/>
      <c r="E162" s="128"/>
      <c r="F162" s="128"/>
      <c r="G162" s="128"/>
      <c r="H162" s="128"/>
      <c r="I162" s="128"/>
      <c r="J162" s="128"/>
      <c r="K162" s="42" t="s">
        <v>377</v>
      </c>
      <c r="L162" s="139">
        <v>0.15</v>
      </c>
      <c r="M162" s="139"/>
      <c r="N162" s="139"/>
      <c r="O162" s="139">
        <f t="shared" si="16"/>
        <v>0.15</v>
      </c>
      <c r="P162" s="139"/>
      <c r="Q162" s="139"/>
      <c r="R162" s="139">
        <f t="shared" si="17"/>
        <v>0</v>
      </c>
      <c r="S162" s="139"/>
      <c r="T162" s="139"/>
    </row>
    <row r="163" spans="1:20" ht="20.100000000000001" customHeight="1" x14ac:dyDescent="0.25">
      <c r="A163" s="128" t="s">
        <v>392</v>
      </c>
      <c r="B163" s="128"/>
      <c r="C163" s="128"/>
      <c r="D163" s="128"/>
      <c r="E163" s="128"/>
      <c r="F163" s="128"/>
      <c r="G163" s="128"/>
      <c r="H163" s="128"/>
      <c r="I163" s="128"/>
      <c r="J163" s="128"/>
      <c r="K163" s="42" t="s">
        <v>378</v>
      </c>
      <c r="L163" s="139">
        <v>0.1</v>
      </c>
      <c r="M163" s="139"/>
      <c r="N163" s="139"/>
      <c r="O163" s="139">
        <f t="shared" si="16"/>
        <v>0.1</v>
      </c>
      <c r="P163" s="139"/>
      <c r="Q163" s="139"/>
      <c r="R163" s="139">
        <f t="shared" si="17"/>
        <v>0</v>
      </c>
      <c r="S163" s="139"/>
      <c r="T163" s="139"/>
    </row>
    <row r="164" spans="1:20" ht="20.100000000000001" customHeight="1" x14ac:dyDescent="0.25">
      <c r="A164" s="128" t="s">
        <v>0</v>
      </c>
      <c r="B164" s="128"/>
      <c r="C164" s="128"/>
      <c r="D164" s="128"/>
      <c r="E164" s="128"/>
      <c r="F164" s="128"/>
      <c r="G164" s="128"/>
      <c r="H164" s="128"/>
      <c r="I164" s="128"/>
      <c r="J164" s="128"/>
      <c r="K164" s="42" t="s">
        <v>379</v>
      </c>
      <c r="L164" s="139">
        <v>0.3</v>
      </c>
      <c r="M164" s="139"/>
      <c r="N164" s="139"/>
      <c r="O164" s="139">
        <f t="shared" si="16"/>
        <v>0.3</v>
      </c>
      <c r="P164" s="139"/>
      <c r="Q164" s="139"/>
      <c r="R164" s="139">
        <f t="shared" si="17"/>
        <v>0</v>
      </c>
      <c r="S164" s="139"/>
      <c r="T164" s="139"/>
    </row>
    <row r="165" spans="1:20" ht="20.100000000000001" customHeight="1" x14ac:dyDescent="0.25">
      <c r="A165" s="128" t="s">
        <v>393</v>
      </c>
      <c r="B165" s="128"/>
      <c r="C165" s="128"/>
      <c r="D165" s="128"/>
      <c r="E165" s="128"/>
      <c r="F165" s="128"/>
      <c r="G165" s="128"/>
      <c r="H165" s="128"/>
      <c r="I165" s="128"/>
      <c r="J165" s="128"/>
      <c r="K165" s="42" t="s">
        <v>380</v>
      </c>
      <c r="L165" s="139">
        <v>0.05</v>
      </c>
      <c r="M165" s="139"/>
      <c r="N165" s="139"/>
      <c r="O165" s="139">
        <f t="shared" si="16"/>
        <v>0.05</v>
      </c>
      <c r="P165" s="139"/>
      <c r="Q165" s="139"/>
      <c r="R165" s="139">
        <f t="shared" si="17"/>
        <v>0</v>
      </c>
      <c r="S165" s="139"/>
      <c r="T165" s="139"/>
    </row>
    <row r="167" spans="1:20" ht="20.100000000000001" customHeight="1" x14ac:dyDescent="0.25">
      <c r="A167" s="127" t="s">
        <v>102</v>
      </c>
      <c r="B167" s="127"/>
      <c r="C167" s="127"/>
      <c r="D167" s="127"/>
      <c r="E167" s="127"/>
      <c r="F167" s="127"/>
      <c r="G167" s="127"/>
      <c r="H167" s="127"/>
      <c r="I167" s="127"/>
      <c r="J167" s="127"/>
      <c r="K167" s="127"/>
      <c r="L167" s="200">
        <f>1+(SUM(L159:N165))</f>
        <v>1.9</v>
      </c>
      <c r="M167" s="200"/>
      <c r="N167" s="200"/>
      <c r="O167" s="200">
        <f>1+(SUM(O159:Q165))</f>
        <v>1.9</v>
      </c>
      <c r="P167" s="200"/>
      <c r="Q167" s="200"/>
    </row>
    <row r="168" spans="1:20" ht="20.100000000000001" customHeight="1" x14ac:dyDescent="0.25">
      <c r="A168" s="99" t="s">
        <v>381</v>
      </c>
      <c r="B168" s="99"/>
      <c r="C168" s="99"/>
      <c r="D168" s="99"/>
      <c r="E168" s="99"/>
      <c r="F168" s="99"/>
      <c r="G168" s="99"/>
      <c r="H168" s="99"/>
      <c r="I168" s="99"/>
      <c r="J168" s="99"/>
      <c r="K168" s="99"/>
      <c r="L168" s="99"/>
      <c r="M168" s="99"/>
      <c r="N168" s="99"/>
      <c r="O168" s="99"/>
      <c r="P168" s="99"/>
      <c r="Q168" s="99"/>
    </row>
    <row r="169" spans="1:20" ht="20.100000000000001" customHeight="1" x14ac:dyDescent="0.25">
      <c r="A169" s="199"/>
      <c r="B169" s="199"/>
      <c r="C169" s="199"/>
      <c r="D169" s="199"/>
      <c r="E169" s="199"/>
      <c r="F169" s="199"/>
      <c r="G169" s="199"/>
      <c r="H169" s="199"/>
      <c r="I169" s="199"/>
      <c r="J169" s="199"/>
      <c r="K169" s="199"/>
      <c r="L169" s="199"/>
      <c r="M169" s="199"/>
      <c r="N169" s="199"/>
      <c r="O169" s="199"/>
      <c r="P169" s="199"/>
      <c r="Q169" s="199"/>
      <c r="R169" s="200">
        <f>SUM(R159:T165)</f>
        <v>0</v>
      </c>
      <c r="S169" s="200"/>
      <c r="T169" s="200"/>
    </row>
    <row r="171" spans="1:20" ht="20.100000000000001" customHeight="1" x14ac:dyDescent="0.25">
      <c r="A171" s="197" t="s">
        <v>394</v>
      </c>
      <c r="B171" s="197"/>
      <c r="C171" s="197"/>
      <c r="D171" s="197"/>
      <c r="E171" s="197"/>
      <c r="F171" s="197"/>
      <c r="G171" s="197" t="s">
        <v>22</v>
      </c>
      <c r="H171" s="197"/>
      <c r="I171" s="197"/>
      <c r="J171" s="197"/>
      <c r="K171" s="197"/>
      <c r="L171" s="197"/>
      <c r="M171" s="197"/>
      <c r="N171" s="197"/>
      <c r="O171" s="197"/>
      <c r="P171" s="197"/>
      <c r="Q171" s="197"/>
      <c r="R171" s="197" t="s">
        <v>3</v>
      </c>
      <c r="S171" s="197"/>
      <c r="T171" s="197"/>
    </row>
    <row r="172" spans="1:20" ht="20.100000000000001" customHeight="1" x14ac:dyDescent="0.25">
      <c r="A172" s="197"/>
      <c r="B172" s="197"/>
      <c r="C172" s="197"/>
      <c r="D172" s="197"/>
      <c r="E172" s="197"/>
      <c r="F172" s="197"/>
      <c r="G172" s="56"/>
      <c r="H172" s="56"/>
      <c r="I172" s="56"/>
      <c r="J172" s="56"/>
      <c r="K172" s="56" t="s">
        <v>374</v>
      </c>
      <c r="L172" s="56" t="s">
        <v>375</v>
      </c>
      <c r="M172" s="56" t="s">
        <v>376</v>
      </c>
      <c r="N172" s="56" t="s">
        <v>377</v>
      </c>
      <c r="O172" s="56" t="s">
        <v>378</v>
      </c>
      <c r="P172" s="56" t="s">
        <v>379</v>
      </c>
      <c r="Q172" s="56" t="s">
        <v>380</v>
      </c>
      <c r="R172" s="198"/>
      <c r="S172" s="198"/>
      <c r="T172" s="198"/>
    </row>
    <row r="173" spans="1:20" ht="20.100000000000001" customHeight="1" thickBot="1" x14ac:dyDescent="0.3">
      <c r="A173" s="204"/>
      <c r="B173" s="204"/>
      <c r="C173" s="204"/>
      <c r="D173" s="204"/>
      <c r="E173" s="204"/>
      <c r="F173" s="204"/>
      <c r="G173" s="58"/>
      <c r="H173" s="58"/>
      <c r="I173" s="58"/>
      <c r="J173" s="58"/>
      <c r="K173" s="58">
        <f>$O$159</f>
        <v>0.15</v>
      </c>
      <c r="L173" s="58">
        <f>$O$160</f>
        <v>0.1</v>
      </c>
      <c r="M173" s="58">
        <f>$O$161</f>
        <v>0.05</v>
      </c>
      <c r="N173" s="58">
        <f>$O$162</f>
        <v>0.15</v>
      </c>
      <c r="O173" s="58">
        <f>$O$163</f>
        <v>0.1</v>
      </c>
      <c r="P173" s="58">
        <f>$O$164</f>
        <v>0.3</v>
      </c>
      <c r="Q173" s="58">
        <f>$O$165</f>
        <v>0.05</v>
      </c>
      <c r="R173" s="203">
        <f>1+(SUM(K173:Q173))</f>
        <v>1.9</v>
      </c>
      <c r="S173" s="203"/>
      <c r="T173" s="203"/>
    </row>
    <row r="175" spans="1:20" ht="20.100000000000001" customHeight="1" x14ac:dyDescent="0.25">
      <c r="A175" s="138" t="s">
        <v>99</v>
      </c>
      <c r="B175" s="138"/>
      <c r="C175" s="138"/>
      <c r="D175" s="138"/>
      <c r="E175" s="138"/>
      <c r="F175" s="138"/>
      <c r="G175" s="138"/>
      <c r="H175" s="138"/>
      <c r="I175" s="138"/>
      <c r="J175" s="138"/>
      <c r="K175" s="138"/>
      <c r="L175" s="138"/>
      <c r="M175" s="138"/>
      <c r="N175" s="138"/>
      <c r="O175" s="138"/>
      <c r="P175" s="138"/>
      <c r="Q175" s="138"/>
      <c r="R175" s="138"/>
      <c r="S175" s="138"/>
      <c r="T175" s="138"/>
    </row>
    <row r="176" spans="1:20" ht="20.100000000000001" customHeight="1" x14ac:dyDescent="0.25">
      <c r="A176" s="138"/>
      <c r="B176" s="138"/>
      <c r="C176" s="138"/>
      <c r="D176" s="138"/>
      <c r="E176" s="138"/>
      <c r="F176" s="138"/>
      <c r="G176" s="138"/>
      <c r="H176" s="138"/>
      <c r="I176" s="138"/>
      <c r="J176" s="138"/>
      <c r="K176" s="138"/>
      <c r="L176" s="138"/>
      <c r="M176" s="138"/>
      <c r="N176" s="138"/>
      <c r="O176" s="138"/>
      <c r="P176" s="138"/>
      <c r="Q176" s="138"/>
      <c r="R176" s="138"/>
      <c r="S176" s="138"/>
      <c r="T176" s="138"/>
    </row>
    <row r="177" spans="1:20" ht="20.100000000000001" customHeight="1" x14ac:dyDescent="0.25">
      <c r="A177" s="138"/>
      <c r="B177" s="138"/>
      <c r="C177" s="138"/>
      <c r="D177" s="138"/>
      <c r="E177" s="138"/>
      <c r="F177" s="138"/>
      <c r="G177" s="138"/>
      <c r="H177" s="138"/>
      <c r="I177" s="138"/>
      <c r="J177" s="138"/>
      <c r="K177" s="138"/>
      <c r="L177" s="138"/>
      <c r="M177" s="138"/>
      <c r="N177" s="138"/>
      <c r="O177" s="138"/>
      <c r="P177" s="138"/>
      <c r="Q177" s="138"/>
      <c r="R177" s="138"/>
      <c r="S177" s="138"/>
      <c r="T177" s="138"/>
    </row>
    <row r="179" spans="1:20" ht="39.950000000000003" customHeight="1" x14ac:dyDescent="0.25">
      <c r="A179" s="126" t="s">
        <v>5</v>
      </c>
      <c r="B179" s="126"/>
      <c r="C179" s="45"/>
      <c r="D179" s="126" t="str">
        <f t="shared" ref="D179:D191" si="18">R66</f>
        <v>Valor unitário homogeneizado</v>
      </c>
      <c r="E179" s="126"/>
      <c r="F179" s="126"/>
      <c r="G179" s="45"/>
      <c r="H179" s="45"/>
      <c r="I179" s="45"/>
      <c r="J179" s="45"/>
      <c r="K179" s="45" t="s">
        <v>374</v>
      </c>
      <c r="L179" s="45" t="s">
        <v>375</v>
      </c>
      <c r="M179" s="45" t="s">
        <v>376</v>
      </c>
      <c r="N179" s="45" t="s">
        <v>377</v>
      </c>
      <c r="O179" s="45" t="s">
        <v>378</v>
      </c>
      <c r="P179" s="45" t="s">
        <v>379</v>
      </c>
      <c r="Q179" s="45" t="s">
        <v>380</v>
      </c>
      <c r="R179" s="126" t="s">
        <v>3</v>
      </c>
      <c r="S179" s="126"/>
      <c r="T179" s="126"/>
    </row>
    <row r="180" spans="1:20" ht="20.100000000000001" customHeight="1" x14ac:dyDescent="0.25">
      <c r="A180" s="137">
        <v>1</v>
      </c>
      <c r="B180" s="137"/>
      <c r="C180" s="47"/>
      <c r="D180" s="138">
        <f t="shared" si="18"/>
        <v>500</v>
      </c>
      <c r="E180" s="138"/>
      <c r="F180" s="138"/>
      <c r="G180" s="57"/>
      <c r="H180" s="57"/>
      <c r="I180" s="57"/>
      <c r="J180" s="57"/>
      <c r="K180" s="57">
        <f>$L$159</f>
        <v>0.15</v>
      </c>
      <c r="L180" s="57">
        <f>$L$160</f>
        <v>0.1</v>
      </c>
      <c r="M180" s="57">
        <f>$L$161</f>
        <v>0.05</v>
      </c>
      <c r="N180" s="57">
        <f>$L$162</f>
        <v>0.15</v>
      </c>
      <c r="O180" s="57">
        <f>$L$163</f>
        <v>0.1</v>
      </c>
      <c r="P180" s="57">
        <f>$L$164</f>
        <v>0.3</v>
      </c>
      <c r="Q180" s="57">
        <f>$L$165</f>
        <v>0.05</v>
      </c>
      <c r="R180" s="212">
        <f t="shared" ref="R180:R191" si="19">1+(SUM(K180:Q180))</f>
        <v>1.9</v>
      </c>
      <c r="S180" s="212"/>
      <c r="T180" s="212"/>
    </row>
    <row r="181" spans="1:20" ht="20.100000000000001" customHeight="1" x14ac:dyDescent="0.25">
      <c r="A181" s="90">
        <v>2</v>
      </c>
      <c r="B181" s="90"/>
      <c r="C181" s="49"/>
      <c r="D181" s="128">
        <f t="shared" si="18"/>
        <v>479.6052631578948</v>
      </c>
      <c r="E181" s="128"/>
      <c r="F181" s="128"/>
      <c r="G181" s="57"/>
      <c r="H181" s="57"/>
      <c r="I181" s="57"/>
      <c r="J181" s="57"/>
      <c r="K181" s="57">
        <f t="shared" ref="K181:K191" si="20">$L$159</f>
        <v>0.15</v>
      </c>
      <c r="L181" s="57">
        <f t="shared" ref="L181:L191" si="21">$L$160</f>
        <v>0.1</v>
      </c>
      <c r="M181" s="57">
        <f t="shared" ref="M181:M191" si="22">$L$161</f>
        <v>0.05</v>
      </c>
      <c r="N181" s="57">
        <f t="shared" ref="N181:N191" si="23">$L$162</f>
        <v>0.15</v>
      </c>
      <c r="O181" s="57">
        <f t="shared" ref="O181:O191" si="24">$L$163</f>
        <v>0.1</v>
      </c>
      <c r="P181" s="57">
        <f t="shared" ref="P181:P191" si="25">$L$164</f>
        <v>0.3</v>
      </c>
      <c r="Q181" s="57">
        <f t="shared" ref="Q181:Q191" si="26">$L$165</f>
        <v>0.05</v>
      </c>
      <c r="R181" s="135">
        <f t="shared" si="19"/>
        <v>1.9</v>
      </c>
      <c r="S181" s="135"/>
      <c r="T181" s="135"/>
    </row>
    <row r="182" spans="1:20" ht="20.100000000000001" customHeight="1" x14ac:dyDescent="0.25">
      <c r="A182" s="90">
        <v>3</v>
      </c>
      <c r="B182" s="90"/>
      <c r="C182" s="49"/>
      <c r="D182" s="128">
        <f t="shared" si="18"/>
        <v>499.50000000000017</v>
      </c>
      <c r="E182" s="128"/>
      <c r="F182" s="128"/>
      <c r="G182" s="57"/>
      <c r="H182" s="57"/>
      <c r="I182" s="57"/>
      <c r="J182" s="57"/>
      <c r="K182" s="57">
        <f t="shared" si="20"/>
        <v>0.15</v>
      </c>
      <c r="L182" s="57">
        <f t="shared" si="21"/>
        <v>0.1</v>
      </c>
      <c r="M182" s="57">
        <f t="shared" si="22"/>
        <v>0.05</v>
      </c>
      <c r="N182" s="57">
        <f t="shared" si="23"/>
        <v>0.15</v>
      </c>
      <c r="O182" s="57">
        <f t="shared" si="24"/>
        <v>0.1</v>
      </c>
      <c r="P182" s="57">
        <f t="shared" si="25"/>
        <v>0.3</v>
      </c>
      <c r="Q182" s="57">
        <f t="shared" si="26"/>
        <v>0.05</v>
      </c>
      <c r="R182" s="135">
        <f t="shared" si="19"/>
        <v>1.9</v>
      </c>
      <c r="S182" s="135"/>
      <c r="T182" s="135"/>
    </row>
    <row r="183" spans="1:20" ht="20.100000000000001" customHeight="1" x14ac:dyDescent="0.25">
      <c r="A183" s="90">
        <v>4</v>
      </c>
      <c r="B183" s="90"/>
      <c r="C183" s="49"/>
      <c r="D183" s="128">
        <f t="shared" si="18"/>
        <v>456.00000000000023</v>
      </c>
      <c r="E183" s="128"/>
      <c r="F183" s="128"/>
      <c r="G183" s="57"/>
      <c r="H183" s="57"/>
      <c r="I183" s="57"/>
      <c r="J183" s="57"/>
      <c r="K183" s="57">
        <f t="shared" si="20"/>
        <v>0.15</v>
      </c>
      <c r="L183" s="57">
        <f t="shared" si="21"/>
        <v>0.1</v>
      </c>
      <c r="M183" s="57">
        <f t="shared" si="22"/>
        <v>0.05</v>
      </c>
      <c r="N183" s="57">
        <f t="shared" si="23"/>
        <v>0.15</v>
      </c>
      <c r="O183" s="57">
        <f t="shared" si="24"/>
        <v>0.1</v>
      </c>
      <c r="P183" s="57">
        <f t="shared" si="25"/>
        <v>0.3</v>
      </c>
      <c r="Q183" s="57">
        <f t="shared" si="26"/>
        <v>0.05</v>
      </c>
      <c r="R183" s="135">
        <f t="shared" si="19"/>
        <v>1.9</v>
      </c>
      <c r="S183" s="135"/>
      <c r="T183" s="135"/>
    </row>
    <row r="184" spans="1:20" ht="20.100000000000001" customHeight="1" x14ac:dyDescent="0.25">
      <c r="A184" s="137">
        <v>5</v>
      </c>
      <c r="B184" s="137"/>
      <c r="C184" s="49"/>
      <c r="D184" s="128">
        <f t="shared" si="18"/>
        <v>499.50000000000017</v>
      </c>
      <c r="E184" s="128"/>
      <c r="F184" s="128"/>
      <c r="G184" s="57"/>
      <c r="H184" s="57"/>
      <c r="I184" s="57"/>
      <c r="J184" s="57"/>
      <c r="K184" s="57">
        <f t="shared" si="20"/>
        <v>0.15</v>
      </c>
      <c r="L184" s="57">
        <f t="shared" si="21"/>
        <v>0.1</v>
      </c>
      <c r="M184" s="57">
        <f t="shared" si="22"/>
        <v>0.05</v>
      </c>
      <c r="N184" s="57">
        <f t="shared" si="23"/>
        <v>0.15</v>
      </c>
      <c r="O184" s="57">
        <f t="shared" si="24"/>
        <v>0.1</v>
      </c>
      <c r="P184" s="57">
        <f t="shared" si="25"/>
        <v>0.3</v>
      </c>
      <c r="Q184" s="57">
        <f t="shared" si="26"/>
        <v>0.05</v>
      </c>
      <c r="R184" s="135">
        <f t="shared" si="19"/>
        <v>1.9</v>
      </c>
      <c r="S184" s="135"/>
      <c r="T184" s="135"/>
    </row>
    <row r="185" spans="1:20" ht="20.100000000000001" customHeight="1" x14ac:dyDescent="0.25">
      <c r="A185" s="90">
        <v>6</v>
      </c>
      <c r="B185" s="90"/>
      <c r="C185" s="49"/>
      <c r="D185" s="128">
        <f t="shared" si="18"/>
        <v>486.00000000000017</v>
      </c>
      <c r="E185" s="128"/>
      <c r="F185" s="128"/>
      <c r="G185" s="57"/>
      <c r="H185" s="57"/>
      <c r="I185" s="57"/>
      <c r="J185" s="57"/>
      <c r="K185" s="57">
        <f t="shared" si="20"/>
        <v>0.15</v>
      </c>
      <c r="L185" s="57">
        <f t="shared" si="21"/>
        <v>0.1</v>
      </c>
      <c r="M185" s="57">
        <f t="shared" si="22"/>
        <v>0.05</v>
      </c>
      <c r="N185" s="57">
        <f t="shared" si="23"/>
        <v>0.15</v>
      </c>
      <c r="O185" s="57">
        <f t="shared" si="24"/>
        <v>0.1</v>
      </c>
      <c r="P185" s="57">
        <f t="shared" si="25"/>
        <v>0.3</v>
      </c>
      <c r="Q185" s="57">
        <f t="shared" si="26"/>
        <v>0.05</v>
      </c>
      <c r="R185" s="135">
        <f t="shared" si="19"/>
        <v>1.9</v>
      </c>
      <c r="S185" s="135"/>
      <c r="T185" s="135"/>
    </row>
    <row r="186" spans="1:20" ht="20.100000000000001" customHeight="1" x14ac:dyDescent="0.25">
      <c r="A186" s="90">
        <v>7</v>
      </c>
      <c r="B186" s="90"/>
      <c r="C186" s="49"/>
      <c r="D186" s="128">
        <f t="shared" si="18"/>
        <v>506.25000000000028</v>
      </c>
      <c r="E186" s="128"/>
      <c r="F186" s="128"/>
      <c r="G186" s="57"/>
      <c r="H186" s="57"/>
      <c r="I186" s="57"/>
      <c r="J186" s="57"/>
      <c r="K186" s="57">
        <f t="shared" si="20"/>
        <v>0.15</v>
      </c>
      <c r="L186" s="57">
        <f t="shared" si="21"/>
        <v>0.1</v>
      </c>
      <c r="M186" s="57">
        <f t="shared" si="22"/>
        <v>0.05</v>
      </c>
      <c r="N186" s="57">
        <f t="shared" si="23"/>
        <v>0.15</v>
      </c>
      <c r="O186" s="57">
        <f t="shared" si="24"/>
        <v>0.1</v>
      </c>
      <c r="P186" s="57">
        <f t="shared" si="25"/>
        <v>0.3</v>
      </c>
      <c r="Q186" s="57">
        <f t="shared" si="26"/>
        <v>0.05</v>
      </c>
      <c r="R186" s="135">
        <f t="shared" si="19"/>
        <v>1.9</v>
      </c>
      <c r="S186" s="135"/>
      <c r="T186" s="135"/>
    </row>
    <row r="187" spans="1:20" ht="20.100000000000001" customHeight="1" x14ac:dyDescent="0.25">
      <c r="A187" s="90">
        <v>8</v>
      </c>
      <c r="B187" s="90"/>
      <c r="C187" s="49"/>
      <c r="D187" s="128">
        <f t="shared" si="18"/>
        <v>502.20000000000022</v>
      </c>
      <c r="E187" s="128"/>
      <c r="F187" s="128"/>
      <c r="G187" s="57"/>
      <c r="H187" s="57"/>
      <c r="I187" s="57"/>
      <c r="J187" s="57"/>
      <c r="K187" s="57">
        <f t="shared" si="20"/>
        <v>0.15</v>
      </c>
      <c r="L187" s="57">
        <f t="shared" si="21"/>
        <v>0.1</v>
      </c>
      <c r="M187" s="57">
        <f t="shared" si="22"/>
        <v>0.05</v>
      </c>
      <c r="N187" s="57">
        <f t="shared" si="23"/>
        <v>0.15</v>
      </c>
      <c r="O187" s="57">
        <f t="shared" si="24"/>
        <v>0.1</v>
      </c>
      <c r="P187" s="57">
        <f t="shared" si="25"/>
        <v>0.3</v>
      </c>
      <c r="Q187" s="57">
        <f t="shared" si="26"/>
        <v>0.05</v>
      </c>
      <c r="R187" s="135">
        <f t="shared" si="19"/>
        <v>1.9</v>
      </c>
      <c r="S187" s="135"/>
      <c r="T187" s="135"/>
    </row>
    <row r="188" spans="1:20" ht="20.100000000000001" customHeight="1" x14ac:dyDescent="0.25">
      <c r="A188" s="137">
        <v>9</v>
      </c>
      <c r="B188" s="137"/>
      <c r="C188" s="49"/>
      <c r="D188" s="128">
        <f t="shared" si="18"/>
        <v>498.96000000000015</v>
      </c>
      <c r="E188" s="128"/>
      <c r="F188" s="128"/>
      <c r="G188" s="57"/>
      <c r="H188" s="57"/>
      <c r="I188" s="57"/>
      <c r="J188" s="57"/>
      <c r="K188" s="57">
        <f t="shared" si="20"/>
        <v>0.15</v>
      </c>
      <c r="L188" s="57">
        <f t="shared" si="21"/>
        <v>0.1</v>
      </c>
      <c r="M188" s="57">
        <f t="shared" si="22"/>
        <v>0.05</v>
      </c>
      <c r="N188" s="57">
        <f t="shared" si="23"/>
        <v>0.15</v>
      </c>
      <c r="O188" s="57">
        <f t="shared" si="24"/>
        <v>0.1</v>
      </c>
      <c r="P188" s="57">
        <f t="shared" si="25"/>
        <v>0.3</v>
      </c>
      <c r="Q188" s="57">
        <f t="shared" si="26"/>
        <v>0.05</v>
      </c>
      <c r="R188" s="135">
        <f t="shared" si="19"/>
        <v>1.9</v>
      </c>
      <c r="S188" s="135"/>
      <c r="T188" s="135"/>
    </row>
    <row r="189" spans="1:20" ht="20.100000000000001" customHeight="1" x14ac:dyDescent="0.25">
      <c r="A189" s="90">
        <v>10</v>
      </c>
      <c r="B189" s="90"/>
      <c r="C189" s="49"/>
      <c r="D189" s="128">
        <f t="shared" si="18"/>
        <v>567.00000000000023</v>
      </c>
      <c r="E189" s="128"/>
      <c r="F189" s="128"/>
      <c r="G189" s="57"/>
      <c r="H189" s="57"/>
      <c r="I189" s="57"/>
      <c r="J189" s="57"/>
      <c r="K189" s="57">
        <f t="shared" si="20"/>
        <v>0.15</v>
      </c>
      <c r="L189" s="57">
        <f t="shared" si="21"/>
        <v>0.1</v>
      </c>
      <c r="M189" s="57">
        <f t="shared" si="22"/>
        <v>0.05</v>
      </c>
      <c r="N189" s="57">
        <f t="shared" si="23"/>
        <v>0.15</v>
      </c>
      <c r="O189" s="57">
        <f t="shared" si="24"/>
        <v>0.1</v>
      </c>
      <c r="P189" s="57">
        <f t="shared" si="25"/>
        <v>0.3</v>
      </c>
      <c r="Q189" s="57">
        <f t="shared" si="26"/>
        <v>0.05</v>
      </c>
      <c r="R189" s="135">
        <f t="shared" si="19"/>
        <v>1.9</v>
      </c>
      <c r="S189" s="135"/>
      <c r="T189" s="135"/>
    </row>
    <row r="190" spans="1:20" ht="20.100000000000001" customHeight="1" x14ac:dyDescent="0.25">
      <c r="A190" s="90">
        <v>11</v>
      </c>
      <c r="B190" s="90"/>
      <c r="C190" s="49"/>
      <c r="D190" s="128">
        <f t="shared" si="18"/>
        <v>674.99999999999966</v>
      </c>
      <c r="E190" s="128"/>
      <c r="F190" s="128"/>
      <c r="G190" s="57"/>
      <c r="H190" s="57"/>
      <c r="I190" s="57"/>
      <c r="J190" s="57"/>
      <c r="K190" s="57">
        <f t="shared" si="20"/>
        <v>0.15</v>
      </c>
      <c r="L190" s="57">
        <f t="shared" si="21"/>
        <v>0.1</v>
      </c>
      <c r="M190" s="57">
        <f t="shared" si="22"/>
        <v>0.05</v>
      </c>
      <c r="N190" s="57">
        <f t="shared" si="23"/>
        <v>0.15</v>
      </c>
      <c r="O190" s="57">
        <f t="shared" si="24"/>
        <v>0.1</v>
      </c>
      <c r="P190" s="57">
        <f t="shared" si="25"/>
        <v>0.3</v>
      </c>
      <c r="Q190" s="57">
        <f t="shared" si="26"/>
        <v>0.05</v>
      </c>
      <c r="R190" s="135">
        <f t="shared" si="19"/>
        <v>1.9</v>
      </c>
      <c r="S190" s="135"/>
      <c r="T190" s="135"/>
    </row>
    <row r="191" spans="1:20" ht="20.100000000000001" customHeight="1" x14ac:dyDescent="0.25">
      <c r="A191" s="90">
        <v>12</v>
      </c>
      <c r="B191" s="90"/>
      <c r="C191" s="49"/>
      <c r="D191" s="128">
        <f t="shared" si="18"/>
        <v>579.66101694915278</v>
      </c>
      <c r="E191" s="128"/>
      <c r="F191" s="128"/>
      <c r="G191" s="57"/>
      <c r="H191" s="57"/>
      <c r="I191" s="57"/>
      <c r="J191" s="57"/>
      <c r="K191" s="57">
        <f t="shared" si="20"/>
        <v>0.15</v>
      </c>
      <c r="L191" s="57">
        <f t="shared" si="21"/>
        <v>0.1</v>
      </c>
      <c r="M191" s="57">
        <f t="shared" si="22"/>
        <v>0.05</v>
      </c>
      <c r="N191" s="57">
        <f t="shared" si="23"/>
        <v>0.15</v>
      </c>
      <c r="O191" s="57">
        <f t="shared" si="24"/>
        <v>0.1</v>
      </c>
      <c r="P191" s="57">
        <f t="shared" si="25"/>
        <v>0.3</v>
      </c>
      <c r="Q191" s="57">
        <f t="shared" si="26"/>
        <v>0.05</v>
      </c>
      <c r="R191" s="135">
        <f t="shared" si="19"/>
        <v>1.9</v>
      </c>
      <c r="S191" s="135"/>
      <c r="T191" s="135"/>
    </row>
    <row r="193" spans="1:20" ht="39.950000000000003" customHeight="1" x14ac:dyDescent="0.25">
      <c r="A193" s="126" t="s">
        <v>5</v>
      </c>
      <c r="B193" s="126"/>
      <c r="C193" s="45"/>
      <c r="D193" s="126" t="str">
        <f>D179</f>
        <v>Valor unitário homogeneizado</v>
      </c>
      <c r="E193" s="126"/>
      <c r="F193" s="126"/>
      <c r="G193" s="126" t="s">
        <v>382</v>
      </c>
      <c r="H193" s="126"/>
      <c r="I193" s="126"/>
      <c r="J193" s="126" t="s">
        <v>383</v>
      </c>
      <c r="K193" s="126"/>
      <c r="L193" s="126"/>
      <c r="M193" s="126" t="s">
        <v>11</v>
      </c>
      <c r="N193" s="126"/>
      <c r="O193" s="126"/>
      <c r="P193" s="126" t="s">
        <v>30</v>
      </c>
      <c r="Q193" s="126"/>
      <c r="R193" s="126"/>
      <c r="S193" s="126"/>
      <c r="T193" s="126"/>
    </row>
    <row r="194" spans="1:20" ht="20.100000000000001" customHeight="1" x14ac:dyDescent="0.25">
      <c r="A194" s="137">
        <v>1</v>
      </c>
      <c r="B194" s="137"/>
      <c r="C194" s="47"/>
      <c r="D194" s="138">
        <f>D180</f>
        <v>500</v>
      </c>
      <c r="E194" s="138"/>
      <c r="F194" s="138"/>
      <c r="G194" s="188">
        <f>R180</f>
        <v>1.9</v>
      </c>
      <c r="H194" s="188"/>
      <c r="I194" s="188"/>
      <c r="J194" s="188">
        <f>$R$173</f>
        <v>1.9</v>
      </c>
      <c r="K194" s="188"/>
      <c r="L194" s="188"/>
      <c r="M194" s="188">
        <f>J194/G194</f>
        <v>1</v>
      </c>
      <c r="N194" s="188"/>
      <c r="O194" s="188"/>
      <c r="P194" s="138">
        <f t="shared" ref="P194:P205" si="27">D194*M194</f>
        <v>500</v>
      </c>
      <c r="Q194" s="138"/>
      <c r="R194" s="138"/>
      <c r="S194" s="138"/>
      <c r="T194" s="138"/>
    </row>
    <row r="195" spans="1:20" ht="20.100000000000001" customHeight="1" x14ac:dyDescent="0.25">
      <c r="A195" s="90">
        <v>2</v>
      </c>
      <c r="B195" s="90"/>
      <c r="C195" s="49"/>
      <c r="D195" s="128">
        <f>D181</f>
        <v>479.6052631578948</v>
      </c>
      <c r="E195" s="128"/>
      <c r="F195" s="128"/>
      <c r="G195" s="132">
        <f>R181</f>
        <v>1.9</v>
      </c>
      <c r="H195" s="132"/>
      <c r="I195" s="132"/>
      <c r="J195" s="132">
        <f t="shared" ref="J195:J205" si="28">$R$173</f>
        <v>1.9</v>
      </c>
      <c r="K195" s="132"/>
      <c r="L195" s="132"/>
      <c r="M195" s="132">
        <f t="shared" ref="M195:M205" si="29">J195/G195</f>
        <v>1</v>
      </c>
      <c r="N195" s="132"/>
      <c r="O195" s="132"/>
      <c r="P195" s="128">
        <f t="shared" si="27"/>
        <v>479.6052631578948</v>
      </c>
      <c r="Q195" s="128"/>
      <c r="R195" s="128"/>
      <c r="S195" s="128"/>
      <c r="T195" s="128"/>
    </row>
    <row r="196" spans="1:20" ht="20.100000000000001" customHeight="1" x14ac:dyDescent="0.25">
      <c r="A196" s="90">
        <v>3</v>
      </c>
      <c r="B196" s="90"/>
      <c r="C196" s="49"/>
      <c r="D196" s="128">
        <f>D182</f>
        <v>499.50000000000017</v>
      </c>
      <c r="E196" s="128"/>
      <c r="F196" s="128"/>
      <c r="G196" s="132">
        <f>R182</f>
        <v>1.9</v>
      </c>
      <c r="H196" s="132"/>
      <c r="I196" s="132"/>
      <c r="J196" s="132">
        <f t="shared" si="28"/>
        <v>1.9</v>
      </c>
      <c r="K196" s="132"/>
      <c r="L196" s="132"/>
      <c r="M196" s="132">
        <f t="shared" ref="M196:M197" si="30">J196/G196</f>
        <v>1</v>
      </c>
      <c r="N196" s="132"/>
      <c r="O196" s="132"/>
      <c r="P196" s="128">
        <f t="shared" ref="P196:P197" si="31">D196*M196</f>
        <v>499.50000000000017</v>
      </c>
      <c r="Q196" s="128"/>
      <c r="R196" s="128"/>
      <c r="S196" s="128"/>
      <c r="T196" s="128"/>
    </row>
    <row r="197" spans="1:20" ht="20.100000000000001" customHeight="1" x14ac:dyDescent="0.25">
      <c r="A197" s="90">
        <v>4</v>
      </c>
      <c r="B197" s="90"/>
      <c r="C197" s="49"/>
      <c r="D197" s="128">
        <f>D183</f>
        <v>456.00000000000023</v>
      </c>
      <c r="E197" s="128"/>
      <c r="F197" s="128"/>
      <c r="G197" s="132">
        <f>R183</f>
        <v>1.9</v>
      </c>
      <c r="H197" s="132"/>
      <c r="I197" s="132"/>
      <c r="J197" s="132">
        <f t="shared" si="28"/>
        <v>1.9</v>
      </c>
      <c r="K197" s="132"/>
      <c r="L197" s="132"/>
      <c r="M197" s="132">
        <f t="shared" si="30"/>
        <v>1</v>
      </c>
      <c r="N197" s="132"/>
      <c r="O197" s="132"/>
      <c r="P197" s="128">
        <f t="shared" si="31"/>
        <v>456.00000000000023</v>
      </c>
      <c r="Q197" s="128"/>
      <c r="R197" s="128"/>
      <c r="S197" s="128"/>
      <c r="T197" s="128"/>
    </row>
    <row r="198" spans="1:20" ht="20.100000000000001" customHeight="1" x14ac:dyDescent="0.25">
      <c r="A198" s="137">
        <v>5</v>
      </c>
      <c r="B198" s="137"/>
      <c r="C198" s="49"/>
      <c r="D198" s="128">
        <f t="shared" ref="D198:D204" si="32">D184</f>
        <v>499.50000000000017</v>
      </c>
      <c r="E198" s="128"/>
      <c r="F198" s="128"/>
      <c r="G198" s="132">
        <f t="shared" ref="G198:G204" si="33">R184</f>
        <v>1.9</v>
      </c>
      <c r="H198" s="132"/>
      <c r="I198" s="132"/>
      <c r="J198" s="132">
        <f t="shared" si="28"/>
        <v>1.9</v>
      </c>
      <c r="K198" s="132"/>
      <c r="L198" s="132"/>
      <c r="M198" s="132">
        <f t="shared" ref="M198:M204" si="34">J198/G198</f>
        <v>1</v>
      </c>
      <c r="N198" s="132"/>
      <c r="O198" s="132"/>
      <c r="P198" s="128">
        <f t="shared" ref="P198:P204" si="35">D198*M198</f>
        <v>499.50000000000017</v>
      </c>
      <c r="Q198" s="128"/>
      <c r="R198" s="128"/>
      <c r="S198" s="128"/>
      <c r="T198" s="128"/>
    </row>
    <row r="199" spans="1:20" ht="20.100000000000001" customHeight="1" x14ac:dyDescent="0.25">
      <c r="A199" s="90">
        <v>6</v>
      </c>
      <c r="B199" s="90"/>
      <c r="C199" s="49"/>
      <c r="D199" s="128">
        <f t="shared" si="32"/>
        <v>486.00000000000017</v>
      </c>
      <c r="E199" s="128"/>
      <c r="F199" s="128"/>
      <c r="G199" s="132">
        <f t="shared" si="33"/>
        <v>1.9</v>
      </c>
      <c r="H199" s="132"/>
      <c r="I199" s="132"/>
      <c r="J199" s="132">
        <f t="shared" si="28"/>
        <v>1.9</v>
      </c>
      <c r="K199" s="132"/>
      <c r="L199" s="132"/>
      <c r="M199" s="132">
        <f t="shared" si="34"/>
        <v>1</v>
      </c>
      <c r="N199" s="132"/>
      <c r="O199" s="132"/>
      <c r="P199" s="128">
        <f t="shared" si="35"/>
        <v>486.00000000000017</v>
      </c>
      <c r="Q199" s="128"/>
      <c r="R199" s="128"/>
      <c r="S199" s="128"/>
      <c r="T199" s="128"/>
    </row>
    <row r="200" spans="1:20" ht="20.100000000000001" customHeight="1" x14ac:dyDescent="0.25">
      <c r="A200" s="90">
        <v>7</v>
      </c>
      <c r="B200" s="90"/>
      <c r="C200" s="49"/>
      <c r="D200" s="128">
        <f t="shared" si="32"/>
        <v>506.25000000000028</v>
      </c>
      <c r="E200" s="128"/>
      <c r="F200" s="128"/>
      <c r="G200" s="132">
        <f t="shared" si="33"/>
        <v>1.9</v>
      </c>
      <c r="H200" s="132"/>
      <c r="I200" s="132"/>
      <c r="J200" s="132">
        <f t="shared" si="28"/>
        <v>1.9</v>
      </c>
      <c r="K200" s="132"/>
      <c r="L200" s="132"/>
      <c r="M200" s="132">
        <f t="shared" si="34"/>
        <v>1</v>
      </c>
      <c r="N200" s="132"/>
      <c r="O200" s="132"/>
      <c r="P200" s="128">
        <f t="shared" si="35"/>
        <v>506.25000000000028</v>
      </c>
      <c r="Q200" s="128"/>
      <c r="R200" s="128"/>
      <c r="S200" s="128"/>
      <c r="T200" s="128"/>
    </row>
    <row r="201" spans="1:20" ht="20.100000000000001" customHeight="1" x14ac:dyDescent="0.25">
      <c r="A201" s="90">
        <v>8</v>
      </c>
      <c r="B201" s="90"/>
      <c r="C201" s="49"/>
      <c r="D201" s="128">
        <f t="shared" si="32"/>
        <v>502.20000000000022</v>
      </c>
      <c r="E201" s="128"/>
      <c r="F201" s="128"/>
      <c r="G201" s="132">
        <f t="shared" si="33"/>
        <v>1.9</v>
      </c>
      <c r="H201" s="132"/>
      <c r="I201" s="132"/>
      <c r="J201" s="132">
        <f t="shared" si="28"/>
        <v>1.9</v>
      </c>
      <c r="K201" s="132"/>
      <c r="L201" s="132"/>
      <c r="M201" s="132">
        <f t="shared" si="34"/>
        <v>1</v>
      </c>
      <c r="N201" s="132"/>
      <c r="O201" s="132"/>
      <c r="P201" s="128">
        <f t="shared" si="35"/>
        <v>502.20000000000022</v>
      </c>
      <c r="Q201" s="128"/>
      <c r="R201" s="128"/>
      <c r="S201" s="128"/>
      <c r="T201" s="128"/>
    </row>
    <row r="202" spans="1:20" ht="20.100000000000001" customHeight="1" x14ac:dyDescent="0.25">
      <c r="A202" s="137">
        <v>9</v>
      </c>
      <c r="B202" s="137"/>
      <c r="C202" s="49"/>
      <c r="D202" s="128">
        <f t="shared" si="32"/>
        <v>498.96000000000015</v>
      </c>
      <c r="E202" s="128"/>
      <c r="F202" s="128"/>
      <c r="G202" s="132">
        <f t="shared" si="33"/>
        <v>1.9</v>
      </c>
      <c r="H202" s="132"/>
      <c r="I202" s="132"/>
      <c r="J202" s="132">
        <f t="shared" si="28"/>
        <v>1.9</v>
      </c>
      <c r="K202" s="132"/>
      <c r="L202" s="132"/>
      <c r="M202" s="132">
        <f t="shared" si="34"/>
        <v>1</v>
      </c>
      <c r="N202" s="132"/>
      <c r="O202" s="132"/>
      <c r="P202" s="128">
        <f t="shared" si="35"/>
        <v>498.96000000000015</v>
      </c>
      <c r="Q202" s="128"/>
      <c r="R202" s="128"/>
      <c r="S202" s="128"/>
      <c r="T202" s="128"/>
    </row>
    <row r="203" spans="1:20" ht="20.100000000000001" customHeight="1" x14ac:dyDescent="0.25">
      <c r="A203" s="90">
        <v>10</v>
      </c>
      <c r="B203" s="90"/>
      <c r="C203" s="49"/>
      <c r="D203" s="128">
        <f t="shared" si="32"/>
        <v>567.00000000000023</v>
      </c>
      <c r="E203" s="128"/>
      <c r="F203" s="128"/>
      <c r="G203" s="132">
        <f t="shared" si="33"/>
        <v>1.9</v>
      </c>
      <c r="H203" s="132"/>
      <c r="I203" s="132"/>
      <c r="J203" s="132">
        <f t="shared" si="28"/>
        <v>1.9</v>
      </c>
      <c r="K203" s="132"/>
      <c r="L203" s="132"/>
      <c r="M203" s="132">
        <f t="shared" si="34"/>
        <v>1</v>
      </c>
      <c r="N203" s="132"/>
      <c r="O203" s="132"/>
      <c r="P203" s="128">
        <f t="shared" si="35"/>
        <v>567.00000000000023</v>
      </c>
      <c r="Q203" s="128"/>
      <c r="R203" s="128"/>
      <c r="S203" s="128"/>
      <c r="T203" s="128"/>
    </row>
    <row r="204" spans="1:20" ht="20.100000000000001" customHeight="1" x14ac:dyDescent="0.25">
      <c r="A204" s="90">
        <v>11</v>
      </c>
      <c r="B204" s="90"/>
      <c r="C204" s="49"/>
      <c r="D204" s="128">
        <f t="shared" si="32"/>
        <v>674.99999999999966</v>
      </c>
      <c r="E204" s="128"/>
      <c r="F204" s="128"/>
      <c r="G204" s="132">
        <f t="shared" si="33"/>
        <v>1.9</v>
      </c>
      <c r="H204" s="132"/>
      <c r="I204" s="132"/>
      <c r="J204" s="132">
        <f t="shared" si="28"/>
        <v>1.9</v>
      </c>
      <c r="K204" s="132"/>
      <c r="L204" s="132"/>
      <c r="M204" s="132">
        <f t="shared" si="34"/>
        <v>1</v>
      </c>
      <c r="N204" s="132"/>
      <c r="O204" s="132"/>
      <c r="P204" s="128">
        <f t="shared" si="35"/>
        <v>674.99999999999966</v>
      </c>
      <c r="Q204" s="128"/>
      <c r="R204" s="128"/>
      <c r="S204" s="128"/>
      <c r="T204" s="128"/>
    </row>
    <row r="205" spans="1:20" ht="20.100000000000001" customHeight="1" x14ac:dyDescent="0.25">
      <c r="A205" s="90">
        <v>12</v>
      </c>
      <c r="B205" s="90"/>
      <c r="C205" s="49"/>
      <c r="D205" s="128">
        <f>D191</f>
        <v>579.66101694915278</v>
      </c>
      <c r="E205" s="128"/>
      <c r="F205" s="128"/>
      <c r="G205" s="132">
        <f>R191</f>
        <v>1.9</v>
      </c>
      <c r="H205" s="132"/>
      <c r="I205" s="132"/>
      <c r="J205" s="132">
        <f t="shared" si="28"/>
        <v>1.9</v>
      </c>
      <c r="K205" s="132"/>
      <c r="L205" s="132"/>
      <c r="M205" s="132">
        <f t="shared" si="29"/>
        <v>1</v>
      </c>
      <c r="N205" s="132"/>
      <c r="O205" s="132"/>
      <c r="P205" s="128">
        <f t="shared" si="27"/>
        <v>579.66101694915278</v>
      </c>
      <c r="Q205" s="128"/>
      <c r="R205" s="128"/>
      <c r="S205" s="128"/>
      <c r="T205" s="128"/>
    </row>
    <row r="207" spans="1:20" ht="20.100000000000001" customHeight="1" x14ac:dyDescent="0.25">
      <c r="N207" s="127" t="s">
        <v>24</v>
      </c>
      <c r="O207" s="127"/>
      <c r="P207" s="127"/>
      <c r="Q207" s="127"/>
      <c r="R207" s="127">
        <f>AVERAGE(P194:T205)</f>
        <v>520.80635667558738</v>
      </c>
      <c r="S207" s="127"/>
      <c r="T207" s="127"/>
    </row>
    <row r="208" spans="1:20" ht="20.100000000000001" customHeight="1" x14ac:dyDescent="0.25">
      <c r="N208" s="138" t="s">
        <v>25</v>
      </c>
      <c r="O208" s="138"/>
      <c r="P208" s="138"/>
      <c r="Q208" s="138"/>
      <c r="R208" s="127">
        <f>STDEVA(P194:T205)</f>
        <v>59.435567309093209</v>
      </c>
      <c r="S208" s="127"/>
      <c r="T208" s="127"/>
    </row>
    <row r="209" spans="1:27" ht="20.100000000000001" customHeight="1" x14ac:dyDescent="0.25">
      <c r="N209" s="128" t="s">
        <v>23</v>
      </c>
      <c r="O209" s="128"/>
      <c r="P209" s="128"/>
      <c r="Q209" s="128"/>
      <c r="R209" s="142">
        <f>R208/R207</f>
        <v>0.11412220021368881</v>
      </c>
      <c r="S209" s="142"/>
      <c r="T209" s="142"/>
    </row>
    <row r="212" spans="1:27" ht="20.100000000000001" customHeight="1" x14ac:dyDescent="0.25">
      <c r="A212" s="125" t="s">
        <v>37</v>
      </c>
      <c r="B212" s="125"/>
      <c r="C212" s="125"/>
      <c r="D212" s="125"/>
      <c r="E212" s="125"/>
      <c r="F212" s="125"/>
      <c r="G212" s="125"/>
      <c r="H212" s="125"/>
      <c r="I212" s="125"/>
      <c r="J212" s="125"/>
      <c r="K212" s="125"/>
      <c r="L212" s="125"/>
      <c r="M212" s="125"/>
      <c r="N212" s="125"/>
      <c r="O212" s="125"/>
      <c r="P212" s="125"/>
      <c r="Q212" s="125"/>
      <c r="R212" s="125"/>
      <c r="S212" s="125"/>
      <c r="T212" s="125"/>
    </row>
    <row r="214" spans="1:27" ht="20.100000000000001" customHeight="1" x14ac:dyDescent="0.25">
      <c r="A214" s="126" t="s">
        <v>5</v>
      </c>
      <c r="B214" s="126"/>
      <c r="C214" s="45"/>
      <c r="D214" s="126" t="s">
        <v>20</v>
      </c>
      <c r="E214" s="126"/>
      <c r="F214" s="126"/>
      <c r="G214" s="126"/>
      <c r="H214" s="126"/>
      <c r="N214" s="127" t="s">
        <v>31</v>
      </c>
      <c r="O214" s="127"/>
      <c r="P214" s="127"/>
      <c r="Q214" s="127"/>
      <c r="R214" s="127"/>
      <c r="S214" s="194">
        <v>0.3</v>
      </c>
      <c r="T214" s="194"/>
    </row>
    <row r="215" spans="1:27" ht="20.100000000000001" customHeight="1" x14ac:dyDescent="0.25">
      <c r="A215" s="90">
        <v>1</v>
      </c>
      <c r="B215" s="90"/>
      <c r="C215" s="47"/>
      <c r="D215" s="136">
        <f>P194</f>
        <v>500</v>
      </c>
      <c r="E215" s="136"/>
      <c r="F215" s="136"/>
      <c r="G215" s="136"/>
      <c r="H215" s="136"/>
      <c r="I215" s="74">
        <f>A215</f>
        <v>1</v>
      </c>
    </row>
    <row r="216" spans="1:27" ht="20.100000000000001" customHeight="1" x14ac:dyDescent="0.25">
      <c r="A216" s="90">
        <v>2</v>
      </c>
      <c r="B216" s="90"/>
      <c r="C216" s="49"/>
      <c r="D216" s="91">
        <f>P195</f>
        <v>479.6052631578948</v>
      </c>
      <c r="E216" s="91"/>
      <c r="F216" s="91"/>
      <c r="G216" s="91"/>
      <c r="H216" s="91"/>
      <c r="I216" s="74">
        <f t="shared" ref="I216:I226" si="36">A216</f>
        <v>2</v>
      </c>
      <c r="N216" s="127" t="s">
        <v>24</v>
      </c>
      <c r="O216" s="127"/>
      <c r="P216" s="127"/>
      <c r="Q216" s="127"/>
      <c r="R216" s="127">
        <f>AVERAGE(D215:D226)</f>
        <v>506.78875273700447</v>
      </c>
      <c r="S216" s="127"/>
      <c r="T216" s="127"/>
      <c r="Z216" s="24" t="e">
        <f>VLOOKUP(R222,D215:I226,6,0)</f>
        <v>#N/A</v>
      </c>
    </row>
    <row r="217" spans="1:27" ht="20.100000000000001" customHeight="1" x14ac:dyDescent="0.25">
      <c r="A217" s="90">
        <v>3</v>
      </c>
      <c r="B217" s="90"/>
      <c r="C217" s="49"/>
      <c r="D217" s="91">
        <f>P196</f>
        <v>499.50000000000017</v>
      </c>
      <c r="E217" s="91"/>
      <c r="F217" s="91"/>
      <c r="G217" s="91"/>
      <c r="H217" s="91"/>
      <c r="I217" s="74">
        <f t="shared" si="36"/>
        <v>3</v>
      </c>
      <c r="N217" s="127" t="s">
        <v>33</v>
      </c>
      <c r="O217" s="127"/>
      <c r="P217" s="127"/>
      <c r="Q217" s="127"/>
      <c r="R217" s="127">
        <f>R216*(1+S214)</f>
        <v>658.82537855810585</v>
      </c>
      <c r="S217" s="127"/>
      <c r="T217" s="127"/>
    </row>
    <row r="218" spans="1:27" ht="20.100000000000001" customHeight="1" x14ac:dyDescent="0.25">
      <c r="A218" s="90">
        <v>4</v>
      </c>
      <c r="B218" s="90"/>
      <c r="C218" s="49"/>
      <c r="D218" s="91">
        <f>P197</f>
        <v>456.00000000000023</v>
      </c>
      <c r="E218" s="91"/>
      <c r="F218" s="91"/>
      <c r="G218" s="91"/>
      <c r="H218" s="91"/>
      <c r="I218" s="74">
        <f t="shared" si="36"/>
        <v>4</v>
      </c>
      <c r="N218" s="127" t="s">
        <v>32</v>
      </c>
      <c r="O218" s="127"/>
      <c r="P218" s="127"/>
      <c r="Q218" s="127"/>
      <c r="R218" s="127">
        <f>R216*(1-S214)</f>
        <v>354.75212691590309</v>
      </c>
      <c r="S218" s="127"/>
      <c r="T218" s="127"/>
    </row>
    <row r="219" spans="1:27" ht="20.100000000000001" customHeight="1" x14ac:dyDescent="0.25">
      <c r="A219" s="90">
        <v>5</v>
      </c>
      <c r="B219" s="90"/>
      <c r="C219" s="49"/>
      <c r="D219" s="91">
        <f t="shared" ref="D219:D226" si="37">P198</f>
        <v>499.50000000000017</v>
      </c>
      <c r="E219" s="91"/>
      <c r="F219" s="91"/>
      <c r="G219" s="91"/>
      <c r="H219" s="91"/>
      <c r="I219" s="74">
        <f t="shared" si="36"/>
        <v>5</v>
      </c>
      <c r="N219" s="127" t="s">
        <v>35</v>
      </c>
      <c r="O219" s="127"/>
      <c r="P219" s="127"/>
      <c r="Q219" s="127"/>
      <c r="R219" s="127">
        <f>MAX(D215:D226)</f>
        <v>579.66101694915278</v>
      </c>
      <c r="S219" s="127"/>
      <c r="T219" s="127"/>
    </row>
    <row r="220" spans="1:27" ht="20.100000000000001" customHeight="1" x14ac:dyDescent="0.25">
      <c r="A220" s="90">
        <v>6</v>
      </c>
      <c r="B220" s="90"/>
      <c r="C220" s="49"/>
      <c r="D220" s="91">
        <f t="shared" si="37"/>
        <v>486.00000000000017</v>
      </c>
      <c r="E220" s="91"/>
      <c r="F220" s="91"/>
      <c r="G220" s="91"/>
      <c r="H220" s="91"/>
      <c r="I220" s="74">
        <f t="shared" si="36"/>
        <v>6</v>
      </c>
      <c r="N220" s="127" t="s">
        <v>34</v>
      </c>
      <c r="O220" s="127"/>
      <c r="P220" s="127"/>
      <c r="Q220" s="127"/>
      <c r="R220" s="127">
        <f>MIN(D215:D226)</f>
        <v>456.00000000000023</v>
      </c>
      <c r="S220" s="127"/>
      <c r="T220" s="127"/>
    </row>
    <row r="221" spans="1:27" ht="20.100000000000001" customHeight="1" x14ac:dyDescent="0.25">
      <c r="A221" s="90">
        <v>7</v>
      </c>
      <c r="B221" s="90"/>
      <c r="C221" s="49"/>
      <c r="D221" s="91">
        <f t="shared" si="37"/>
        <v>506.25000000000028</v>
      </c>
      <c r="E221" s="91"/>
      <c r="F221" s="91"/>
      <c r="G221" s="91"/>
      <c r="H221" s="91"/>
      <c r="I221" s="74">
        <f t="shared" si="36"/>
        <v>7</v>
      </c>
      <c r="N221" s="138"/>
      <c r="O221" s="138"/>
      <c r="P221" s="138"/>
      <c r="Q221" s="138"/>
      <c r="R221" s="138"/>
      <c r="S221" s="138"/>
      <c r="T221" s="138"/>
    </row>
    <row r="222" spans="1:27" ht="20.100000000000001" customHeight="1" x14ac:dyDescent="0.25">
      <c r="A222" s="90">
        <v>8</v>
      </c>
      <c r="B222" s="90"/>
      <c r="C222" s="49"/>
      <c r="D222" s="91">
        <f t="shared" si="37"/>
        <v>502.20000000000022</v>
      </c>
      <c r="E222" s="91"/>
      <c r="F222" s="91"/>
      <c r="G222" s="91"/>
      <c r="H222" s="91"/>
      <c r="I222" s="74">
        <f t="shared" si="36"/>
        <v>8</v>
      </c>
      <c r="N222" s="127" t="s">
        <v>39</v>
      </c>
      <c r="O222" s="127"/>
      <c r="P222" s="171" t="str">
        <f>IF(R222="Nada a excluir","",Z216)</f>
        <v/>
      </c>
      <c r="Q222" s="171"/>
      <c r="R222" s="127" t="str" cm="1">
        <f t="array" ref="R222">_xlfn.IFS(AND(OR(R219&gt;R217,R220&lt;R218),(R219-R216)&gt;(R216-R220)),R219,AND(OR(R220&lt;R218,R219&gt;R217),(R216-R220)&gt;(R219-R216)),R220,AND(R219&lt;=R217,R220&gt;=R218),"Nada a excluir")</f>
        <v>Nada a excluir</v>
      </c>
      <c r="S222" s="127"/>
      <c r="T222" s="127"/>
      <c r="Y222" s="24" t="s">
        <v>32</v>
      </c>
      <c r="Z222" s="24" t="s">
        <v>33</v>
      </c>
      <c r="AA222" s="24" t="s">
        <v>24</v>
      </c>
    </row>
    <row r="223" spans="1:27" ht="20.100000000000001" customHeight="1" x14ac:dyDescent="0.25">
      <c r="A223" s="90">
        <v>9</v>
      </c>
      <c r="B223" s="90"/>
      <c r="C223" s="49"/>
      <c r="D223" s="91">
        <f t="shared" si="37"/>
        <v>498.96000000000015</v>
      </c>
      <c r="E223" s="91"/>
      <c r="F223" s="91"/>
      <c r="G223" s="91"/>
      <c r="H223" s="91"/>
      <c r="I223" s="74">
        <f t="shared" si="36"/>
        <v>9</v>
      </c>
      <c r="N223" s="128" t="s">
        <v>38</v>
      </c>
      <c r="O223" s="128"/>
      <c r="P223" s="128"/>
      <c r="Q223" s="128"/>
      <c r="R223" s="132" t="str">
        <f>IF(R222="Nada a excluir","Encerrar","Continuar")</f>
        <v>Encerrar</v>
      </c>
      <c r="S223" s="132"/>
      <c r="T223" s="132"/>
      <c r="Y223" s="24">
        <f>$R$218</f>
        <v>354.75212691590309</v>
      </c>
      <c r="Z223" s="24">
        <f>$R$217</f>
        <v>658.82537855810585</v>
      </c>
      <c r="AA223" s="24">
        <f>$R$216</f>
        <v>506.78875273700447</v>
      </c>
    </row>
    <row r="224" spans="1:27" ht="20.100000000000001" customHeight="1" x14ac:dyDescent="0.25">
      <c r="A224" s="90">
        <v>10</v>
      </c>
      <c r="B224" s="90"/>
      <c r="C224" s="49"/>
      <c r="D224" s="91">
        <f t="shared" si="37"/>
        <v>567.00000000000023</v>
      </c>
      <c r="E224" s="91"/>
      <c r="F224" s="91"/>
      <c r="G224" s="91"/>
      <c r="H224" s="91"/>
      <c r="I224" s="74">
        <f t="shared" si="36"/>
        <v>10</v>
      </c>
      <c r="Y224" s="24">
        <f>$R$218</f>
        <v>354.75212691590309</v>
      </c>
      <c r="Z224" s="24">
        <f>$R$217</f>
        <v>658.82537855810585</v>
      </c>
      <c r="AA224" s="24">
        <f>$R$216</f>
        <v>506.78875273700447</v>
      </c>
    </row>
    <row r="225" spans="1:27" ht="20.100000000000001" customHeight="1" x14ac:dyDescent="0.25">
      <c r="A225" s="90">
        <v>11</v>
      </c>
      <c r="B225" s="90"/>
      <c r="C225" s="49"/>
      <c r="D225" s="91"/>
      <c r="E225" s="91"/>
      <c r="F225" s="91"/>
      <c r="G225" s="91"/>
      <c r="H225" s="91"/>
      <c r="I225" s="74">
        <f t="shared" si="36"/>
        <v>11</v>
      </c>
      <c r="N225" s="127" t="s">
        <v>36</v>
      </c>
      <c r="O225" s="127"/>
      <c r="P225" s="127"/>
      <c r="Q225" s="127"/>
      <c r="R225" s="163">
        <f>STDEVA(D215:D226)</f>
        <v>35.946276874338317</v>
      </c>
      <c r="S225" s="163"/>
      <c r="T225" s="163"/>
      <c r="Y225" s="24">
        <f>$R$218</f>
        <v>354.75212691590309</v>
      </c>
      <c r="Z225" s="24">
        <f>$R$217</f>
        <v>658.82537855810585</v>
      </c>
      <c r="AA225" s="24">
        <f>$R$216</f>
        <v>506.78875273700447</v>
      </c>
    </row>
    <row r="226" spans="1:27" ht="20.100000000000001" customHeight="1" x14ac:dyDescent="0.25">
      <c r="A226" s="90">
        <v>12</v>
      </c>
      <c r="B226" s="90"/>
      <c r="C226" s="49"/>
      <c r="D226" s="91">
        <f t="shared" si="37"/>
        <v>579.66101694915278</v>
      </c>
      <c r="E226" s="91"/>
      <c r="F226" s="91"/>
      <c r="G226" s="91"/>
      <c r="H226" s="91"/>
      <c r="I226" s="74">
        <f t="shared" si="36"/>
        <v>12</v>
      </c>
      <c r="N226" s="128" t="s">
        <v>23</v>
      </c>
      <c r="O226" s="128"/>
      <c r="P226" s="128"/>
      <c r="Q226" s="128"/>
      <c r="R226" s="196">
        <f>R225/R216</f>
        <v>7.0929507965999519E-2</v>
      </c>
      <c r="S226" s="196"/>
      <c r="T226" s="196"/>
      <c r="Y226" s="24">
        <f>$R$218</f>
        <v>354.75212691590309</v>
      </c>
      <c r="Z226" s="24">
        <f>$R$217</f>
        <v>658.82537855810585</v>
      </c>
      <c r="AA226" s="24">
        <f>$R$216</f>
        <v>506.78875273700447</v>
      </c>
    </row>
    <row r="227" spans="1:27" ht="20.100000000000001" customHeight="1" x14ac:dyDescent="0.25">
      <c r="Y227" s="24">
        <f>$R$218</f>
        <v>354.75212691590309</v>
      </c>
      <c r="Z227" s="24">
        <f>$R$217</f>
        <v>658.82537855810585</v>
      </c>
      <c r="AA227" s="24">
        <f>$R$216</f>
        <v>506.78875273700447</v>
      </c>
    </row>
    <row r="228" spans="1:27" ht="20.100000000000001" customHeight="1" x14ac:dyDescent="0.25">
      <c r="Y228" s="24">
        <f t="shared" ref="Y228:Y234" si="38">$R$218</f>
        <v>354.75212691590309</v>
      </c>
      <c r="Z228" s="24">
        <f t="shared" ref="Z228:Z234" si="39">$R$217</f>
        <v>658.82537855810585</v>
      </c>
      <c r="AA228" s="24">
        <f t="shared" ref="AA228:AA234" si="40">$R$216</f>
        <v>506.78875273700447</v>
      </c>
    </row>
    <row r="229" spans="1:27" ht="20.100000000000001" customHeight="1" x14ac:dyDescent="0.25">
      <c r="Y229" s="24">
        <f t="shared" si="38"/>
        <v>354.75212691590309</v>
      </c>
      <c r="Z229" s="24">
        <f t="shared" si="39"/>
        <v>658.82537855810585</v>
      </c>
      <c r="AA229" s="24">
        <f t="shared" si="40"/>
        <v>506.78875273700447</v>
      </c>
    </row>
    <row r="230" spans="1:27" ht="20.100000000000001" customHeight="1" x14ac:dyDescent="0.25">
      <c r="Y230" s="24">
        <f t="shared" si="38"/>
        <v>354.75212691590309</v>
      </c>
      <c r="Z230" s="24">
        <f t="shared" si="39"/>
        <v>658.82537855810585</v>
      </c>
      <c r="AA230" s="24">
        <f t="shared" si="40"/>
        <v>506.78875273700447</v>
      </c>
    </row>
    <row r="231" spans="1:27" ht="20.100000000000001" customHeight="1" x14ac:dyDescent="0.25">
      <c r="Y231" s="24">
        <f t="shared" si="38"/>
        <v>354.75212691590309</v>
      </c>
      <c r="Z231" s="24">
        <f t="shared" si="39"/>
        <v>658.82537855810585</v>
      </c>
      <c r="AA231" s="24">
        <f t="shared" si="40"/>
        <v>506.78875273700447</v>
      </c>
    </row>
    <row r="232" spans="1:27" ht="20.100000000000001" customHeight="1" x14ac:dyDescent="0.25">
      <c r="Y232" s="24">
        <f t="shared" si="38"/>
        <v>354.75212691590309</v>
      </c>
      <c r="Z232" s="24">
        <f t="shared" si="39"/>
        <v>658.82537855810585</v>
      </c>
      <c r="AA232" s="24">
        <f t="shared" si="40"/>
        <v>506.78875273700447</v>
      </c>
    </row>
    <row r="233" spans="1:27" ht="20.100000000000001" customHeight="1" x14ac:dyDescent="0.25">
      <c r="Y233" s="24">
        <f t="shared" si="38"/>
        <v>354.75212691590309</v>
      </c>
      <c r="Z233" s="24">
        <f t="shared" si="39"/>
        <v>658.82537855810585</v>
      </c>
      <c r="AA233" s="24">
        <f t="shared" si="40"/>
        <v>506.78875273700447</v>
      </c>
    </row>
    <row r="234" spans="1:27" ht="20.100000000000001" customHeight="1" x14ac:dyDescent="0.25">
      <c r="Y234" s="24">
        <f t="shared" si="38"/>
        <v>354.75212691590309</v>
      </c>
      <c r="Z234" s="24">
        <f t="shared" si="39"/>
        <v>658.82537855810585</v>
      </c>
      <c r="AA234" s="24">
        <f t="shared" si="40"/>
        <v>506.78875273700447</v>
      </c>
    </row>
    <row r="235" spans="1:27" ht="20.100000000000001" customHeight="1" x14ac:dyDescent="0.25">
      <c r="R235" s="59"/>
      <c r="S235" s="59"/>
      <c r="T235" s="59"/>
    </row>
    <row r="236" spans="1:27" ht="20.100000000000001" customHeight="1" x14ac:dyDescent="0.25">
      <c r="R236" s="59"/>
      <c r="S236" s="59"/>
      <c r="T236" s="59"/>
    </row>
    <row r="237" spans="1:27" ht="20.100000000000001" customHeight="1" x14ac:dyDescent="0.25">
      <c r="R237" s="59"/>
      <c r="S237" s="59"/>
      <c r="T237" s="59"/>
    </row>
    <row r="238" spans="1:27" ht="20.100000000000001" customHeight="1" x14ac:dyDescent="0.25">
      <c r="R238" s="59"/>
      <c r="S238" s="59"/>
      <c r="T238" s="59"/>
    </row>
    <row r="239" spans="1:27" ht="20.100000000000001" customHeight="1" x14ac:dyDescent="0.25">
      <c r="R239" s="59"/>
      <c r="S239" s="59"/>
      <c r="T239" s="59"/>
    </row>
    <row r="240" spans="1:27" ht="20.100000000000001" customHeight="1" x14ac:dyDescent="0.25">
      <c r="R240" s="59"/>
      <c r="S240" s="59"/>
      <c r="T240" s="59"/>
    </row>
    <row r="245" spans="1:32" ht="20.100000000000001" customHeight="1" x14ac:dyDescent="0.25">
      <c r="A245" s="125" t="s">
        <v>40</v>
      </c>
      <c r="B245" s="125"/>
      <c r="C245" s="125"/>
      <c r="D245" s="125"/>
      <c r="E245" s="125"/>
      <c r="F245" s="125"/>
      <c r="G245" s="125"/>
      <c r="H245" s="125"/>
      <c r="I245" s="125"/>
      <c r="J245" s="125"/>
      <c r="K245" s="125"/>
      <c r="L245" s="125"/>
      <c r="M245" s="125"/>
      <c r="N245" s="125"/>
      <c r="O245" s="125"/>
      <c r="P245" s="125"/>
      <c r="Q245" s="125"/>
      <c r="R245" s="125"/>
      <c r="S245" s="125"/>
      <c r="T245" s="125"/>
    </row>
    <row r="247" spans="1:32" ht="20.100000000000001" customHeight="1" x14ac:dyDescent="0.25">
      <c r="A247" s="126" t="s">
        <v>5</v>
      </c>
      <c r="B247" s="126"/>
      <c r="C247" s="45"/>
      <c r="D247" s="126" t="s">
        <v>20</v>
      </c>
      <c r="E247" s="126"/>
      <c r="F247" s="126"/>
      <c r="G247" s="126"/>
      <c r="H247" s="126"/>
      <c r="N247" s="127" t="s">
        <v>94</v>
      </c>
      <c r="O247" s="127"/>
      <c r="P247" s="127"/>
      <c r="Q247" s="127"/>
      <c r="R247" s="127"/>
      <c r="S247" s="210">
        <v>12</v>
      </c>
      <c r="T247" s="210"/>
      <c r="U247" s="186" t="s">
        <v>97</v>
      </c>
      <c r="V247" s="186"/>
      <c r="W247" s="186"/>
      <c r="AF247" s="24" t="s">
        <v>32</v>
      </c>
    </row>
    <row r="248" spans="1:32" ht="20.100000000000001" customHeight="1" x14ac:dyDescent="0.25">
      <c r="A248" s="90">
        <v>1</v>
      </c>
      <c r="B248" s="90"/>
      <c r="C248" s="47"/>
      <c r="D248" s="136">
        <f t="shared" ref="D248:D257" si="41">P194</f>
        <v>500</v>
      </c>
      <c r="E248" s="136"/>
      <c r="F248" s="136"/>
      <c r="G248" s="136"/>
      <c r="H248" s="136"/>
      <c r="I248" s="74">
        <f>A248</f>
        <v>1</v>
      </c>
      <c r="N248" s="127" t="s">
        <v>41</v>
      </c>
      <c r="O248" s="127"/>
      <c r="P248" s="127"/>
      <c r="Q248" s="127"/>
      <c r="R248" s="127"/>
      <c r="S248" s="195">
        <f>_xlfn.NORM.S.INV(1-((1/S247)/4))</f>
        <v>2.0368341317013874</v>
      </c>
      <c r="T248" s="195"/>
      <c r="AA248" s="60"/>
      <c r="AF248" s="24">
        <f>$R$254</f>
        <v>430.59615383664084</v>
      </c>
    </row>
    <row r="249" spans="1:32" ht="20.100000000000001" customHeight="1" x14ac:dyDescent="0.25">
      <c r="A249" s="90">
        <v>2</v>
      </c>
      <c r="B249" s="90"/>
      <c r="C249" s="49"/>
      <c r="D249" s="91">
        <f t="shared" si="41"/>
        <v>479.6052631578948</v>
      </c>
      <c r="E249" s="91"/>
      <c r="F249" s="91"/>
      <c r="G249" s="91"/>
      <c r="H249" s="91"/>
      <c r="I249" s="74">
        <f t="shared" ref="I249:I259" si="42">A249</f>
        <v>2</v>
      </c>
      <c r="AF249" s="24">
        <f>$R$254</f>
        <v>430.59615383664084</v>
      </c>
    </row>
    <row r="250" spans="1:32" ht="20.100000000000001" customHeight="1" x14ac:dyDescent="0.25">
      <c r="A250" s="90">
        <v>3</v>
      </c>
      <c r="B250" s="90"/>
      <c r="C250" s="49"/>
      <c r="D250" s="91">
        <f t="shared" ref="D250:D251" si="43">P196</f>
        <v>499.50000000000017</v>
      </c>
      <c r="E250" s="91"/>
      <c r="F250" s="91"/>
      <c r="G250" s="91"/>
      <c r="H250" s="91"/>
      <c r="I250" s="74">
        <f t="shared" si="42"/>
        <v>3</v>
      </c>
      <c r="N250" s="127" t="s">
        <v>24</v>
      </c>
      <c r="O250" s="127"/>
      <c r="P250" s="127"/>
      <c r="Q250" s="127"/>
      <c r="R250" s="127">
        <f>AVERAGE(D248:D259)</f>
        <v>507.57162801070501</v>
      </c>
      <c r="S250" s="127"/>
      <c r="T250" s="127"/>
    </row>
    <row r="251" spans="1:32" ht="20.100000000000001" customHeight="1" x14ac:dyDescent="0.25">
      <c r="A251" s="90">
        <v>4</v>
      </c>
      <c r="B251" s="90"/>
      <c r="C251" s="49"/>
      <c r="D251" s="91">
        <f t="shared" si="43"/>
        <v>456.00000000000023</v>
      </c>
      <c r="E251" s="91"/>
      <c r="F251" s="91"/>
      <c r="G251" s="91"/>
      <c r="H251" s="91"/>
      <c r="I251" s="74">
        <f t="shared" si="42"/>
        <v>4</v>
      </c>
      <c r="N251" s="127" t="s">
        <v>25</v>
      </c>
      <c r="O251" s="127"/>
      <c r="P251" s="127"/>
      <c r="Q251" s="127"/>
      <c r="R251" s="127">
        <f>STDEVA(D248:H259)</f>
        <v>37.791724409962541</v>
      </c>
      <c r="S251" s="127"/>
      <c r="T251" s="127"/>
    </row>
    <row r="252" spans="1:32" ht="20.100000000000001" customHeight="1" x14ac:dyDescent="0.25">
      <c r="A252" s="90">
        <v>5</v>
      </c>
      <c r="B252" s="90"/>
      <c r="C252" s="49"/>
      <c r="D252" s="91">
        <f t="shared" si="41"/>
        <v>499.50000000000017</v>
      </c>
      <c r="E252" s="91"/>
      <c r="F252" s="91"/>
      <c r="G252" s="91"/>
      <c r="H252" s="91"/>
      <c r="I252" s="74">
        <f t="shared" si="42"/>
        <v>5</v>
      </c>
    </row>
    <row r="253" spans="1:32" ht="20.100000000000001" customHeight="1" x14ac:dyDescent="0.25">
      <c r="A253" s="90">
        <v>6</v>
      </c>
      <c r="B253" s="90"/>
      <c r="C253" s="49"/>
      <c r="D253" s="91">
        <f t="shared" si="41"/>
        <v>486.00000000000017</v>
      </c>
      <c r="E253" s="91"/>
      <c r="F253" s="91"/>
      <c r="G253" s="91"/>
      <c r="H253" s="91"/>
      <c r="I253" s="74">
        <f t="shared" si="42"/>
        <v>6</v>
      </c>
      <c r="N253" s="127" t="s">
        <v>33</v>
      </c>
      <c r="O253" s="127"/>
      <c r="P253" s="127"/>
      <c r="Q253" s="127"/>
      <c r="R253" s="127">
        <f>R250+(S248*R251)</f>
        <v>584.54710218476919</v>
      </c>
      <c r="S253" s="127"/>
      <c r="T253" s="127"/>
    </row>
    <row r="254" spans="1:32" ht="20.100000000000001" customHeight="1" x14ac:dyDescent="0.25">
      <c r="A254" s="90">
        <v>7</v>
      </c>
      <c r="B254" s="90"/>
      <c r="C254" s="49"/>
      <c r="D254" s="91">
        <f t="shared" si="41"/>
        <v>506.25000000000028</v>
      </c>
      <c r="E254" s="91"/>
      <c r="F254" s="91"/>
      <c r="G254" s="91"/>
      <c r="H254" s="91"/>
      <c r="I254" s="74">
        <f t="shared" si="42"/>
        <v>7</v>
      </c>
      <c r="N254" s="127" t="s">
        <v>32</v>
      </c>
      <c r="O254" s="127"/>
      <c r="P254" s="127"/>
      <c r="Q254" s="127"/>
      <c r="R254" s="127">
        <f>R250-(S248*R251)</f>
        <v>430.59615383664084</v>
      </c>
      <c r="S254" s="127"/>
      <c r="T254" s="127"/>
    </row>
    <row r="255" spans="1:32" ht="20.100000000000001" customHeight="1" x14ac:dyDescent="0.25">
      <c r="A255" s="90">
        <v>8</v>
      </c>
      <c r="B255" s="90"/>
      <c r="C255" s="49"/>
      <c r="D255" s="91">
        <f t="shared" si="41"/>
        <v>502.20000000000022</v>
      </c>
      <c r="E255" s="91"/>
      <c r="F255" s="91"/>
      <c r="G255" s="91"/>
      <c r="H255" s="91"/>
      <c r="I255" s="74">
        <f t="shared" si="42"/>
        <v>8</v>
      </c>
      <c r="N255" s="127" t="s">
        <v>35</v>
      </c>
      <c r="O255" s="127"/>
      <c r="P255" s="127"/>
      <c r="Q255" s="127"/>
      <c r="R255" s="127">
        <f>MAX(D248:D259)</f>
        <v>579.66101694915278</v>
      </c>
      <c r="S255" s="127"/>
      <c r="T255" s="127"/>
    </row>
    <row r="256" spans="1:32" ht="20.100000000000001" customHeight="1" x14ac:dyDescent="0.25">
      <c r="A256" s="90">
        <v>9</v>
      </c>
      <c r="B256" s="90"/>
      <c r="C256" s="49"/>
      <c r="D256" s="91"/>
      <c r="E256" s="91"/>
      <c r="F256" s="91"/>
      <c r="G256" s="91"/>
      <c r="H256" s="91"/>
      <c r="I256" s="74">
        <f t="shared" si="42"/>
        <v>9</v>
      </c>
      <c r="N256" s="127" t="s">
        <v>34</v>
      </c>
      <c r="O256" s="127"/>
      <c r="P256" s="127"/>
      <c r="Q256" s="127"/>
      <c r="R256" s="127">
        <f>MIN(D248:D259)</f>
        <v>456.00000000000023</v>
      </c>
      <c r="S256" s="127"/>
      <c r="T256" s="127"/>
      <c r="Z256" s="24" t="e">
        <f>VLOOKUP(R258,D248:I259,6,0)</f>
        <v>#N/A</v>
      </c>
    </row>
    <row r="257" spans="1:27" ht="20.100000000000001" customHeight="1" x14ac:dyDescent="0.25">
      <c r="A257" s="90">
        <v>10</v>
      </c>
      <c r="B257" s="90"/>
      <c r="C257" s="49"/>
      <c r="D257" s="91">
        <f t="shared" si="41"/>
        <v>567.00000000000023</v>
      </c>
      <c r="E257" s="91"/>
      <c r="F257" s="91"/>
      <c r="G257" s="91"/>
      <c r="H257" s="91"/>
      <c r="I257" s="74">
        <f t="shared" si="42"/>
        <v>10</v>
      </c>
    </row>
    <row r="258" spans="1:27" ht="20.100000000000001" customHeight="1" x14ac:dyDescent="0.25">
      <c r="A258" s="90">
        <v>11</v>
      </c>
      <c r="B258" s="90"/>
      <c r="C258" s="49"/>
      <c r="D258" s="91"/>
      <c r="E258" s="91"/>
      <c r="F258" s="91"/>
      <c r="G258" s="91"/>
      <c r="H258" s="91"/>
      <c r="I258" s="74">
        <f t="shared" si="42"/>
        <v>11</v>
      </c>
      <c r="N258" s="127" t="s">
        <v>39</v>
      </c>
      <c r="O258" s="127"/>
      <c r="P258" s="171" t="str">
        <f>IF(R258="Nada a excluir","",Z256)</f>
        <v/>
      </c>
      <c r="Q258" s="171"/>
      <c r="R258" s="127" t="str" cm="1">
        <f t="array" ref="R258">_xlfn.IFS(AND(OR(R255&gt;R253,R256&lt;R254),(R255-R250)&gt;(R250-R256)),R255,AND(OR(R256&lt;R254,R255&gt;R253),(R250-R256)&gt;(R255-R250)),R256,AND(R255&lt;=R253,R256&gt;=R254),"Nada a excluir")</f>
        <v>Nada a excluir</v>
      </c>
      <c r="S258" s="127"/>
      <c r="T258" s="127"/>
    </row>
    <row r="259" spans="1:27" ht="20.100000000000001" customHeight="1" x14ac:dyDescent="0.25">
      <c r="A259" s="90">
        <v>12</v>
      </c>
      <c r="B259" s="90"/>
      <c r="C259" s="49"/>
      <c r="D259" s="91">
        <f t="shared" ref="D259" si="44">P205</f>
        <v>579.66101694915278</v>
      </c>
      <c r="E259" s="91"/>
      <c r="F259" s="91"/>
      <c r="G259" s="91"/>
      <c r="H259" s="91"/>
      <c r="I259" s="74">
        <f t="shared" si="42"/>
        <v>12</v>
      </c>
      <c r="N259" s="128" t="s">
        <v>38</v>
      </c>
      <c r="O259" s="128"/>
      <c r="P259" s="128"/>
      <c r="Q259" s="128"/>
      <c r="R259" s="132" t="str">
        <f>IF(R258="Nada a excluir","Encerrar","Continuar")</f>
        <v>Encerrar</v>
      </c>
      <c r="S259" s="132"/>
      <c r="T259" s="132"/>
    </row>
    <row r="261" spans="1:27" ht="20.100000000000001" customHeight="1" x14ac:dyDescent="0.25">
      <c r="N261" s="127" t="s">
        <v>36</v>
      </c>
      <c r="O261" s="127"/>
      <c r="P261" s="127"/>
      <c r="Q261" s="127"/>
      <c r="R261" s="163">
        <f>R251</f>
        <v>37.791724409962541</v>
      </c>
      <c r="S261" s="163"/>
      <c r="T261" s="163"/>
      <c r="Y261" s="24" t="s">
        <v>32</v>
      </c>
      <c r="Z261" s="24" t="s">
        <v>33</v>
      </c>
      <c r="AA261" s="24" t="s">
        <v>24</v>
      </c>
    </row>
    <row r="262" spans="1:27" ht="20.100000000000001" customHeight="1" x14ac:dyDescent="0.25">
      <c r="N262" s="128" t="s">
        <v>23</v>
      </c>
      <c r="O262" s="128"/>
      <c r="P262" s="128"/>
      <c r="Q262" s="128"/>
      <c r="R262" s="196">
        <f>R251/R250</f>
        <v>7.4455943406603275E-2</v>
      </c>
      <c r="S262" s="196"/>
      <c r="T262" s="196"/>
      <c r="Y262" s="24">
        <f>$R$254</f>
        <v>430.59615383664084</v>
      </c>
      <c r="Z262" s="24">
        <f>$R$253</f>
        <v>584.54710218476919</v>
      </c>
      <c r="AA262" s="24">
        <f>$R$216</f>
        <v>506.78875273700447</v>
      </c>
    </row>
    <row r="263" spans="1:27" ht="20.100000000000001" customHeight="1" x14ac:dyDescent="0.25">
      <c r="Y263" s="24">
        <f>$R$254</f>
        <v>430.59615383664084</v>
      </c>
      <c r="Z263" s="24">
        <f>$R$253</f>
        <v>584.54710218476919</v>
      </c>
      <c r="AA263" s="24">
        <f>$R$216</f>
        <v>506.78875273700447</v>
      </c>
    </row>
    <row r="264" spans="1:27" ht="20.100000000000001" customHeight="1" x14ac:dyDescent="0.25">
      <c r="Y264" s="24">
        <f>$R$254</f>
        <v>430.59615383664084</v>
      </c>
      <c r="Z264" s="24">
        <f>$R$253</f>
        <v>584.54710218476919</v>
      </c>
      <c r="AA264" s="24">
        <f>$R$216</f>
        <v>506.78875273700447</v>
      </c>
    </row>
    <row r="265" spans="1:27" ht="20.100000000000001" customHeight="1" x14ac:dyDescent="0.25">
      <c r="Y265" s="24">
        <f>$R$254</f>
        <v>430.59615383664084</v>
      </c>
      <c r="Z265" s="24">
        <f>$R$253</f>
        <v>584.54710218476919</v>
      </c>
      <c r="AA265" s="24">
        <f>$R$216</f>
        <v>506.78875273700447</v>
      </c>
    </row>
    <row r="266" spans="1:27" ht="20.100000000000001" customHeight="1" x14ac:dyDescent="0.25">
      <c r="Y266" s="24">
        <f>$R$254</f>
        <v>430.59615383664084</v>
      </c>
      <c r="Z266" s="24">
        <f>$R$253</f>
        <v>584.54710218476919</v>
      </c>
      <c r="AA266" s="24">
        <f>$R$216</f>
        <v>506.78875273700447</v>
      </c>
    </row>
    <row r="267" spans="1:27" ht="20.100000000000001" customHeight="1" x14ac:dyDescent="0.25">
      <c r="Y267" s="24">
        <f t="shared" ref="Y267:Y273" si="45">$R$254</f>
        <v>430.59615383664084</v>
      </c>
      <c r="Z267" s="24">
        <f t="shared" ref="Z267:Z273" si="46">$R$253</f>
        <v>584.54710218476919</v>
      </c>
      <c r="AA267" s="24">
        <f t="shared" ref="AA267:AA273" si="47">$R$216</f>
        <v>506.78875273700447</v>
      </c>
    </row>
    <row r="268" spans="1:27" ht="20.100000000000001" customHeight="1" x14ac:dyDescent="0.25">
      <c r="Y268" s="24">
        <f t="shared" si="45"/>
        <v>430.59615383664084</v>
      </c>
      <c r="Z268" s="24">
        <f t="shared" si="46"/>
        <v>584.54710218476919</v>
      </c>
      <c r="AA268" s="24">
        <f t="shared" si="47"/>
        <v>506.78875273700447</v>
      </c>
    </row>
    <row r="269" spans="1:27" ht="20.100000000000001" customHeight="1" x14ac:dyDescent="0.25">
      <c r="Y269" s="24">
        <f t="shared" si="45"/>
        <v>430.59615383664084</v>
      </c>
      <c r="Z269" s="24">
        <f t="shared" si="46"/>
        <v>584.54710218476919</v>
      </c>
      <c r="AA269" s="24">
        <f t="shared" si="47"/>
        <v>506.78875273700447</v>
      </c>
    </row>
    <row r="270" spans="1:27" ht="20.100000000000001" customHeight="1" x14ac:dyDescent="0.25">
      <c r="Y270" s="24">
        <f t="shared" si="45"/>
        <v>430.59615383664084</v>
      </c>
      <c r="Z270" s="24">
        <f t="shared" si="46"/>
        <v>584.54710218476919</v>
      </c>
      <c r="AA270" s="24">
        <f t="shared" si="47"/>
        <v>506.78875273700447</v>
      </c>
    </row>
    <row r="271" spans="1:27" ht="20.100000000000001" customHeight="1" x14ac:dyDescent="0.25">
      <c r="Y271" s="24">
        <f t="shared" si="45"/>
        <v>430.59615383664084</v>
      </c>
      <c r="Z271" s="24">
        <f t="shared" si="46"/>
        <v>584.54710218476919</v>
      </c>
      <c r="AA271" s="24">
        <f t="shared" si="47"/>
        <v>506.78875273700447</v>
      </c>
    </row>
    <row r="272" spans="1:27" ht="20.100000000000001" customHeight="1" x14ac:dyDescent="0.25">
      <c r="Y272" s="24">
        <f t="shared" si="45"/>
        <v>430.59615383664084</v>
      </c>
      <c r="Z272" s="24">
        <f t="shared" si="46"/>
        <v>584.54710218476919</v>
      </c>
      <c r="AA272" s="24">
        <f t="shared" si="47"/>
        <v>506.78875273700447</v>
      </c>
    </row>
    <row r="273" spans="1:27" ht="20.100000000000001" customHeight="1" x14ac:dyDescent="0.25">
      <c r="Y273" s="24">
        <f t="shared" si="45"/>
        <v>430.59615383664084</v>
      </c>
      <c r="Z273" s="24">
        <f t="shared" si="46"/>
        <v>584.54710218476919</v>
      </c>
      <c r="AA273" s="24">
        <f t="shared" si="47"/>
        <v>506.78875273700447</v>
      </c>
    </row>
    <row r="281" spans="1:27" ht="20.100000000000001" customHeight="1" x14ac:dyDescent="0.25">
      <c r="A281" s="125" t="s">
        <v>42</v>
      </c>
      <c r="B281" s="125"/>
      <c r="C281" s="125"/>
      <c r="D281" s="125"/>
      <c r="E281" s="125"/>
      <c r="F281" s="125"/>
      <c r="G281" s="125"/>
      <c r="H281" s="125"/>
      <c r="I281" s="125"/>
      <c r="J281" s="125"/>
      <c r="K281" s="125"/>
      <c r="L281" s="125"/>
      <c r="M281" s="125"/>
      <c r="N281" s="125"/>
      <c r="O281" s="125"/>
      <c r="P281" s="125"/>
      <c r="Q281" s="125"/>
      <c r="R281" s="125"/>
      <c r="S281" s="125"/>
      <c r="T281" s="125"/>
    </row>
    <row r="283" spans="1:27" ht="20.100000000000001" customHeight="1" x14ac:dyDescent="0.25">
      <c r="A283" s="126" t="s">
        <v>5</v>
      </c>
      <c r="B283" s="126"/>
      <c r="C283" s="45"/>
      <c r="D283" s="126" t="s">
        <v>20</v>
      </c>
      <c r="E283" s="126"/>
      <c r="F283" s="126"/>
      <c r="G283" s="126"/>
      <c r="H283" s="126"/>
      <c r="N283" s="127" t="s">
        <v>94</v>
      </c>
      <c r="O283" s="127"/>
      <c r="P283" s="127"/>
      <c r="Q283" s="127"/>
      <c r="R283" s="127"/>
      <c r="S283" s="183">
        <v>12</v>
      </c>
      <c r="T283" s="183"/>
      <c r="U283" s="186" t="s">
        <v>97</v>
      </c>
      <c r="V283" s="186"/>
      <c r="W283" s="186"/>
    </row>
    <row r="284" spans="1:27" ht="20.100000000000001" customHeight="1" x14ac:dyDescent="0.25">
      <c r="A284" s="90">
        <v>1</v>
      </c>
      <c r="B284" s="90"/>
      <c r="C284" s="47"/>
      <c r="D284" s="136">
        <f t="shared" ref="D284:D295" si="48">P194</f>
        <v>500</v>
      </c>
      <c r="E284" s="136"/>
      <c r="F284" s="136"/>
      <c r="G284" s="136"/>
      <c r="H284" s="136"/>
      <c r="I284" s="74">
        <f>A284</f>
        <v>1</v>
      </c>
      <c r="N284" s="127" t="s">
        <v>43</v>
      </c>
      <c r="O284" s="127"/>
      <c r="P284" s="127"/>
      <c r="Q284" s="127"/>
      <c r="R284" s="127"/>
      <c r="S284" s="179" cm="1">
        <f t="array" ref="S284">_xlfn.IFS(S283&lt;=5,0.1,AND(S283&gt;=6,S283&lt;=10),0.05,AND(S283&gt;=11,S283&lt;=50),0.01,S283&gt;50,0.001)</f>
        <v>0.01</v>
      </c>
      <c r="T284" s="179"/>
    </row>
    <row r="285" spans="1:27" ht="20.100000000000001" customHeight="1" x14ac:dyDescent="0.25">
      <c r="A285" s="90">
        <v>2</v>
      </c>
      <c r="B285" s="90"/>
      <c r="C285" s="49"/>
      <c r="D285" s="91">
        <f t="shared" si="48"/>
        <v>479.6052631578948</v>
      </c>
      <c r="E285" s="91"/>
      <c r="F285" s="91"/>
      <c r="G285" s="91"/>
      <c r="H285" s="91"/>
      <c r="I285" s="74">
        <f t="shared" ref="I285:I295" si="49">A285</f>
        <v>2</v>
      </c>
      <c r="N285" s="127" t="s">
        <v>44</v>
      </c>
      <c r="O285" s="127"/>
      <c r="P285" s="127"/>
      <c r="Q285" s="127"/>
      <c r="R285" s="127"/>
      <c r="S285" s="209">
        <f>S283-2</f>
        <v>10</v>
      </c>
      <c r="T285" s="209"/>
    </row>
    <row r="286" spans="1:27" ht="20.100000000000001" customHeight="1" x14ac:dyDescent="0.25">
      <c r="A286" s="90">
        <v>3</v>
      </c>
      <c r="B286" s="90"/>
      <c r="C286" s="49"/>
      <c r="D286" s="91">
        <f t="shared" si="48"/>
        <v>499.50000000000017</v>
      </c>
      <c r="E286" s="91"/>
      <c r="F286" s="91"/>
      <c r="G286" s="91"/>
      <c r="H286" s="91"/>
      <c r="I286" s="74">
        <f t="shared" si="49"/>
        <v>3</v>
      </c>
      <c r="N286" s="127" t="s">
        <v>41</v>
      </c>
      <c r="O286" s="127"/>
      <c r="P286" s="127"/>
      <c r="Q286" s="127"/>
      <c r="R286" s="127"/>
      <c r="S286" s="195">
        <f>Z297</f>
        <v>2.3477974015249643</v>
      </c>
      <c r="T286" s="195"/>
    </row>
    <row r="287" spans="1:27" ht="20.100000000000001" customHeight="1" x14ac:dyDescent="0.25">
      <c r="A287" s="90">
        <v>4</v>
      </c>
      <c r="B287" s="90"/>
      <c r="C287" s="49"/>
      <c r="D287" s="91">
        <f t="shared" si="48"/>
        <v>456.00000000000023</v>
      </c>
      <c r="E287" s="91"/>
      <c r="F287" s="91"/>
      <c r="G287" s="91"/>
      <c r="H287" s="91"/>
      <c r="I287" s="74">
        <f t="shared" si="49"/>
        <v>4</v>
      </c>
    </row>
    <row r="288" spans="1:27" ht="20.100000000000001" customHeight="1" x14ac:dyDescent="0.25">
      <c r="A288" s="90">
        <v>5</v>
      </c>
      <c r="B288" s="90"/>
      <c r="C288" s="49"/>
      <c r="D288" s="91">
        <f t="shared" si="48"/>
        <v>499.50000000000017</v>
      </c>
      <c r="E288" s="91"/>
      <c r="F288" s="91"/>
      <c r="G288" s="91"/>
      <c r="H288" s="91"/>
      <c r="I288" s="74">
        <f t="shared" si="49"/>
        <v>5</v>
      </c>
      <c r="N288" s="127" t="s">
        <v>24</v>
      </c>
      <c r="O288" s="127"/>
      <c r="P288" s="127"/>
      <c r="Q288" s="127"/>
      <c r="R288" s="127">
        <f>AVERAGE(D284:D295)</f>
        <v>507.57162801070501</v>
      </c>
      <c r="S288" s="127"/>
      <c r="T288" s="127"/>
    </row>
    <row r="289" spans="1:27" ht="20.100000000000001" customHeight="1" x14ac:dyDescent="0.25">
      <c r="A289" s="90">
        <v>6</v>
      </c>
      <c r="B289" s="90"/>
      <c r="C289" s="49"/>
      <c r="D289" s="91">
        <f t="shared" si="48"/>
        <v>486.00000000000017</v>
      </c>
      <c r="E289" s="91"/>
      <c r="F289" s="91"/>
      <c r="G289" s="91"/>
      <c r="H289" s="91"/>
      <c r="I289" s="74">
        <f t="shared" si="49"/>
        <v>6</v>
      </c>
      <c r="N289" s="127" t="s">
        <v>25</v>
      </c>
      <c r="O289" s="127"/>
      <c r="P289" s="127"/>
      <c r="Q289" s="127"/>
      <c r="R289" s="127">
        <f>STDEVA(D284:H295)</f>
        <v>37.791724409962541</v>
      </c>
      <c r="S289" s="127"/>
      <c r="T289" s="127"/>
    </row>
    <row r="290" spans="1:27" ht="20.100000000000001" customHeight="1" x14ac:dyDescent="0.25">
      <c r="A290" s="90">
        <v>7</v>
      </c>
      <c r="B290" s="90"/>
      <c r="C290" s="49"/>
      <c r="D290" s="91">
        <f t="shared" si="48"/>
        <v>506.25000000000028</v>
      </c>
      <c r="E290" s="91"/>
      <c r="F290" s="91"/>
      <c r="G290" s="91"/>
      <c r="H290" s="91"/>
      <c r="I290" s="74">
        <f t="shared" si="49"/>
        <v>7</v>
      </c>
    </row>
    <row r="291" spans="1:27" ht="20.100000000000001" customHeight="1" x14ac:dyDescent="0.25">
      <c r="A291" s="90">
        <v>8</v>
      </c>
      <c r="B291" s="90"/>
      <c r="C291" s="49"/>
      <c r="D291" s="91">
        <f t="shared" si="48"/>
        <v>502.20000000000022</v>
      </c>
      <c r="E291" s="91"/>
      <c r="F291" s="91"/>
      <c r="G291" s="91"/>
      <c r="H291" s="91"/>
      <c r="I291" s="74">
        <f t="shared" si="49"/>
        <v>8</v>
      </c>
      <c r="N291" s="127" t="s">
        <v>33</v>
      </c>
      <c r="O291" s="127"/>
      <c r="P291" s="127"/>
      <c r="Q291" s="127"/>
      <c r="R291" s="127">
        <f>R288+(S286*R289)</f>
        <v>596.29894037956262</v>
      </c>
      <c r="S291" s="127"/>
      <c r="T291" s="127"/>
    </row>
    <row r="292" spans="1:27" ht="20.100000000000001" customHeight="1" x14ac:dyDescent="0.25">
      <c r="A292" s="90">
        <v>9</v>
      </c>
      <c r="B292" s="90"/>
      <c r="C292" s="49"/>
      <c r="D292" s="91"/>
      <c r="E292" s="91"/>
      <c r="F292" s="91"/>
      <c r="G292" s="91"/>
      <c r="H292" s="91"/>
      <c r="I292" s="74">
        <f t="shared" si="49"/>
        <v>9</v>
      </c>
      <c r="N292" s="127" t="s">
        <v>32</v>
      </c>
      <c r="O292" s="127"/>
      <c r="P292" s="127"/>
      <c r="Q292" s="127"/>
      <c r="R292" s="127">
        <f>R288-(S286*R289)</f>
        <v>418.8443156418474</v>
      </c>
      <c r="S292" s="127"/>
      <c r="T292" s="127"/>
    </row>
    <row r="293" spans="1:27" ht="20.100000000000001" customHeight="1" x14ac:dyDescent="0.25">
      <c r="A293" s="90">
        <v>10</v>
      </c>
      <c r="B293" s="90"/>
      <c r="C293" s="49"/>
      <c r="D293" s="91">
        <f t="shared" si="48"/>
        <v>567.00000000000023</v>
      </c>
      <c r="E293" s="91"/>
      <c r="F293" s="91"/>
      <c r="G293" s="91"/>
      <c r="H293" s="91"/>
      <c r="I293" s="74">
        <f t="shared" si="49"/>
        <v>10</v>
      </c>
      <c r="N293" s="127" t="s">
        <v>35</v>
      </c>
      <c r="O293" s="127"/>
      <c r="P293" s="127"/>
      <c r="Q293" s="127"/>
      <c r="R293" s="127">
        <f>MAX(D284:D295)</f>
        <v>579.66101694915278</v>
      </c>
      <c r="S293" s="127"/>
      <c r="T293" s="127"/>
    </row>
    <row r="294" spans="1:27" ht="20.100000000000001" customHeight="1" x14ac:dyDescent="0.25">
      <c r="A294" s="90">
        <v>11</v>
      </c>
      <c r="B294" s="90"/>
      <c r="C294" s="49"/>
      <c r="D294" s="91"/>
      <c r="E294" s="91"/>
      <c r="F294" s="91"/>
      <c r="G294" s="91"/>
      <c r="H294" s="91"/>
      <c r="I294" s="74">
        <f t="shared" si="49"/>
        <v>11</v>
      </c>
      <c r="N294" s="127" t="s">
        <v>34</v>
      </c>
      <c r="O294" s="127"/>
      <c r="P294" s="127"/>
      <c r="Q294" s="127"/>
      <c r="R294" s="127">
        <f>MIN(D284:D295)</f>
        <v>456.00000000000023</v>
      </c>
      <c r="S294" s="127"/>
      <c r="T294" s="127"/>
    </row>
    <row r="295" spans="1:27" ht="20.100000000000001" customHeight="1" x14ac:dyDescent="0.25">
      <c r="A295" s="90">
        <v>12</v>
      </c>
      <c r="B295" s="90"/>
      <c r="C295" s="49"/>
      <c r="D295" s="91">
        <f t="shared" si="48"/>
        <v>579.66101694915278</v>
      </c>
      <c r="E295" s="91"/>
      <c r="F295" s="91"/>
      <c r="G295" s="91"/>
      <c r="H295" s="91"/>
      <c r="I295" s="74">
        <f t="shared" si="49"/>
        <v>12</v>
      </c>
    </row>
    <row r="296" spans="1:27" ht="20.100000000000001" customHeight="1" x14ac:dyDescent="0.25">
      <c r="N296" s="127" t="s">
        <v>39</v>
      </c>
      <c r="O296" s="127"/>
      <c r="P296" s="171" t="str">
        <f>IF(R296="Nada a excluir","",Z299)</f>
        <v/>
      </c>
      <c r="Q296" s="171"/>
      <c r="R296" s="127" t="str" cm="1">
        <f t="array" ref="R296">_xlfn.IFS(AND(OR(R293&gt;R291,R294&lt;R292),(R293-R288)&gt;(R288-R294)),R293,AND(OR(R294&lt;R292,R293&gt;R291),(R288-R294)&gt;(R293-R288)),R294,AND(R293&lt;=R291,R294&gt;=R292),"Nada a excluir")</f>
        <v>Nada a excluir</v>
      </c>
      <c r="S296" s="127"/>
      <c r="T296" s="127"/>
      <c r="Z296" s="24">
        <f>_xlfn.T.INV.2T(S284,S285)</f>
        <v>3.1692726726169518</v>
      </c>
    </row>
    <row r="297" spans="1:27" ht="20.100000000000001" customHeight="1" x14ac:dyDescent="0.25">
      <c r="N297" s="128" t="s">
        <v>38</v>
      </c>
      <c r="O297" s="128"/>
      <c r="P297" s="128"/>
      <c r="Q297" s="128"/>
      <c r="R297" s="132" t="str">
        <f>IF(R296="Nada a excluir","Encerrar","Continuar")</f>
        <v>Encerrar</v>
      </c>
      <c r="S297" s="132"/>
      <c r="T297" s="132"/>
      <c r="Z297" s="24">
        <f>((((Z296^2)*(S283))-Z296^2)/(S283-2+Z296^2))^(1/2)</f>
        <v>2.3477974015249643</v>
      </c>
    </row>
    <row r="299" spans="1:27" ht="20.100000000000001" customHeight="1" x14ac:dyDescent="0.25">
      <c r="N299" s="127" t="s">
        <v>36</v>
      </c>
      <c r="O299" s="127"/>
      <c r="P299" s="127"/>
      <c r="Q299" s="127"/>
      <c r="R299" s="163">
        <f>R289</f>
        <v>37.791724409962541</v>
      </c>
      <c r="S299" s="163"/>
      <c r="T299" s="163"/>
      <c r="Z299" s="24" t="e">
        <f>VLOOKUP(R296,D284:I295,6,0)</f>
        <v>#N/A</v>
      </c>
    </row>
    <row r="300" spans="1:27" ht="20.100000000000001" customHeight="1" x14ac:dyDescent="0.25">
      <c r="N300" s="128" t="s">
        <v>23</v>
      </c>
      <c r="O300" s="128"/>
      <c r="P300" s="128"/>
      <c r="Q300" s="128"/>
      <c r="R300" s="196">
        <f>R289/R288</f>
        <v>7.4455943406603275E-2</v>
      </c>
      <c r="S300" s="196"/>
      <c r="T300" s="196"/>
      <c r="Y300" s="24" t="s">
        <v>32</v>
      </c>
      <c r="Z300" s="24" t="s">
        <v>33</v>
      </c>
      <c r="AA300" s="24" t="s">
        <v>24</v>
      </c>
    </row>
    <row r="301" spans="1:27" ht="20.100000000000001" customHeight="1" x14ac:dyDescent="0.25">
      <c r="Y301" s="24">
        <f>$R$292</f>
        <v>418.8443156418474</v>
      </c>
      <c r="Z301" s="24">
        <f>$R$291</f>
        <v>596.29894037956262</v>
      </c>
      <c r="AA301" s="24">
        <f>$R$288</f>
        <v>507.57162801070501</v>
      </c>
    </row>
    <row r="302" spans="1:27" ht="20.100000000000001" customHeight="1" x14ac:dyDescent="0.25">
      <c r="Y302" s="24">
        <f>$R$292</f>
        <v>418.8443156418474</v>
      </c>
      <c r="Z302" s="24">
        <f>$R$291</f>
        <v>596.29894037956262</v>
      </c>
      <c r="AA302" s="24">
        <f>$R$288</f>
        <v>507.57162801070501</v>
      </c>
    </row>
    <row r="303" spans="1:27" ht="20.100000000000001" customHeight="1" x14ac:dyDescent="0.25">
      <c r="Y303" s="24">
        <f>$R$292</f>
        <v>418.8443156418474</v>
      </c>
      <c r="Z303" s="24">
        <f>$R$291</f>
        <v>596.29894037956262</v>
      </c>
      <c r="AA303" s="24">
        <f>$R$288</f>
        <v>507.57162801070501</v>
      </c>
    </row>
    <row r="304" spans="1:27" ht="20.100000000000001" customHeight="1" x14ac:dyDescent="0.25">
      <c r="Y304" s="24">
        <f>$R$292</f>
        <v>418.8443156418474</v>
      </c>
      <c r="Z304" s="24">
        <f>$R$291</f>
        <v>596.29894037956262</v>
      </c>
      <c r="AA304" s="24">
        <f>$R$288</f>
        <v>507.57162801070501</v>
      </c>
    </row>
    <row r="305" spans="1:29" ht="20.100000000000001" customHeight="1" x14ac:dyDescent="0.25">
      <c r="Y305" s="24">
        <f>$R$292</f>
        <v>418.8443156418474</v>
      </c>
      <c r="Z305" s="24">
        <f>$R$291</f>
        <v>596.29894037956262</v>
      </c>
      <c r="AA305" s="24">
        <f>$R$288</f>
        <v>507.57162801070501</v>
      </c>
    </row>
    <row r="306" spans="1:29" ht="20.100000000000001" customHeight="1" x14ac:dyDescent="0.25">
      <c r="Y306" s="24">
        <f t="shared" ref="Y306:Y312" si="50">$R$292</f>
        <v>418.8443156418474</v>
      </c>
      <c r="Z306" s="24">
        <f t="shared" ref="Z306:Z312" si="51">$R$291</f>
        <v>596.29894037956262</v>
      </c>
      <c r="AA306" s="24">
        <f t="shared" ref="AA306:AA312" si="52">$R$288</f>
        <v>507.57162801070501</v>
      </c>
    </row>
    <row r="307" spans="1:29" ht="20.100000000000001" customHeight="1" x14ac:dyDescent="0.25">
      <c r="Y307" s="24">
        <f t="shared" si="50"/>
        <v>418.8443156418474</v>
      </c>
      <c r="Z307" s="24">
        <f t="shared" si="51"/>
        <v>596.29894037956262</v>
      </c>
      <c r="AA307" s="24">
        <f t="shared" si="52"/>
        <v>507.57162801070501</v>
      </c>
    </row>
    <row r="308" spans="1:29" ht="20.100000000000001" customHeight="1" x14ac:dyDescent="0.25">
      <c r="Y308" s="24">
        <f t="shared" si="50"/>
        <v>418.8443156418474</v>
      </c>
      <c r="Z308" s="24">
        <f t="shared" si="51"/>
        <v>596.29894037956262</v>
      </c>
      <c r="AA308" s="24">
        <f t="shared" si="52"/>
        <v>507.57162801070501</v>
      </c>
    </row>
    <row r="309" spans="1:29" ht="20.100000000000001" customHeight="1" x14ac:dyDescent="0.25">
      <c r="Y309" s="24">
        <f t="shared" si="50"/>
        <v>418.8443156418474</v>
      </c>
      <c r="Z309" s="24">
        <f t="shared" si="51"/>
        <v>596.29894037956262</v>
      </c>
      <c r="AA309" s="24">
        <f t="shared" si="52"/>
        <v>507.57162801070501</v>
      </c>
    </row>
    <row r="310" spans="1:29" ht="20.100000000000001" customHeight="1" x14ac:dyDescent="0.25">
      <c r="Y310" s="24">
        <f t="shared" si="50"/>
        <v>418.8443156418474</v>
      </c>
      <c r="Z310" s="24">
        <f t="shared" si="51"/>
        <v>596.29894037956262</v>
      </c>
      <c r="AA310" s="24">
        <f t="shared" si="52"/>
        <v>507.57162801070501</v>
      </c>
    </row>
    <row r="311" spans="1:29" ht="20.100000000000001" customHeight="1" x14ac:dyDescent="0.25">
      <c r="Y311" s="24">
        <f t="shared" si="50"/>
        <v>418.8443156418474</v>
      </c>
      <c r="Z311" s="24">
        <f t="shared" si="51"/>
        <v>596.29894037956262</v>
      </c>
      <c r="AA311" s="24">
        <f t="shared" si="52"/>
        <v>507.57162801070501</v>
      </c>
    </row>
    <row r="312" spans="1:29" ht="20.100000000000001" customHeight="1" x14ac:dyDescent="0.25">
      <c r="Y312" s="24">
        <f t="shared" si="50"/>
        <v>418.8443156418474</v>
      </c>
      <c r="Z312" s="24">
        <f t="shared" si="51"/>
        <v>596.29894037956262</v>
      </c>
      <c r="AA312" s="24">
        <f t="shared" si="52"/>
        <v>507.57162801070501</v>
      </c>
    </row>
    <row r="319" spans="1:29" ht="20.100000000000001" customHeight="1" x14ac:dyDescent="0.25">
      <c r="A319" s="189" t="s">
        <v>45</v>
      </c>
      <c r="B319" s="189"/>
      <c r="C319" s="189"/>
      <c r="D319" s="189"/>
      <c r="E319" s="189"/>
      <c r="F319" s="189"/>
      <c r="G319" s="189"/>
      <c r="H319" s="189"/>
      <c r="I319" s="189" t="s">
        <v>24</v>
      </c>
      <c r="J319" s="189"/>
      <c r="K319" s="189"/>
      <c r="L319" s="189"/>
      <c r="M319" s="189" t="s">
        <v>25</v>
      </c>
      <c r="N319" s="189"/>
      <c r="O319" s="189"/>
      <c r="P319" s="189"/>
      <c r="Q319" s="189" t="s">
        <v>23</v>
      </c>
      <c r="R319" s="189"/>
      <c r="S319" s="189"/>
      <c r="T319" s="189"/>
    </row>
    <row r="320" spans="1:29" ht="20.100000000000001" customHeight="1" x14ac:dyDescent="0.25">
      <c r="A320" s="138" t="s">
        <v>46</v>
      </c>
      <c r="B320" s="138"/>
      <c r="C320" s="138"/>
      <c r="D320" s="138"/>
      <c r="E320" s="138"/>
      <c r="F320" s="138"/>
      <c r="G320" s="138"/>
      <c r="H320" s="138"/>
      <c r="I320" s="127">
        <f>R216</f>
        <v>506.78875273700447</v>
      </c>
      <c r="J320" s="127"/>
      <c r="K320" s="127"/>
      <c r="L320" s="127"/>
      <c r="M320" s="127">
        <f>R225</f>
        <v>35.946276874338317</v>
      </c>
      <c r="N320" s="127"/>
      <c r="O320" s="127"/>
      <c r="P320" s="127"/>
      <c r="Q320" s="190">
        <f>R226</f>
        <v>7.0929507965999519E-2</v>
      </c>
      <c r="R320" s="190"/>
      <c r="S320" s="190"/>
      <c r="T320" s="190"/>
      <c r="Z320" s="61">
        <f>Q320</f>
        <v>7.0929507965999519E-2</v>
      </c>
      <c r="AA320" s="24" t="str">
        <f>A320</f>
        <v>Intervalo em torno da média</v>
      </c>
      <c r="AB320" s="24">
        <f>I320</f>
        <v>506.78875273700447</v>
      </c>
      <c r="AC320" s="24">
        <f>M320</f>
        <v>35.946276874338317</v>
      </c>
    </row>
    <row r="321" spans="1:29" ht="20.100000000000001" customHeight="1" x14ac:dyDescent="0.25">
      <c r="A321" s="128" t="s">
        <v>47</v>
      </c>
      <c r="B321" s="128"/>
      <c r="C321" s="128"/>
      <c r="D321" s="128"/>
      <c r="E321" s="128"/>
      <c r="F321" s="128"/>
      <c r="G321" s="128"/>
      <c r="H321" s="128"/>
      <c r="I321" s="128">
        <f>R250</f>
        <v>507.57162801070501</v>
      </c>
      <c r="J321" s="128"/>
      <c r="K321" s="128"/>
      <c r="L321" s="128"/>
      <c r="M321" s="128">
        <f>R251</f>
        <v>37.791724409962541</v>
      </c>
      <c r="N321" s="128"/>
      <c r="O321" s="128"/>
      <c r="P321" s="128"/>
      <c r="Q321" s="207">
        <f>R262</f>
        <v>7.4455943406603275E-2</v>
      </c>
      <c r="R321" s="207"/>
      <c r="S321" s="207"/>
      <c r="T321" s="207"/>
      <c r="Z321" s="61">
        <f>Q321</f>
        <v>7.4455943406603275E-2</v>
      </c>
      <c r="AA321" s="24" t="str">
        <f>A321</f>
        <v>Critério de Chauvenet</v>
      </c>
      <c r="AB321" s="24">
        <f>I321</f>
        <v>507.57162801070501</v>
      </c>
      <c r="AC321" s="24">
        <f>M321</f>
        <v>37.791724409962541</v>
      </c>
    </row>
    <row r="322" spans="1:29" ht="20.100000000000001" customHeight="1" x14ac:dyDescent="0.25">
      <c r="A322" s="128" t="s">
        <v>48</v>
      </c>
      <c r="B322" s="128"/>
      <c r="C322" s="128"/>
      <c r="D322" s="128"/>
      <c r="E322" s="128"/>
      <c r="F322" s="128"/>
      <c r="G322" s="128"/>
      <c r="H322" s="128"/>
      <c r="I322" s="128">
        <f>R288</f>
        <v>507.57162801070501</v>
      </c>
      <c r="J322" s="128"/>
      <c r="K322" s="128"/>
      <c r="L322" s="128"/>
      <c r="M322" s="128">
        <f>R299</f>
        <v>37.791724409962541</v>
      </c>
      <c r="N322" s="128"/>
      <c r="O322" s="128"/>
      <c r="P322" s="128"/>
      <c r="Q322" s="207">
        <f>R300</f>
        <v>7.4455943406603275E-2</v>
      </c>
      <c r="R322" s="207"/>
      <c r="S322" s="207"/>
      <c r="T322" s="207"/>
      <c r="Z322" s="61">
        <f>Q322</f>
        <v>7.4455943406603275E-2</v>
      </c>
      <c r="AA322" s="24" t="str">
        <f>A322</f>
        <v>Critério de Arley</v>
      </c>
      <c r="AB322" s="24">
        <f>I322</f>
        <v>507.57162801070501</v>
      </c>
      <c r="AC322" s="24">
        <f>M322</f>
        <v>37.791724409962541</v>
      </c>
    </row>
    <row r="324" spans="1:29" ht="20.100000000000001" customHeight="1" x14ac:dyDescent="0.25">
      <c r="A324" s="127" t="s">
        <v>49</v>
      </c>
      <c r="B324" s="127"/>
      <c r="C324" s="127"/>
      <c r="D324" s="127"/>
      <c r="E324" s="127"/>
      <c r="F324" s="127"/>
      <c r="G324" s="127"/>
      <c r="H324" s="127"/>
      <c r="I324" s="193">
        <f>MIN(Q320:T322)</f>
        <v>7.0929507965999519E-2</v>
      </c>
      <c r="J324" s="193"/>
      <c r="K324" s="193"/>
      <c r="L324" s="193"/>
      <c r="M324" s="193"/>
      <c r="N324" s="193"/>
    </row>
    <row r="325" spans="1:29" ht="20.100000000000001" customHeight="1" x14ac:dyDescent="0.25">
      <c r="A325" s="128" t="s">
        <v>50</v>
      </c>
      <c r="B325" s="128"/>
      <c r="C325" s="128"/>
      <c r="D325" s="128"/>
      <c r="E325" s="128"/>
      <c r="F325" s="128"/>
      <c r="G325" s="128"/>
      <c r="H325" s="128"/>
      <c r="I325" s="132" t="str">
        <f>VLOOKUP(I324,Z320:AB322,2,0)</f>
        <v>Intervalo em torno da média</v>
      </c>
      <c r="J325" s="132"/>
      <c r="K325" s="132"/>
      <c r="L325" s="132"/>
      <c r="M325" s="132"/>
      <c r="N325" s="132"/>
    </row>
    <row r="326" spans="1:29" ht="20.100000000000001" customHeight="1" x14ac:dyDescent="0.25">
      <c r="A326" s="128" t="s">
        <v>51</v>
      </c>
      <c r="B326" s="128"/>
      <c r="C326" s="128"/>
      <c r="D326" s="128"/>
      <c r="E326" s="128"/>
      <c r="F326" s="128"/>
      <c r="G326" s="128"/>
      <c r="H326" s="128"/>
      <c r="I326" s="128">
        <f>VLOOKUP(I324,Z320:AB322,3,0)</f>
        <v>506.78875273700447</v>
      </c>
      <c r="J326" s="128"/>
      <c r="K326" s="128"/>
      <c r="L326" s="128"/>
      <c r="M326" s="128"/>
      <c r="N326" s="128"/>
    </row>
    <row r="327" spans="1:29" ht="20.100000000000001" customHeight="1" x14ac:dyDescent="0.25">
      <c r="A327" s="128" t="s">
        <v>55</v>
      </c>
      <c r="B327" s="128"/>
      <c r="C327" s="128"/>
      <c r="D327" s="128"/>
      <c r="E327" s="128"/>
      <c r="F327" s="128"/>
      <c r="G327" s="128"/>
      <c r="H327" s="128"/>
      <c r="I327" s="128">
        <f>VLOOKUP(I324,Z320:AC322,4,0)</f>
        <v>35.946276874338317</v>
      </c>
      <c r="J327" s="128"/>
      <c r="K327" s="128"/>
      <c r="L327" s="128"/>
      <c r="M327" s="128"/>
      <c r="N327" s="128"/>
    </row>
    <row r="330" spans="1:29" ht="20.100000000000001" customHeight="1" x14ac:dyDescent="0.25">
      <c r="A330" s="202" t="s">
        <v>395</v>
      </c>
      <c r="B330" s="202"/>
      <c r="C330" s="202"/>
      <c r="D330" s="202"/>
      <c r="E330" s="202"/>
      <c r="F330" s="202"/>
      <c r="G330" s="202"/>
      <c r="H330" s="202"/>
      <c r="I330" s="202"/>
      <c r="J330" s="202"/>
      <c r="K330" s="202"/>
      <c r="L330" s="202"/>
      <c r="M330" s="202"/>
      <c r="N330" s="202"/>
      <c r="O330" s="202"/>
      <c r="P330" s="202"/>
      <c r="Q330" s="202"/>
      <c r="R330" s="202"/>
      <c r="S330" s="202"/>
      <c r="T330" s="202"/>
    </row>
    <row r="332" spans="1:29" ht="60" customHeight="1" x14ac:dyDescent="0.25">
      <c r="A332" s="99" t="s">
        <v>92</v>
      </c>
      <c r="B332" s="99"/>
      <c r="C332" s="99"/>
      <c r="D332" s="99"/>
      <c r="E332" s="99"/>
      <c r="F332" s="99"/>
      <c r="G332" s="99"/>
      <c r="H332" s="99"/>
      <c r="I332" s="99"/>
      <c r="J332" s="99"/>
      <c r="K332" s="99"/>
      <c r="L332" s="99"/>
      <c r="M332" s="99"/>
      <c r="N332" s="99"/>
      <c r="O332" s="99"/>
      <c r="P332" s="99"/>
      <c r="Q332" s="99"/>
      <c r="R332" s="99"/>
      <c r="S332" s="99"/>
      <c r="T332" s="99"/>
    </row>
    <row r="334" spans="1:29" ht="20.100000000000001" customHeight="1" x14ac:dyDescent="0.25">
      <c r="A334" s="127" t="s">
        <v>24</v>
      </c>
      <c r="B334" s="127"/>
      <c r="C334" s="127"/>
      <c r="D334" s="127"/>
      <c r="E334" s="127"/>
      <c r="F334" s="127"/>
      <c r="G334" s="163">
        <f>I326</f>
        <v>506.78875273700447</v>
      </c>
      <c r="H334" s="163"/>
      <c r="I334" s="163"/>
      <c r="J334" s="163"/>
    </row>
    <row r="335" spans="1:29" ht="20.100000000000001" customHeight="1" x14ac:dyDescent="0.25">
      <c r="A335" s="128" t="s">
        <v>25</v>
      </c>
      <c r="B335" s="128"/>
      <c r="C335" s="128"/>
      <c r="D335" s="128"/>
      <c r="E335" s="128"/>
      <c r="F335" s="128"/>
      <c r="G335" s="132">
        <f>I327</f>
        <v>35.946276874338317</v>
      </c>
      <c r="H335" s="132"/>
      <c r="I335" s="132"/>
      <c r="J335" s="132"/>
    </row>
    <row r="336" spans="1:29" ht="20.100000000000001" customHeight="1" x14ac:dyDescent="0.25">
      <c r="A336" s="128" t="s">
        <v>94</v>
      </c>
      <c r="B336" s="128"/>
      <c r="C336" s="128"/>
      <c r="D336" s="128"/>
      <c r="E336" s="128"/>
      <c r="F336" s="128"/>
      <c r="G336" s="178">
        <v>12</v>
      </c>
      <c r="H336" s="178"/>
      <c r="I336" s="178"/>
      <c r="J336" s="178"/>
      <c r="U336" s="186" t="s">
        <v>97</v>
      </c>
      <c r="V336" s="186"/>
      <c r="W336" s="186"/>
    </row>
    <row r="337" spans="1:68" ht="20.100000000000001" customHeight="1" x14ac:dyDescent="0.25">
      <c r="A337" s="128" t="s">
        <v>54</v>
      </c>
      <c r="B337" s="128"/>
      <c r="C337" s="128"/>
      <c r="D337" s="128"/>
      <c r="E337" s="128"/>
      <c r="F337" s="128"/>
      <c r="G337" s="205">
        <v>0.8</v>
      </c>
      <c r="H337" s="205"/>
      <c r="I337" s="205"/>
      <c r="J337" s="205"/>
    </row>
    <row r="338" spans="1:68" ht="20.100000000000001" customHeight="1" x14ac:dyDescent="0.25">
      <c r="A338" s="128" t="s">
        <v>384</v>
      </c>
      <c r="B338" s="128"/>
      <c r="C338" s="128"/>
      <c r="D338" s="128"/>
      <c r="E338" s="128"/>
      <c r="F338" s="128"/>
      <c r="G338" s="187">
        <f>_xlfn.T.INV.2T(1-G337,G336-1)</f>
        <v>1.3634303180205409</v>
      </c>
      <c r="H338" s="187"/>
      <c r="I338" s="187"/>
      <c r="J338" s="187"/>
    </row>
    <row r="339" spans="1:68" ht="20.100000000000001" customHeight="1" x14ac:dyDescent="0.25">
      <c r="A339" s="138"/>
      <c r="B339" s="138"/>
      <c r="C339" s="138"/>
      <c r="D339" s="138"/>
      <c r="E339" s="138"/>
      <c r="F339" s="138"/>
      <c r="G339" s="188"/>
      <c r="H339" s="188"/>
      <c r="I339" s="188"/>
      <c r="J339" s="188"/>
    </row>
    <row r="340" spans="1:68" ht="20.100000000000001" customHeight="1" x14ac:dyDescent="0.25">
      <c r="A340" s="138"/>
      <c r="B340" s="138"/>
      <c r="C340" s="138"/>
      <c r="D340" s="138"/>
      <c r="E340" s="138"/>
      <c r="F340" s="138"/>
      <c r="G340" s="188"/>
      <c r="H340" s="188"/>
      <c r="I340" s="188"/>
      <c r="J340" s="188"/>
    </row>
    <row r="341" spans="1:68" ht="20.100000000000001" customHeight="1" x14ac:dyDescent="0.25">
      <c r="A341" s="125" t="s">
        <v>396</v>
      </c>
      <c r="B341" s="125"/>
      <c r="C341" s="125"/>
      <c r="D341" s="125"/>
      <c r="E341" s="125"/>
      <c r="F341" s="125"/>
      <c r="G341" s="125"/>
      <c r="H341" s="125"/>
      <c r="I341" s="125"/>
      <c r="J341" s="125"/>
      <c r="K341" s="125"/>
      <c r="L341" s="125"/>
      <c r="M341" s="125"/>
      <c r="N341" s="125"/>
      <c r="O341" s="125"/>
      <c r="P341" s="125"/>
      <c r="Q341" s="125"/>
      <c r="R341" s="125"/>
      <c r="S341" s="125"/>
      <c r="T341" s="125"/>
    </row>
    <row r="343" spans="1:68" ht="20.100000000000001" customHeight="1" x14ac:dyDescent="0.25">
      <c r="A343" s="127" t="s">
        <v>32</v>
      </c>
      <c r="B343" s="127"/>
      <c r="C343" s="127"/>
      <c r="D343" s="127"/>
      <c r="E343" s="127"/>
      <c r="F343" s="127"/>
      <c r="G343" s="163">
        <f>G334-(_xlfn.CONFIDENCE.T(1-G337,G335,G336))</f>
        <v>492.64071403737051</v>
      </c>
      <c r="H343" s="163"/>
      <c r="I343" s="163"/>
      <c r="J343" s="163"/>
      <c r="M343" s="127" t="s">
        <v>56</v>
      </c>
      <c r="N343" s="127"/>
      <c r="O343" s="127"/>
      <c r="P343" s="127"/>
      <c r="Q343" s="163">
        <f>G344-G343</f>
        <v>28.296077399267972</v>
      </c>
      <c r="R343" s="163"/>
      <c r="S343" s="163"/>
      <c r="T343" s="163"/>
    </row>
    <row r="344" spans="1:68" ht="20.100000000000001" customHeight="1" x14ac:dyDescent="0.25">
      <c r="A344" s="127" t="s">
        <v>33</v>
      </c>
      <c r="B344" s="127"/>
      <c r="C344" s="127"/>
      <c r="D344" s="127"/>
      <c r="E344" s="127"/>
      <c r="F344" s="127"/>
      <c r="G344" s="163">
        <f>G334+(_xlfn.CONFIDENCE.T(1-G337,G335,G336))</f>
        <v>520.93679143663849</v>
      </c>
      <c r="H344" s="163"/>
      <c r="I344" s="163"/>
      <c r="J344" s="163"/>
      <c r="M344" s="127" t="s">
        <v>24</v>
      </c>
      <c r="N344" s="127"/>
      <c r="O344" s="127"/>
      <c r="P344" s="127"/>
      <c r="Q344" s="163">
        <f>G334</f>
        <v>506.78875273700447</v>
      </c>
      <c r="R344" s="163"/>
      <c r="S344" s="163"/>
      <c r="T344" s="163"/>
    </row>
    <row r="345" spans="1:68" ht="20.100000000000001" customHeight="1" x14ac:dyDescent="0.25">
      <c r="M345" s="127" t="s">
        <v>57</v>
      </c>
      <c r="N345" s="127"/>
      <c r="O345" s="127"/>
      <c r="P345" s="127"/>
      <c r="Q345" s="206">
        <f>Q343/Q344</f>
        <v>5.5834067442203247E-2</v>
      </c>
      <c r="R345" s="206"/>
      <c r="S345" s="206"/>
      <c r="T345" s="206"/>
    </row>
    <row r="347" spans="1:68" ht="20.100000000000001" customHeight="1" x14ac:dyDescent="0.25">
      <c r="A347" s="182" t="str" cm="1">
        <f t="array" ref="A347">_xlfn.IFS(Q345&lt;=0.3,Y352,AND(Q345&gt;0.3,Q345&lt;=0.4),Y353,AND(Q345&gt;0.4,Q345&lt;=0.5),Y354,Q345&gt;0.5,Y355)</f>
        <v>O grau de precisão calculado foi inferior a 30% (trinta por cento); em razão disso, o laudo atingiu o grau de fundamentação III, máximo previsto na tabela 5 do item 9.2.3 da NBR 14653-2:2011 (Avaliação de bens. Parte 2: Imóveis urbanos).</v>
      </c>
      <c r="B347" s="182"/>
      <c r="C347" s="182"/>
      <c r="D347" s="182"/>
      <c r="E347" s="182"/>
      <c r="F347" s="182"/>
      <c r="G347" s="182"/>
      <c r="H347" s="182"/>
      <c r="I347" s="182"/>
      <c r="J347" s="182"/>
      <c r="K347" s="182"/>
      <c r="L347" s="182"/>
      <c r="M347" s="182"/>
      <c r="N347" s="182"/>
      <c r="O347" s="182"/>
      <c r="P347" s="182"/>
      <c r="Q347" s="182"/>
      <c r="R347" s="182"/>
      <c r="S347" s="182"/>
      <c r="T347" s="182"/>
    </row>
    <row r="348" spans="1:68" ht="20.100000000000001" customHeight="1" x14ac:dyDescent="0.25">
      <c r="A348" s="182"/>
      <c r="B348" s="182"/>
      <c r="C348" s="182"/>
      <c r="D348" s="182"/>
      <c r="E348" s="182"/>
      <c r="F348" s="182"/>
      <c r="G348" s="182"/>
      <c r="H348" s="182"/>
      <c r="I348" s="182"/>
      <c r="J348" s="182"/>
      <c r="K348" s="182"/>
      <c r="L348" s="182"/>
      <c r="M348" s="182"/>
      <c r="N348" s="182"/>
      <c r="O348" s="182"/>
      <c r="P348" s="182"/>
      <c r="Q348" s="182"/>
      <c r="R348" s="182"/>
      <c r="S348" s="182"/>
      <c r="T348" s="182"/>
    </row>
    <row r="349" spans="1:68" ht="20.100000000000001" customHeight="1" x14ac:dyDescent="0.25">
      <c r="A349" s="43"/>
      <c r="B349" s="43"/>
      <c r="C349" s="43"/>
      <c r="D349" s="43"/>
      <c r="E349" s="43"/>
      <c r="F349" s="43"/>
      <c r="G349" s="43"/>
      <c r="H349" s="43"/>
      <c r="I349" s="43"/>
      <c r="J349" s="43"/>
      <c r="K349" s="43"/>
      <c r="L349" s="43"/>
      <c r="M349" s="43"/>
      <c r="N349" s="43"/>
      <c r="O349" s="43"/>
      <c r="P349" s="43"/>
      <c r="Q349" s="43"/>
      <c r="R349" s="43"/>
      <c r="S349" s="43"/>
      <c r="T349" s="43"/>
    </row>
    <row r="350" spans="1:68" ht="20.100000000000001" customHeight="1" x14ac:dyDescent="0.25">
      <c r="A350" s="192" t="s">
        <v>385</v>
      </c>
      <c r="B350" s="192"/>
      <c r="C350" s="192"/>
      <c r="D350" s="192"/>
      <c r="E350" s="192"/>
      <c r="F350" s="192"/>
      <c r="G350" s="192"/>
      <c r="H350" s="192"/>
      <c r="I350" s="192"/>
      <c r="J350" s="192"/>
      <c r="K350" s="192"/>
      <c r="L350" s="192"/>
      <c r="M350" s="192"/>
      <c r="N350" s="192"/>
      <c r="O350" s="192"/>
      <c r="P350" s="192"/>
      <c r="Q350" s="192"/>
      <c r="R350" s="192"/>
      <c r="S350" s="192"/>
      <c r="T350" s="192"/>
    </row>
    <row r="351" spans="1:68" ht="20.100000000000001" customHeight="1" x14ac:dyDescent="0.25">
      <c r="A351" s="192"/>
      <c r="B351" s="192"/>
      <c r="C351" s="192"/>
      <c r="D351" s="192"/>
      <c r="E351" s="192"/>
      <c r="F351" s="192"/>
      <c r="G351" s="192"/>
      <c r="H351" s="192"/>
      <c r="I351" s="192"/>
      <c r="J351" s="192"/>
      <c r="K351" s="192"/>
      <c r="L351" s="192"/>
      <c r="M351" s="192"/>
      <c r="N351" s="192"/>
      <c r="O351" s="192"/>
      <c r="P351" s="192"/>
      <c r="Q351" s="192"/>
      <c r="R351" s="192"/>
      <c r="S351" s="192"/>
      <c r="T351" s="192"/>
    </row>
    <row r="352" spans="1:68" ht="20.100000000000001" customHeight="1" x14ac:dyDescent="0.25">
      <c r="A352" s="191" t="s">
        <v>75</v>
      </c>
      <c r="B352" s="191"/>
      <c r="C352" s="191"/>
      <c r="D352" s="191"/>
      <c r="E352" s="191"/>
      <c r="F352" s="191"/>
      <c r="G352" s="191"/>
      <c r="H352" s="191"/>
      <c r="I352" s="191"/>
      <c r="J352" s="191"/>
      <c r="K352" s="191"/>
      <c r="L352" s="191"/>
      <c r="M352" s="191"/>
      <c r="N352" s="191"/>
      <c r="O352" s="191"/>
      <c r="P352" s="191"/>
      <c r="Q352" s="191"/>
      <c r="R352" s="191"/>
      <c r="S352" s="191"/>
      <c r="T352" s="191"/>
      <c r="Y352" s="184" t="s">
        <v>85</v>
      </c>
      <c r="Z352" s="184"/>
      <c r="AA352" s="184"/>
      <c r="AB352" s="184"/>
      <c r="AC352" s="184"/>
      <c r="AD352" s="184"/>
      <c r="AE352" s="184"/>
      <c r="AF352" s="184"/>
      <c r="AG352" s="184"/>
      <c r="AH352" s="184"/>
      <c r="AI352" s="184"/>
      <c r="AJ352" s="184"/>
      <c r="AK352" s="184"/>
      <c r="AL352" s="184"/>
      <c r="AM352" s="184"/>
      <c r="AN352" s="184"/>
      <c r="AO352" s="184"/>
      <c r="AP352" s="184"/>
      <c r="AQ352" s="184"/>
      <c r="AR352" s="184"/>
      <c r="AS352" s="184"/>
      <c r="AT352" s="184"/>
      <c r="AU352" s="184"/>
      <c r="AV352" s="184"/>
      <c r="AW352" s="184"/>
      <c r="AX352" s="184"/>
      <c r="AY352" s="184"/>
      <c r="AZ352" s="184"/>
      <c r="BA352" s="184"/>
      <c r="BB352" s="184"/>
      <c r="BC352" s="184"/>
      <c r="BD352" s="184"/>
      <c r="BE352" s="184"/>
      <c r="BF352" s="184"/>
      <c r="BG352" s="184"/>
      <c r="BH352" s="184"/>
      <c r="BI352" s="184"/>
      <c r="BJ352" s="184"/>
      <c r="BK352" s="184"/>
      <c r="BL352" s="184"/>
      <c r="BM352" s="184"/>
      <c r="BN352" s="184"/>
      <c r="BO352" s="184"/>
      <c r="BP352" s="184"/>
    </row>
    <row r="353" spans="1:68" ht="20.100000000000001" customHeight="1" x14ac:dyDescent="0.25">
      <c r="A353" s="191"/>
      <c r="B353" s="191"/>
      <c r="C353" s="191"/>
      <c r="D353" s="191"/>
      <c r="E353" s="191"/>
      <c r="F353" s="191"/>
      <c r="G353" s="191"/>
      <c r="H353" s="191"/>
      <c r="I353" s="191"/>
      <c r="J353" s="191"/>
      <c r="K353" s="191"/>
      <c r="L353" s="191"/>
      <c r="M353" s="191"/>
      <c r="N353" s="191"/>
      <c r="O353" s="191"/>
      <c r="P353" s="191"/>
      <c r="Q353" s="191"/>
      <c r="R353" s="191"/>
      <c r="S353" s="191"/>
      <c r="T353" s="191"/>
      <c r="Y353" s="184" t="s">
        <v>86</v>
      </c>
      <c r="Z353" s="184"/>
      <c r="AA353" s="184"/>
      <c r="AB353" s="184"/>
      <c r="AC353" s="184"/>
      <c r="AD353" s="184"/>
      <c r="AE353" s="184"/>
      <c r="AF353" s="184"/>
      <c r="AG353" s="184"/>
      <c r="AH353" s="184"/>
      <c r="AI353" s="184"/>
      <c r="AJ353" s="184"/>
      <c r="AK353" s="184"/>
      <c r="AL353" s="184"/>
      <c r="AM353" s="184"/>
      <c r="AN353" s="184"/>
      <c r="AO353" s="184"/>
      <c r="AP353" s="184"/>
      <c r="AQ353" s="184"/>
      <c r="AR353" s="184"/>
      <c r="AS353" s="184"/>
      <c r="AT353" s="184"/>
      <c r="AU353" s="184"/>
      <c r="AV353" s="184"/>
      <c r="AW353" s="184"/>
      <c r="AX353" s="184"/>
      <c r="AY353" s="184"/>
      <c r="AZ353" s="184"/>
      <c r="BA353" s="184"/>
      <c r="BB353" s="184"/>
      <c r="BC353" s="184"/>
      <c r="BD353" s="184"/>
      <c r="BE353" s="184"/>
      <c r="BF353" s="184"/>
      <c r="BG353" s="184"/>
      <c r="BH353" s="184"/>
      <c r="BI353" s="184"/>
      <c r="BJ353" s="184"/>
      <c r="BK353" s="184"/>
      <c r="BL353" s="184"/>
      <c r="BM353" s="184"/>
      <c r="BN353" s="184"/>
      <c r="BO353" s="184"/>
      <c r="BP353" s="184"/>
    </row>
    <row r="354" spans="1:68" ht="20.100000000000001" customHeight="1" x14ac:dyDescent="0.25">
      <c r="A354" s="170" t="s">
        <v>72</v>
      </c>
      <c r="B354" s="170"/>
      <c r="C354" s="170"/>
      <c r="D354" s="170"/>
      <c r="E354" s="170"/>
      <c r="F354" s="170"/>
      <c r="G354" s="170"/>
      <c r="H354" s="170"/>
      <c r="I354" s="170" t="s">
        <v>73</v>
      </c>
      <c r="J354" s="170"/>
      <c r="K354" s="170"/>
      <c r="L354" s="170"/>
      <c r="M354" s="170"/>
      <c r="N354" s="170"/>
      <c r="O354" s="170"/>
      <c r="P354" s="170"/>
      <c r="Q354" s="170"/>
      <c r="R354" s="170"/>
      <c r="S354" s="170"/>
      <c r="T354" s="170"/>
      <c r="Y354" s="184" t="s">
        <v>87</v>
      </c>
      <c r="Z354" s="184"/>
      <c r="AA354" s="184"/>
      <c r="AB354" s="184"/>
      <c r="AC354" s="184"/>
      <c r="AD354" s="184"/>
      <c r="AE354" s="184"/>
      <c r="AF354" s="184"/>
      <c r="AG354" s="184"/>
      <c r="AH354" s="184"/>
      <c r="AI354" s="184"/>
      <c r="AJ354" s="184"/>
      <c r="AK354" s="184"/>
      <c r="AL354" s="184"/>
      <c r="AM354" s="184"/>
      <c r="AN354" s="184"/>
      <c r="AO354" s="184"/>
      <c r="AP354" s="184"/>
      <c r="AQ354" s="184"/>
      <c r="AR354" s="184"/>
      <c r="AS354" s="184"/>
      <c r="AT354" s="184"/>
      <c r="AU354" s="184"/>
      <c r="AV354" s="184"/>
      <c r="AW354" s="184"/>
      <c r="AX354" s="184"/>
      <c r="AY354" s="184"/>
      <c r="AZ354" s="184"/>
      <c r="BA354" s="184"/>
      <c r="BB354" s="184"/>
      <c r="BC354" s="184"/>
      <c r="BD354" s="184"/>
      <c r="BE354" s="184"/>
      <c r="BF354" s="184"/>
      <c r="BG354" s="184"/>
      <c r="BH354" s="184"/>
      <c r="BI354" s="184"/>
      <c r="BJ354" s="184"/>
      <c r="BK354" s="184"/>
      <c r="BL354" s="184"/>
      <c r="BM354" s="184"/>
      <c r="BN354" s="184"/>
      <c r="BO354" s="184"/>
      <c r="BP354" s="184"/>
    </row>
    <row r="355" spans="1:68" ht="20.100000000000001" customHeight="1" x14ac:dyDescent="0.25">
      <c r="A355" s="170"/>
      <c r="B355" s="170"/>
      <c r="C355" s="170"/>
      <c r="D355" s="170"/>
      <c r="E355" s="170"/>
      <c r="F355" s="170"/>
      <c r="G355" s="170"/>
      <c r="H355" s="170"/>
      <c r="I355" s="170" t="s">
        <v>76</v>
      </c>
      <c r="J355" s="170"/>
      <c r="K355" s="170"/>
      <c r="L355" s="170"/>
      <c r="M355" s="170" t="s">
        <v>77</v>
      </c>
      <c r="N355" s="170"/>
      <c r="O355" s="170"/>
      <c r="P355" s="170"/>
      <c r="Q355" s="170" t="s">
        <v>67</v>
      </c>
      <c r="R355" s="170"/>
      <c r="S355" s="170"/>
      <c r="T355" s="170"/>
      <c r="Y355" s="184" t="s">
        <v>98</v>
      </c>
      <c r="Z355" s="184"/>
      <c r="AA355" s="184"/>
      <c r="AB355" s="184"/>
      <c r="AC355" s="184"/>
      <c r="AD355" s="184"/>
      <c r="AE355" s="184"/>
      <c r="AF355" s="184"/>
      <c r="AG355" s="184"/>
      <c r="AH355" s="184"/>
      <c r="AI355" s="184"/>
      <c r="AJ355" s="184"/>
      <c r="AK355" s="184"/>
      <c r="AL355" s="184"/>
      <c r="AM355" s="184"/>
      <c r="AN355" s="184"/>
      <c r="AO355" s="184"/>
      <c r="AP355" s="184"/>
      <c r="AQ355" s="184"/>
      <c r="AR355" s="184"/>
      <c r="AS355" s="184"/>
      <c r="AT355" s="184"/>
      <c r="AU355" s="184"/>
      <c r="AV355" s="184"/>
      <c r="AW355" s="184"/>
      <c r="AX355" s="184"/>
      <c r="AY355" s="184"/>
      <c r="AZ355" s="184"/>
      <c r="BA355" s="184"/>
      <c r="BB355" s="184"/>
      <c r="BC355" s="184"/>
      <c r="BD355" s="184"/>
      <c r="BE355" s="184"/>
      <c r="BF355" s="184"/>
      <c r="BG355" s="184"/>
      <c r="BH355" s="184"/>
      <c r="BI355" s="184"/>
      <c r="BJ355" s="184"/>
      <c r="BK355" s="184"/>
      <c r="BL355" s="184"/>
      <c r="BM355" s="184"/>
      <c r="BN355" s="184"/>
      <c r="BO355" s="184"/>
      <c r="BP355" s="184"/>
    </row>
    <row r="356" spans="1:68" ht="20.100000000000001" customHeight="1" x14ac:dyDescent="0.25">
      <c r="A356" s="180" t="s">
        <v>74</v>
      </c>
      <c r="B356" s="180"/>
      <c r="C356" s="180"/>
      <c r="D356" s="180"/>
      <c r="E356" s="180"/>
      <c r="F356" s="180"/>
      <c r="G356" s="180"/>
      <c r="H356" s="180"/>
      <c r="I356" s="185" t="s">
        <v>82</v>
      </c>
      <c r="J356" s="185"/>
      <c r="K356" s="185"/>
      <c r="L356" s="185"/>
      <c r="M356" s="185" t="s">
        <v>83</v>
      </c>
      <c r="N356" s="185"/>
      <c r="O356" s="185"/>
      <c r="P356" s="185"/>
      <c r="Q356" s="185" t="s">
        <v>84</v>
      </c>
      <c r="R356" s="185"/>
      <c r="S356" s="185"/>
      <c r="T356" s="185"/>
    </row>
    <row r="357" spans="1:68" ht="20.100000000000001" customHeight="1" x14ac:dyDescent="0.25">
      <c r="A357" s="180"/>
      <c r="B357" s="180"/>
      <c r="C357" s="180"/>
      <c r="D357" s="180"/>
      <c r="E357" s="180"/>
      <c r="F357" s="180"/>
      <c r="G357" s="180"/>
      <c r="H357" s="180"/>
      <c r="I357" s="185"/>
      <c r="J357" s="185"/>
      <c r="K357" s="185"/>
      <c r="L357" s="185"/>
      <c r="M357" s="185"/>
      <c r="N357" s="185"/>
      <c r="O357" s="185"/>
      <c r="P357" s="185"/>
      <c r="Q357" s="185"/>
      <c r="R357" s="185"/>
      <c r="S357" s="185"/>
      <c r="T357" s="185"/>
    </row>
    <row r="360" spans="1:68" ht="20.100000000000001" customHeight="1" x14ac:dyDescent="0.25">
      <c r="A360" s="125" t="s">
        <v>397</v>
      </c>
      <c r="B360" s="125"/>
      <c r="C360" s="125"/>
      <c r="D360" s="125"/>
      <c r="E360" s="125"/>
      <c r="F360" s="125"/>
      <c r="G360" s="125"/>
      <c r="H360" s="125"/>
      <c r="I360" s="125"/>
      <c r="J360" s="125"/>
      <c r="K360" s="125"/>
      <c r="L360" s="125"/>
      <c r="M360" s="125"/>
      <c r="N360" s="125"/>
      <c r="O360" s="125"/>
      <c r="P360" s="125"/>
      <c r="Q360" s="125"/>
      <c r="R360" s="125"/>
      <c r="S360" s="125"/>
      <c r="T360" s="125"/>
    </row>
    <row r="361" spans="1:68" ht="20.100000000000001" customHeight="1" x14ac:dyDescent="0.25">
      <c r="X361" s="62"/>
    </row>
    <row r="362" spans="1:68" ht="20.100000000000001" customHeight="1" x14ac:dyDescent="0.25">
      <c r="A362" s="127" t="s">
        <v>58</v>
      </c>
      <c r="B362" s="127"/>
      <c r="C362" s="127"/>
      <c r="D362" s="127"/>
      <c r="E362" s="127"/>
      <c r="F362" s="127"/>
      <c r="G362" s="127"/>
      <c r="H362" s="127"/>
      <c r="I362" s="127"/>
      <c r="J362" s="127"/>
      <c r="K362" s="127"/>
      <c r="L362" s="127"/>
      <c r="M362" s="127"/>
      <c r="N362" s="127"/>
      <c r="O362" s="163">
        <v>320</v>
      </c>
      <c r="P362" s="163"/>
      <c r="Q362" s="163"/>
      <c r="R362" s="163"/>
      <c r="S362" s="163"/>
      <c r="T362" s="163"/>
      <c r="X362" s="62"/>
    </row>
    <row r="363" spans="1:68" ht="20.100000000000001" customHeight="1" x14ac:dyDescent="0.25">
      <c r="A363" s="127" t="s">
        <v>59</v>
      </c>
      <c r="B363" s="127"/>
      <c r="C363" s="127"/>
      <c r="D363" s="127"/>
      <c r="E363" s="127"/>
      <c r="F363" s="127"/>
      <c r="G363" s="127"/>
      <c r="H363" s="127"/>
      <c r="I363" s="127"/>
      <c r="J363" s="127"/>
      <c r="K363" s="127"/>
      <c r="L363" s="127"/>
      <c r="M363" s="127"/>
      <c r="N363" s="127"/>
      <c r="O363" s="163">
        <f>G334</f>
        <v>506.78875273700447</v>
      </c>
      <c r="P363" s="163"/>
      <c r="Q363" s="163"/>
      <c r="R363" s="163"/>
      <c r="S363" s="163"/>
      <c r="T363" s="163"/>
    </row>
    <row r="364" spans="1:68" ht="20.100000000000001" customHeight="1" x14ac:dyDescent="0.25">
      <c r="A364" s="127" t="s">
        <v>81</v>
      </c>
      <c r="B364" s="127"/>
      <c r="C364" s="127"/>
      <c r="D364" s="127"/>
      <c r="E364" s="127"/>
      <c r="F364" s="127"/>
      <c r="G364" s="127"/>
      <c r="H364" s="127"/>
      <c r="I364" s="127"/>
      <c r="J364" s="127"/>
      <c r="K364" s="127"/>
      <c r="L364" s="127"/>
      <c r="M364" s="127"/>
      <c r="N364" s="127"/>
      <c r="O364" s="163">
        <f>O362*O363</f>
        <v>162172.40087584144</v>
      </c>
      <c r="P364" s="163"/>
      <c r="Q364" s="163"/>
      <c r="R364" s="163"/>
      <c r="S364" s="163"/>
      <c r="T364" s="163"/>
      <c r="AC364" s="62"/>
    </row>
    <row r="365" spans="1:68" ht="20.100000000000001" customHeight="1" x14ac:dyDescent="0.25">
      <c r="AC365" s="62"/>
    </row>
    <row r="367" spans="1:68" ht="20.100000000000001" customHeight="1" x14ac:dyDescent="0.25">
      <c r="A367" s="125" t="s">
        <v>224</v>
      </c>
      <c r="B367" s="125"/>
      <c r="C367" s="125"/>
      <c r="D367" s="125"/>
      <c r="E367" s="125"/>
      <c r="F367" s="125"/>
      <c r="G367" s="125"/>
      <c r="H367" s="125"/>
      <c r="I367" s="125"/>
      <c r="J367" s="125"/>
      <c r="K367" s="125"/>
      <c r="L367" s="125"/>
      <c r="M367" s="125"/>
      <c r="N367" s="125"/>
      <c r="O367" s="125"/>
      <c r="P367" s="125"/>
      <c r="Q367" s="125"/>
      <c r="R367" s="125"/>
      <c r="S367" s="125"/>
      <c r="T367" s="125"/>
      <c r="X367" s="31"/>
      <c r="Y367" s="31"/>
      <c r="Z367" s="31"/>
      <c r="AA367" s="31"/>
      <c r="AB367" s="31"/>
      <c r="AC367" s="31"/>
      <c r="AD367" s="31"/>
      <c r="AE367" s="76"/>
      <c r="AF367" s="31"/>
      <c r="AG367" s="31"/>
      <c r="AH367" s="31"/>
      <c r="AJ367" s="23" t="s">
        <v>225</v>
      </c>
      <c r="AK367" s="24" t="s">
        <v>226</v>
      </c>
    </row>
    <row r="368" spans="1:68" ht="20.100000000000001" customHeight="1" x14ac:dyDescent="0.25">
      <c r="AJ368" s="23" t="s">
        <v>227</v>
      </c>
      <c r="AK368" s="24" t="s">
        <v>228</v>
      </c>
    </row>
    <row r="369" spans="1:37" ht="20.100000000000001" customHeight="1" x14ac:dyDescent="0.25">
      <c r="A369" s="182" t="s">
        <v>357</v>
      </c>
      <c r="B369" s="182"/>
      <c r="C369" s="182"/>
      <c r="D369" s="182"/>
      <c r="E369" s="182"/>
      <c r="F369" s="182"/>
      <c r="G369" s="182"/>
      <c r="H369" s="182"/>
      <c r="I369" s="182"/>
      <c r="J369" s="182"/>
      <c r="K369" s="182"/>
      <c r="L369" s="182"/>
      <c r="M369" s="182"/>
      <c r="N369" s="182"/>
      <c r="O369" s="182"/>
      <c r="P369" s="182"/>
      <c r="Q369" s="182"/>
      <c r="R369" s="182"/>
      <c r="S369" s="182"/>
      <c r="T369" s="182"/>
      <c r="AJ369" s="23" t="s">
        <v>229</v>
      </c>
      <c r="AK369" s="24" t="s">
        <v>230</v>
      </c>
    </row>
    <row r="370" spans="1:37" ht="20.100000000000001" customHeight="1" x14ac:dyDescent="0.25">
      <c r="A370" s="182"/>
      <c r="B370" s="182"/>
      <c r="C370" s="182"/>
      <c r="D370" s="182"/>
      <c r="E370" s="182"/>
      <c r="F370" s="182"/>
      <c r="G370" s="182"/>
      <c r="H370" s="182"/>
      <c r="I370" s="182"/>
      <c r="J370" s="182"/>
      <c r="K370" s="182"/>
      <c r="L370" s="182"/>
      <c r="M370" s="182"/>
      <c r="N370" s="182"/>
      <c r="O370" s="182"/>
      <c r="P370" s="182"/>
      <c r="Q370" s="182"/>
      <c r="R370" s="182"/>
      <c r="S370" s="182"/>
      <c r="T370" s="182"/>
      <c r="AJ370" s="23" t="s">
        <v>231</v>
      </c>
    </row>
    <row r="371" spans="1:37" ht="20.100000000000001" customHeight="1" x14ac:dyDescent="0.25">
      <c r="A371" s="182"/>
      <c r="B371" s="182"/>
      <c r="C371" s="182"/>
      <c r="D371" s="182"/>
      <c r="E371" s="182"/>
      <c r="F371" s="182"/>
      <c r="G371" s="182"/>
      <c r="H371" s="182"/>
      <c r="I371" s="182"/>
      <c r="J371" s="182"/>
      <c r="K371" s="182"/>
      <c r="L371" s="182"/>
      <c r="M371" s="182"/>
      <c r="N371" s="182"/>
      <c r="O371" s="182"/>
      <c r="P371" s="182"/>
      <c r="Q371" s="182"/>
      <c r="R371" s="182"/>
      <c r="S371" s="182"/>
      <c r="T371" s="182"/>
      <c r="AJ371" s="23" t="s">
        <v>232</v>
      </c>
      <c r="AK371" s="24" t="s">
        <v>233</v>
      </c>
    </row>
    <row r="372" spans="1:37" ht="20.100000000000001" customHeight="1" x14ac:dyDescent="0.25">
      <c r="A372" s="182"/>
      <c r="B372" s="182"/>
      <c r="C372" s="182"/>
      <c r="D372" s="182"/>
      <c r="E372" s="182"/>
      <c r="F372" s="182"/>
      <c r="G372" s="182"/>
      <c r="H372" s="182"/>
      <c r="I372" s="182"/>
      <c r="J372" s="182"/>
      <c r="K372" s="182"/>
      <c r="L372" s="182"/>
      <c r="M372" s="182"/>
      <c r="N372" s="182"/>
      <c r="O372" s="182"/>
      <c r="P372" s="182"/>
      <c r="Q372" s="182"/>
      <c r="R372" s="182"/>
      <c r="S372" s="182"/>
      <c r="T372" s="182"/>
      <c r="AJ372" s="23" t="s">
        <v>407</v>
      </c>
      <c r="AK372" s="24" t="s">
        <v>235</v>
      </c>
    </row>
    <row r="373" spans="1:37" ht="20.100000000000001" customHeight="1" x14ac:dyDescent="0.25">
      <c r="AJ373" s="23" t="s">
        <v>234</v>
      </c>
      <c r="AK373" s="24" t="s">
        <v>237</v>
      </c>
    </row>
    <row r="374" spans="1:37" ht="20.100000000000001" customHeight="1" x14ac:dyDescent="0.25">
      <c r="A374" s="127" t="s">
        <v>238</v>
      </c>
      <c r="B374" s="127"/>
      <c r="C374" s="127"/>
      <c r="D374" s="127"/>
      <c r="E374" s="127"/>
      <c r="F374" s="174" t="s">
        <v>233</v>
      </c>
      <c r="G374" s="174"/>
      <c r="H374" s="174"/>
      <c r="I374" s="174"/>
      <c r="J374" s="174"/>
      <c r="K374" s="174"/>
      <c r="L374" s="127" t="s">
        <v>239</v>
      </c>
      <c r="M374" s="127"/>
      <c r="N374" s="127"/>
      <c r="O374" s="127"/>
      <c r="P374" s="127"/>
      <c r="Q374" s="175" t="s">
        <v>228</v>
      </c>
      <c r="R374" s="175"/>
      <c r="S374" s="175"/>
      <c r="T374" s="175"/>
      <c r="AJ374" s="23" t="s">
        <v>236</v>
      </c>
      <c r="AK374" s="24" t="s">
        <v>52</v>
      </c>
    </row>
    <row r="375" spans="1:37" ht="20.100000000000001" customHeight="1" x14ac:dyDescent="0.25">
      <c r="A375" s="128" t="s">
        <v>241</v>
      </c>
      <c r="B375" s="128"/>
      <c r="C375" s="128"/>
      <c r="D375" s="128"/>
      <c r="E375" s="128"/>
      <c r="F375" s="172" t="s">
        <v>225</v>
      </c>
      <c r="G375" s="172"/>
      <c r="H375" s="172"/>
      <c r="I375" s="172"/>
      <c r="J375" s="172"/>
      <c r="K375" s="172"/>
      <c r="L375" s="128" t="s">
        <v>242</v>
      </c>
      <c r="M375" s="128"/>
      <c r="N375" s="128"/>
      <c r="O375" s="128"/>
      <c r="P375" s="128"/>
      <c r="Q375" s="91" t="s">
        <v>243</v>
      </c>
      <c r="R375" s="91"/>
      <c r="S375" s="91"/>
      <c r="T375" s="91"/>
      <c r="AJ375" s="23" t="s">
        <v>240</v>
      </c>
    </row>
    <row r="376" spans="1:37" ht="20.100000000000001" customHeight="1" x14ac:dyDescent="0.25">
      <c r="A376" s="128" t="s">
        <v>247</v>
      </c>
      <c r="B376" s="128"/>
      <c r="C376" s="128"/>
      <c r="D376" s="128"/>
      <c r="E376" s="128"/>
      <c r="F376" s="128"/>
      <c r="G376" s="128"/>
      <c r="H376" s="128"/>
      <c r="I376" s="128"/>
      <c r="J376" s="128"/>
      <c r="K376" s="128"/>
      <c r="L376" s="128"/>
      <c r="M376" s="128"/>
      <c r="N376" s="128"/>
      <c r="O376" s="128"/>
      <c r="P376" s="128"/>
      <c r="Q376" s="164">
        <v>1997.51</v>
      </c>
      <c r="R376" s="164"/>
      <c r="S376" s="164"/>
      <c r="T376" s="164"/>
      <c r="AJ376" s="23" t="s">
        <v>244</v>
      </c>
    </row>
    <row r="378" spans="1:37" ht="20.100000000000001" customHeight="1" x14ac:dyDescent="0.25">
      <c r="A378" s="131" t="s">
        <v>245</v>
      </c>
      <c r="B378" s="131"/>
      <c r="C378" s="131"/>
      <c r="D378" s="131"/>
      <c r="E378" s="131"/>
      <c r="F378" s="131"/>
      <c r="G378" s="131"/>
      <c r="H378" s="131"/>
      <c r="I378" s="131"/>
      <c r="J378" s="131"/>
      <c r="K378" s="131"/>
      <c r="L378" s="131"/>
      <c r="M378" s="131"/>
      <c r="N378" s="131"/>
      <c r="O378" s="131"/>
      <c r="P378" s="131"/>
      <c r="Q378" s="131"/>
      <c r="R378" s="131"/>
      <c r="S378" s="131"/>
      <c r="T378" s="131"/>
    </row>
    <row r="379" spans="1:37" ht="20.100000000000001" customHeight="1" x14ac:dyDescent="0.25">
      <c r="A379" s="131" t="s">
        <v>246</v>
      </c>
      <c r="B379" s="131"/>
      <c r="C379" s="131"/>
      <c r="D379" s="131"/>
      <c r="E379" s="131"/>
      <c r="F379" s="131"/>
      <c r="G379" s="131"/>
      <c r="H379" s="131"/>
      <c r="I379" s="131"/>
      <c r="J379" s="131"/>
      <c r="K379" s="131"/>
      <c r="L379" s="131"/>
      <c r="M379" s="131"/>
      <c r="N379" s="131"/>
      <c r="O379" s="131"/>
      <c r="P379" s="131"/>
      <c r="Q379" s="131"/>
      <c r="R379" s="131"/>
      <c r="S379" s="131"/>
      <c r="T379" s="131"/>
    </row>
    <row r="380" spans="1:37" ht="20.100000000000001" customHeight="1" x14ac:dyDescent="0.25">
      <c r="A380" s="131"/>
      <c r="B380" s="131"/>
      <c r="C380" s="131"/>
      <c r="D380" s="131"/>
      <c r="E380" s="131"/>
      <c r="F380" s="131"/>
      <c r="G380" s="131"/>
      <c r="H380" s="131"/>
      <c r="I380" s="131"/>
      <c r="J380" s="131"/>
      <c r="K380" s="131"/>
      <c r="L380" s="131"/>
      <c r="M380" s="131"/>
      <c r="N380" s="131"/>
      <c r="O380" s="131"/>
      <c r="P380" s="131"/>
      <c r="Q380" s="131"/>
      <c r="R380" s="131"/>
      <c r="S380" s="131"/>
      <c r="T380" s="131"/>
    </row>
    <row r="381" spans="1:37" ht="20.100000000000001" customHeight="1" x14ac:dyDescent="0.25">
      <c r="A381" s="131"/>
      <c r="B381" s="131"/>
      <c r="C381" s="131"/>
      <c r="D381" s="131"/>
      <c r="E381" s="131"/>
      <c r="F381" s="131"/>
      <c r="G381" s="131"/>
      <c r="H381" s="131"/>
      <c r="I381" s="131"/>
      <c r="J381" s="131"/>
      <c r="K381" s="131"/>
      <c r="L381" s="131"/>
      <c r="M381" s="131"/>
      <c r="N381" s="131"/>
      <c r="O381" s="131"/>
      <c r="P381" s="131"/>
      <c r="Q381" s="131"/>
      <c r="R381" s="131"/>
      <c r="S381" s="131"/>
      <c r="T381" s="131"/>
    </row>
    <row r="382" spans="1:37" ht="20.100000000000001" customHeight="1" x14ac:dyDescent="0.25">
      <c r="A382" s="131"/>
      <c r="B382" s="131"/>
      <c r="C382" s="131"/>
      <c r="D382" s="131"/>
      <c r="E382" s="131"/>
      <c r="F382" s="131"/>
      <c r="G382" s="131"/>
      <c r="H382" s="131"/>
      <c r="I382" s="131"/>
      <c r="J382" s="131"/>
      <c r="K382" s="131"/>
      <c r="L382" s="131"/>
      <c r="M382" s="131"/>
      <c r="N382" s="131"/>
      <c r="O382" s="131"/>
      <c r="P382" s="131"/>
      <c r="Q382" s="131"/>
      <c r="R382" s="131"/>
      <c r="S382" s="131"/>
      <c r="T382" s="131"/>
    </row>
    <row r="383" spans="1:37" ht="20.100000000000001" customHeight="1" x14ac:dyDescent="0.25">
      <c r="A383" s="131"/>
      <c r="B383" s="131"/>
      <c r="C383" s="131"/>
      <c r="D383" s="131"/>
      <c r="E383" s="131"/>
      <c r="F383" s="131"/>
      <c r="G383" s="131"/>
      <c r="H383" s="131"/>
      <c r="I383" s="131"/>
      <c r="J383" s="131"/>
      <c r="K383" s="131"/>
      <c r="L383" s="131"/>
      <c r="M383" s="131"/>
      <c r="N383" s="131"/>
      <c r="O383" s="131"/>
      <c r="P383" s="131"/>
      <c r="Q383" s="131"/>
      <c r="R383" s="131"/>
      <c r="S383" s="131"/>
      <c r="T383" s="131"/>
    </row>
    <row r="384" spans="1:37" ht="20.100000000000001" customHeight="1" x14ac:dyDescent="0.25">
      <c r="A384" s="131"/>
      <c r="B384" s="131"/>
      <c r="C384" s="131"/>
      <c r="D384" s="131"/>
      <c r="E384" s="131"/>
      <c r="F384" s="131"/>
      <c r="G384" s="131"/>
      <c r="H384" s="131"/>
      <c r="I384" s="131"/>
      <c r="J384" s="131"/>
      <c r="K384" s="131"/>
      <c r="L384" s="131"/>
      <c r="M384" s="131"/>
      <c r="N384" s="131"/>
      <c r="O384" s="131"/>
      <c r="P384" s="131"/>
      <c r="Q384" s="131"/>
      <c r="R384" s="131"/>
      <c r="S384" s="131"/>
      <c r="T384" s="131"/>
    </row>
    <row r="385" spans="1:20" ht="20.100000000000001" customHeight="1" x14ac:dyDescent="0.25">
      <c r="A385" s="26"/>
      <c r="B385" s="26"/>
      <c r="C385" s="26"/>
      <c r="D385" s="26"/>
      <c r="E385" s="26"/>
      <c r="F385" s="26"/>
      <c r="G385" s="26"/>
      <c r="H385" s="26"/>
      <c r="I385" s="26"/>
      <c r="J385" s="26"/>
      <c r="K385" s="26"/>
      <c r="L385" s="26"/>
      <c r="M385" s="26"/>
      <c r="N385" s="26"/>
      <c r="O385" s="26"/>
      <c r="P385" s="26"/>
      <c r="Q385" s="26"/>
      <c r="R385" s="26"/>
    </row>
    <row r="386" spans="1:20" ht="39.950000000000003" customHeight="1" x14ac:dyDescent="0.25">
      <c r="A386" s="27" t="s">
        <v>5</v>
      </c>
      <c r="B386" s="133" t="s">
        <v>72</v>
      </c>
      <c r="C386" s="133"/>
      <c r="D386" s="133"/>
      <c r="E386" s="133"/>
      <c r="F386" s="133"/>
      <c r="G386" s="133"/>
      <c r="H386" s="133"/>
      <c r="I386" s="133"/>
      <c r="J386" s="133"/>
      <c r="K386" s="133"/>
      <c r="L386" s="133"/>
      <c r="M386" s="133" t="s">
        <v>272</v>
      </c>
      <c r="N386" s="133"/>
      <c r="O386" s="133" t="s">
        <v>273</v>
      </c>
      <c r="P386" s="133"/>
      <c r="Q386" s="133" t="s">
        <v>274</v>
      </c>
      <c r="R386" s="133"/>
      <c r="S386" s="133" t="s">
        <v>275</v>
      </c>
      <c r="T386" s="133"/>
    </row>
    <row r="387" spans="1:20" ht="20.100000000000001" customHeight="1" x14ac:dyDescent="0.25">
      <c r="A387" s="28" t="s">
        <v>276</v>
      </c>
      <c r="B387" s="134" t="s">
        <v>277</v>
      </c>
      <c r="C387" s="134"/>
      <c r="D387" s="134"/>
      <c r="E387" s="134"/>
      <c r="F387" s="134"/>
      <c r="G387" s="134"/>
      <c r="H387" s="134"/>
      <c r="I387" s="134"/>
      <c r="J387" s="134"/>
      <c r="K387" s="134"/>
      <c r="L387" s="134"/>
      <c r="M387" s="129">
        <v>0</v>
      </c>
      <c r="N387" s="129"/>
      <c r="O387" s="130">
        <f t="shared" ref="O387:O401" si="53">M387/$M$403</f>
        <v>0</v>
      </c>
      <c r="P387" s="130"/>
      <c r="Q387" s="84">
        <v>0.5</v>
      </c>
      <c r="R387" s="84"/>
      <c r="S387" s="84">
        <f t="shared" ref="S387:S396" si="54">M387*Q387</f>
        <v>0</v>
      </c>
      <c r="T387" s="84"/>
    </row>
    <row r="388" spans="1:20" ht="20.100000000000001" customHeight="1" x14ac:dyDescent="0.25">
      <c r="A388" s="29" t="s">
        <v>278</v>
      </c>
      <c r="B388" s="134" t="s">
        <v>279</v>
      </c>
      <c r="C388" s="134"/>
      <c r="D388" s="134"/>
      <c r="E388" s="134"/>
      <c r="F388" s="134"/>
      <c r="G388" s="134"/>
      <c r="H388" s="134"/>
      <c r="I388" s="134"/>
      <c r="J388" s="134"/>
      <c r="K388" s="134"/>
      <c r="L388" s="134"/>
      <c r="M388" s="129">
        <v>85</v>
      </c>
      <c r="N388" s="129"/>
      <c r="O388" s="130">
        <f t="shared" si="53"/>
        <v>0.32319391634980987</v>
      </c>
      <c r="P388" s="130"/>
      <c r="Q388" s="84">
        <v>1</v>
      </c>
      <c r="R388" s="84"/>
      <c r="S388" s="84">
        <f t="shared" si="54"/>
        <v>85</v>
      </c>
      <c r="T388" s="84"/>
    </row>
    <row r="389" spans="1:20" ht="20.100000000000001" customHeight="1" x14ac:dyDescent="0.25">
      <c r="A389" s="29" t="s">
        <v>280</v>
      </c>
      <c r="B389" s="134" t="s">
        <v>281</v>
      </c>
      <c r="C389" s="134"/>
      <c r="D389" s="134"/>
      <c r="E389" s="134"/>
      <c r="F389" s="134"/>
      <c r="G389" s="134"/>
      <c r="H389" s="134"/>
      <c r="I389" s="134"/>
      <c r="J389" s="134"/>
      <c r="K389" s="134"/>
      <c r="L389" s="134"/>
      <c r="M389" s="129">
        <v>12</v>
      </c>
      <c r="N389" s="129"/>
      <c r="O389" s="130">
        <f t="shared" si="53"/>
        <v>4.5627376425855515E-2</v>
      </c>
      <c r="P389" s="130"/>
      <c r="Q389" s="84">
        <v>1</v>
      </c>
      <c r="R389" s="84"/>
      <c r="S389" s="84">
        <f t="shared" si="54"/>
        <v>12</v>
      </c>
      <c r="T389" s="84"/>
    </row>
    <row r="390" spans="1:20" ht="20.100000000000001" customHeight="1" x14ac:dyDescent="0.25">
      <c r="A390" s="29" t="s">
        <v>282</v>
      </c>
      <c r="B390" s="134" t="s">
        <v>283</v>
      </c>
      <c r="C390" s="134"/>
      <c r="D390" s="134"/>
      <c r="E390" s="134"/>
      <c r="F390" s="134"/>
      <c r="G390" s="134"/>
      <c r="H390" s="134"/>
      <c r="I390" s="134"/>
      <c r="J390" s="134"/>
      <c r="K390" s="134"/>
      <c r="L390" s="134"/>
      <c r="M390" s="129">
        <v>0</v>
      </c>
      <c r="N390" s="129"/>
      <c r="O390" s="130">
        <f t="shared" si="53"/>
        <v>0</v>
      </c>
      <c r="P390" s="130"/>
      <c r="Q390" s="84">
        <v>0.75</v>
      </c>
      <c r="R390" s="84"/>
      <c r="S390" s="84">
        <f t="shared" si="54"/>
        <v>0</v>
      </c>
      <c r="T390" s="84"/>
    </row>
    <row r="391" spans="1:20" ht="20.100000000000001" customHeight="1" x14ac:dyDescent="0.25">
      <c r="A391" s="29" t="s">
        <v>284</v>
      </c>
      <c r="B391" s="134" t="s">
        <v>285</v>
      </c>
      <c r="C391" s="134"/>
      <c r="D391" s="134"/>
      <c r="E391" s="134"/>
      <c r="F391" s="134"/>
      <c r="G391" s="134"/>
      <c r="H391" s="134"/>
      <c r="I391" s="134"/>
      <c r="J391" s="134"/>
      <c r="K391" s="134"/>
      <c r="L391" s="134"/>
      <c r="M391" s="129">
        <v>0</v>
      </c>
      <c r="N391" s="129"/>
      <c r="O391" s="130">
        <f t="shared" si="53"/>
        <v>0</v>
      </c>
      <c r="P391" s="130"/>
      <c r="Q391" s="84">
        <v>0.4</v>
      </c>
      <c r="R391" s="84"/>
      <c r="S391" s="84">
        <f t="shared" si="54"/>
        <v>0</v>
      </c>
      <c r="T391" s="84"/>
    </row>
    <row r="392" spans="1:20" ht="20.100000000000001" customHeight="1" x14ac:dyDescent="0.25">
      <c r="A392" s="29" t="s">
        <v>286</v>
      </c>
      <c r="B392" s="134" t="s">
        <v>287</v>
      </c>
      <c r="C392" s="134"/>
      <c r="D392" s="134"/>
      <c r="E392" s="134"/>
      <c r="F392" s="134"/>
      <c r="G392" s="134"/>
      <c r="H392" s="134"/>
      <c r="I392" s="134"/>
      <c r="J392" s="134"/>
      <c r="K392" s="134"/>
      <c r="L392" s="134"/>
      <c r="M392" s="129">
        <v>16</v>
      </c>
      <c r="N392" s="129"/>
      <c r="O392" s="130">
        <f t="shared" si="53"/>
        <v>6.0836501901140684E-2</v>
      </c>
      <c r="P392" s="130"/>
      <c r="Q392" s="84">
        <v>0.75</v>
      </c>
      <c r="R392" s="84"/>
      <c r="S392" s="84">
        <f t="shared" si="54"/>
        <v>12</v>
      </c>
      <c r="T392" s="84"/>
    </row>
    <row r="393" spans="1:20" ht="20.100000000000001" customHeight="1" x14ac:dyDescent="0.25">
      <c r="A393" s="29" t="s">
        <v>288</v>
      </c>
      <c r="B393" s="134" t="s">
        <v>289</v>
      </c>
      <c r="C393" s="134"/>
      <c r="D393" s="134"/>
      <c r="E393" s="134"/>
      <c r="F393" s="134"/>
      <c r="G393" s="134"/>
      <c r="H393" s="134"/>
      <c r="I393" s="134"/>
      <c r="J393" s="134"/>
      <c r="K393" s="134"/>
      <c r="L393" s="134"/>
      <c r="M393" s="129">
        <v>0</v>
      </c>
      <c r="N393" s="129"/>
      <c r="O393" s="130">
        <f t="shared" si="53"/>
        <v>0</v>
      </c>
      <c r="P393" s="130"/>
      <c r="Q393" s="84">
        <v>0.3</v>
      </c>
      <c r="R393" s="84"/>
      <c r="S393" s="84">
        <f t="shared" si="54"/>
        <v>0</v>
      </c>
      <c r="T393" s="84"/>
    </row>
    <row r="394" spans="1:20" ht="20.100000000000001" customHeight="1" x14ac:dyDescent="0.25">
      <c r="A394" s="29" t="s">
        <v>290</v>
      </c>
      <c r="B394" s="134" t="s">
        <v>291</v>
      </c>
      <c r="C394" s="134"/>
      <c r="D394" s="134"/>
      <c r="E394" s="134"/>
      <c r="F394" s="134"/>
      <c r="G394" s="134"/>
      <c r="H394" s="134"/>
      <c r="I394" s="134"/>
      <c r="J394" s="134"/>
      <c r="K394" s="134"/>
      <c r="L394" s="134"/>
      <c r="M394" s="129">
        <v>0</v>
      </c>
      <c r="N394" s="129"/>
      <c r="O394" s="130">
        <f t="shared" si="53"/>
        <v>0</v>
      </c>
      <c r="P394" s="130"/>
      <c r="Q394" s="84">
        <v>0.05</v>
      </c>
      <c r="R394" s="84"/>
      <c r="S394" s="84">
        <f t="shared" si="54"/>
        <v>0</v>
      </c>
      <c r="T394" s="84"/>
    </row>
    <row r="395" spans="1:20" ht="20.100000000000001" customHeight="1" x14ac:dyDescent="0.25">
      <c r="A395" s="29" t="s">
        <v>292</v>
      </c>
      <c r="B395" s="134" t="s">
        <v>293</v>
      </c>
      <c r="C395" s="134"/>
      <c r="D395" s="134"/>
      <c r="E395" s="134"/>
      <c r="F395" s="134"/>
      <c r="G395" s="134"/>
      <c r="H395" s="134"/>
      <c r="I395" s="134"/>
      <c r="J395" s="134"/>
      <c r="K395" s="134"/>
      <c r="L395" s="134"/>
      <c r="M395" s="129">
        <v>120</v>
      </c>
      <c r="N395" s="129"/>
      <c r="O395" s="130">
        <f t="shared" si="53"/>
        <v>0.45627376425855515</v>
      </c>
      <c r="P395" s="130"/>
      <c r="Q395" s="84">
        <v>0</v>
      </c>
      <c r="R395" s="84"/>
      <c r="S395" s="84">
        <f t="shared" si="54"/>
        <v>0</v>
      </c>
      <c r="T395" s="84"/>
    </row>
    <row r="396" spans="1:20" ht="20.100000000000001" customHeight="1" x14ac:dyDescent="0.25">
      <c r="A396" s="63" t="s">
        <v>294</v>
      </c>
      <c r="B396" s="134" t="s">
        <v>295</v>
      </c>
      <c r="C396" s="134"/>
      <c r="D396" s="134"/>
      <c r="E396" s="134"/>
      <c r="F396" s="134"/>
      <c r="G396" s="134"/>
      <c r="H396" s="134"/>
      <c r="I396" s="134"/>
      <c r="J396" s="134"/>
      <c r="K396" s="134"/>
      <c r="L396" s="134"/>
      <c r="M396" s="165">
        <v>12</v>
      </c>
      <c r="N396" s="165"/>
      <c r="O396" s="166">
        <f t="shared" si="53"/>
        <v>4.5627376425855515E-2</v>
      </c>
      <c r="P396" s="166"/>
      <c r="Q396" s="167">
        <v>0.5</v>
      </c>
      <c r="R396" s="167"/>
      <c r="S396" s="168">
        <f t="shared" si="54"/>
        <v>6</v>
      </c>
      <c r="T396" s="168"/>
    </row>
    <row r="397" spans="1:20" ht="20.100000000000001" customHeight="1" x14ac:dyDescent="0.25">
      <c r="A397" s="29" t="s">
        <v>296</v>
      </c>
      <c r="B397" s="134" t="s">
        <v>297</v>
      </c>
      <c r="C397" s="134"/>
      <c r="D397" s="134"/>
      <c r="E397" s="134"/>
      <c r="F397" s="134"/>
      <c r="G397" s="134"/>
      <c r="H397" s="134"/>
      <c r="I397" s="134"/>
      <c r="J397" s="134"/>
      <c r="K397" s="134"/>
      <c r="L397" s="134"/>
      <c r="M397" s="129">
        <v>0</v>
      </c>
      <c r="N397" s="129"/>
      <c r="O397" s="166">
        <f t="shared" si="53"/>
        <v>0</v>
      </c>
      <c r="P397" s="166"/>
      <c r="Q397" s="84">
        <v>0.5</v>
      </c>
      <c r="R397" s="84"/>
      <c r="S397" s="84">
        <f>M397*Q397</f>
        <v>0</v>
      </c>
      <c r="T397" s="84"/>
    </row>
    <row r="398" spans="1:20" ht="20.100000000000001" customHeight="1" x14ac:dyDescent="0.25">
      <c r="A398" s="29" t="s">
        <v>298</v>
      </c>
      <c r="B398" s="134" t="s">
        <v>299</v>
      </c>
      <c r="C398" s="134"/>
      <c r="D398" s="134"/>
      <c r="E398" s="134"/>
      <c r="F398" s="134"/>
      <c r="G398" s="134"/>
      <c r="H398" s="134"/>
      <c r="I398" s="134"/>
      <c r="J398" s="134"/>
      <c r="K398" s="134"/>
      <c r="L398" s="134"/>
      <c r="M398" s="129">
        <v>0</v>
      </c>
      <c r="N398" s="129"/>
      <c r="O398" s="166">
        <f t="shared" si="53"/>
        <v>0</v>
      </c>
      <c r="P398" s="166"/>
      <c r="Q398" s="84">
        <v>0.5</v>
      </c>
      <c r="R398" s="84"/>
      <c r="S398" s="84">
        <f>M398*Q398</f>
        <v>0</v>
      </c>
      <c r="T398" s="84"/>
    </row>
    <row r="399" spans="1:20" ht="20.100000000000001" customHeight="1" x14ac:dyDescent="0.25">
      <c r="A399" s="29" t="s">
        <v>300</v>
      </c>
      <c r="B399" s="134" t="s">
        <v>301</v>
      </c>
      <c r="C399" s="134"/>
      <c r="D399" s="134"/>
      <c r="E399" s="134"/>
      <c r="F399" s="134"/>
      <c r="G399" s="134"/>
      <c r="H399" s="134"/>
      <c r="I399" s="134"/>
      <c r="J399" s="134"/>
      <c r="K399" s="134"/>
      <c r="L399" s="134"/>
      <c r="M399" s="129">
        <v>0</v>
      </c>
      <c r="N399" s="129"/>
      <c r="O399" s="166">
        <f t="shared" si="53"/>
        <v>0</v>
      </c>
      <c r="P399" s="166"/>
      <c r="Q399" s="84">
        <v>0.5</v>
      </c>
      <c r="R399" s="84"/>
      <c r="S399" s="84">
        <f>M399*Q399</f>
        <v>0</v>
      </c>
      <c r="T399" s="84"/>
    </row>
    <row r="400" spans="1:20" ht="20.100000000000001" customHeight="1" x14ac:dyDescent="0.25">
      <c r="A400" s="29" t="s">
        <v>302</v>
      </c>
      <c r="B400" s="134" t="s">
        <v>303</v>
      </c>
      <c r="C400" s="134"/>
      <c r="D400" s="134"/>
      <c r="E400" s="134"/>
      <c r="F400" s="134"/>
      <c r="G400" s="134"/>
      <c r="H400" s="134"/>
      <c r="I400" s="134"/>
      <c r="J400" s="134"/>
      <c r="K400" s="134"/>
      <c r="L400" s="134"/>
      <c r="M400" s="129">
        <v>0</v>
      </c>
      <c r="N400" s="129"/>
      <c r="O400" s="166">
        <f t="shared" si="53"/>
        <v>0</v>
      </c>
      <c r="P400" s="166"/>
      <c r="Q400" s="84">
        <v>0.5</v>
      </c>
      <c r="R400" s="84"/>
      <c r="S400" s="84">
        <f>M400*Q400</f>
        <v>0</v>
      </c>
      <c r="T400" s="84"/>
    </row>
    <row r="401" spans="1:36" ht="20.100000000000001" customHeight="1" x14ac:dyDescent="0.25">
      <c r="A401" s="29" t="s">
        <v>304</v>
      </c>
      <c r="B401" s="134" t="s">
        <v>305</v>
      </c>
      <c r="C401" s="134"/>
      <c r="D401" s="134"/>
      <c r="E401" s="134"/>
      <c r="F401" s="134"/>
      <c r="G401" s="134"/>
      <c r="H401" s="134"/>
      <c r="I401" s="134"/>
      <c r="J401" s="134"/>
      <c r="K401" s="134"/>
      <c r="L401" s="134"/>
      <c r="M401" s="129">
        <v>18</v>
      </c>
      <c r="N401" s="129"/>
      <c r="O401" s="130">
        <f t="shared" si="53"/>
        <v>6.8441064638783272E-2</v>
      </c>
      <c r="P401" s="130"/>
      <c r="Q401" s="84">
        <v>0.1</v>
      </c>
      <c r="R401" s="84"/>
      <c r="S401" s="84">
        <f>M401*Q401</f>
        <v>1.8</v>
      </c>
      <c r="T401" s="84"/>
    </row>
    <row r="402" spans="1:36" ht="20.100000000000001" customHeight="1" x14ac:dyDescent="0.25">
      <c r="A402" s="30"/>
      <c r="S402" s="41"/>
      <c r="T402" s="41"/>
    </row>
    <row r="403" spans="1:36" ht="20.100000000000001" customHeight="1" x14ac:dyDescent="0.25">
      <c r="B403" s="86" t="s">
        <v>306</v>
      </c>
      <c r="C403" s="86"/>
      <c r="D403" s="86"/>
      <c r="E403" s="86"/>
      <c r="F403" s="86"/>
      <c r="G403" s="86"/>
      <c r="H403" s="86"/>
      <c r="I403" s="86"/>
      <c r="J403" s="86"/>
      <c r="K403" s="86"/>
      <c r="L403" s="86"/>
      <c r="M403" s="85">
        <f>SUM(M387:M401)</f>
        <v>263</v>
      </c>
      <c r="N403" s="85"/>
      <c r="O403" s="25"/>
      <c r="P403" s="86" t="s">
        <v>307</v>
      </c>
      <c r="Q403" s="86"/>
      <c r="R403" s="86"/>
      <c r="S403" s="87">
        <f>SUM(S387:S401)</f>
        <v>116.8</v>
      </c>
      <c r="T403" s="87"/>
    </row>
    <row r="405" spans="1:36" ht="20.100000000000001" customHeight="1" x14ac:dyDescent="0.25">
      <c r="A405" s="127" t="s">
        <v>308</v>
      </c>
      <c r="B405" s="127"/>
      <c r="C405" s="127"/>
      <c r="D405" s="127"/>
      <c r="E405" s="127"/>
      <c r="F405" s="127"/>
      <c r="G405" s="127"/>
      <c r="H405" s="127"/>
      <c r="I405" s="127"/>
      <c r="J405" s="127"/>
      <c r="K405" s="127"/>
      <c r="L405" s="127"/>
      <c r="M405" s="127"/>
      <c r="N405" s="127"/>
      <c r="O405" s="169">
        <f>S403</f>
        <v>116.8</v>
      </c>
      <c r="P405" s="169"/>
      <c r="Q405" s="169"/>
      <c r="R405" s="169"/>
      <c r="S405" s="169"/>
      <c r="T405" s="169"/>
    </row>
    <row r="406" spans="1:36" ht="20.100000000000001" customHeight="1" x14ac:dyDescent="0.25">
      <c r="A406" s="128" t="s">
        <v>247</v>
      </c>
      <c r="B406" s="128"/>
      <c r="C406" s="128"/>
      <c r="D406" s="128"/>
      <c r="E406" s="128"/>
      <c r="F406" s="128"/>
      <c r="G406" s="128"/>
      <c r="H406" s="128"/>
      <c r="I406" s="128"/>
      <c r="J406" s="128"/>
      <c r="K406" s="128"/>
      <c r="L406" s="128"/>
      <c r="M406" s="128"/>
      <c r="N406" s="128"/>
      <c r="O406" s="132">
        <f>Q376</f>
        <v>1997.51</v>
      </c>
      <c r="P406" s="132"/>
      <c r="Q406" s="132"/>
      <c r="R406" s="132"/>
      <c r="S406" s="132"/>
      <c r="T406" s="132"/>
    </row>
    <row r="407" spans="1:36" ht="20.100000000000001" customHeight="1" x14ac:dyDescent="0.25">
      <c r="A407" s="128" t="s">
        <v>248</v>
      </c>
      <c r="B407" s="128"/>
      <c r="C407" s="128"/>
      <c r="D407" s="128"/>
      <c r="E407" s="128"/>
      <c r="F407" s="128"/>
      <c r="G407" s="128"/>
      <c r="H407" s="128"/>
      <c r="I407" s="128"/>
      <c r="J407" s="128"/>
      <c r="K407" s="128"/>
      <c r="L407" s="128"/>
      <c r="M407" s="128"/>
      <c r="N407" s="128"/>
      <c r="O407" s="163">
        <f>Q376*O405</f>
        <v>233309.16800000001</v>
      </c>
      <c r="P407" s="163"/>
      <c r="Q407" s="163"/>
      <c r="R407" s="163"/>
      <c r="S407" s="163"/>
      <c r="T407" s="163"/>
    </row>
    <row r="408" spans="1:36" ht="20.100000000000001" customHeight="1" x14ac:dyDescent="0.25">
      <c r="A408" s="26"/>
      <c r="B408" s="26"/>
      <c r="C408" s="26"/>
      <c r="D408" s="26"/>
      <c r="E408" s="26"/>
      <c r="F408" s="26"/>
      <c r="G408" s="26"/>
      <c r="H408" s="26"/>
      <c r="I408" s="26"/>
      <c r="J408" s="26"/>
      <c r="K408" s="26"/>
      <c r="L408" s="26"/>
      <c r="M408" s="26"/>
      <c r="N408" s="26"/>
      <c r="O408" s="26"/>
      <c r="P408" s="26"/>
      <c r="Q408" s="26"/>
      <c r="R408" s="26"/>
      <c r="S408" s="26"/>
      <c r="T408" s="26"/>
    </row>
    <row r="410" spans="1:36" ht="20.100000000000001" customHeight="1" x14ac:dyDescent="0.25">
      <c r="A410" s="177" t="s">
        <v>249</v>
      </c>
      <c r="B410" s="177"/>
      <c r="C410" s="177"/>
      <c r="D410" s="177"/>
      <c r="E410" s="177"/>
      <c r="F410" s="177"/>
      <c r="G410" s="177"/>
      <c r="H410" s="177"/>
      <c r="I410" s="177"/>
      <c r="J410" s="177"/>
      <c r="K410" s="177"/>
      <c r="L410" s="177"/>
      <c r="M410" s="177"/>
      <c r="N410" s="177"/>
      <c r="O410" s="177"/>
      <c r="P410" s="177"/>
      <c r="Q410" s="177"/>
      <c r="R410" s="177"/>
      <c r="S410" s="177"/>
      <c r="T410" s="177"/>
    </row>
    <row r="412" spans="1:36" ht="20.100000000000001" customHeight="1" x14ac:dyDescent="0.25">
      <c r="A412" s="127" t="s">
        <v>250</v>
      </c>
      <c r="B412" s="127"/>
      <c r="C412" s="127"/>
      <c r="D412" s="127"/>
      <c r="E412" s="127"/>
      <c r="F412" s="127"/>
      <c r="G412" s="176">
        <v>10</v>
      </c>
      <c r="H412" s="176"/>
      <c r="I412" s="176"/>
      <c r="J412" s="176"/>
    </row>
    <row r="413" spans="1:36" ht="20.100000000000001" customHeight="1" x14ac:dyDescent="0.25">
      <c r="A413" s="127" t="s">
        <v>251</v>
      </c>
      <c r="B413" s="127"/>
      <c r="C413" s="127"/>
      <c r="D413" s="127"/>
      <c r="E413" s="127"/>
      <c r="F413" s="127"/>
      <c r="G413" s="178">
        <v>70</v>
      </c>
      <c r="H413" s="178"/>
      <c r="I413" s="178"/>
      <c r="J413" s="178"/>
    </row>
    <row r="414" spans="1:36" ht="20.100000000000001" customHeight="1" x14ac:dyDescent="0.25">
      <c r="A414" s="128" t="s">
        <v>252</v>
      </c>
      <c r="B414" s="128"/>
      <c r="C414" s="128"/>
      <c r="D414" s="128"/>
      <c r="E414" s="128"/>
      <c r="F414" s="128"/>
      <c r="G414" s="179">
        <f>G412/G413</f>
        <v>0.14285714285714285</v>
      </c>
      <c r="H414" s="179"/>
      <c r="I414" s="179"/>
      <c r="J414" s="179"/>
    </row>
    <row r="416" spans="1:36" s="65" customFormat="1" ht="20.100000000000001" customHeight="1" x14ac:dyDescent="0.25">
      <c r="A416" s="173" t="s">
        <v>309</v>
      </c>
      <c r="B416" s="173"/>
      <c r="C416" s="173"/>
      <c r="D416" s="173"/>
      <c r="E416" s="173"/>
      <c r="F416" s="173"/>
      <c r="G416" s="173"/>
      <c r="H416" s="173"/>
      <c r="I416" s="173"/>
      <c r="J416" s="173"/>
      <c r="K416" s="173"/>
      <c r="L416" s="173"/>
      <c r="M416" s="173"/>
      <c r="N416" s="173"/>
      <c r="O416" s="173"/>
      <c r="P416" s="173"/>
      <c r="Q416" s="173"/>
      <c r="R416" s="173"/>
      <c r="S416" s="173"/>
      <c r="T416" s="173"/>
      <c r="U416" s="64"/>
      <c r="V416" s="64"/>
      <c r="AE416" s="64"/>
      <c r="AJ416" s="64"/>
    </row>
    <row r="417" spans="1:36" s="65" customFormat="1" ht="20.100000000000001" customHeight="1" x14ac:dyDescent="0.25">
      <c r="A417" s="64"/>
      <c r="B417" s="64"/>
      <c r="C417" s="64"/>
      <c r="D417" s="64"/>
      <c r="E417" s="64"/>
      <c r="F417" s="64"/>
      <c r="G417" s="64"/>
      <c r="H417" s="64"/>
      <c r="I417" s="64"/>
      <c r="J417" s="64"/>
      <c r="K417" s="64"/>
      <c r="L417" s="64"/>
      <c r="M417" s="64"/>
      <c r="N417" s="64"/>
      <c r="O417" s="64"/>
      <c r="P417" s="64"/>
      <c r="Q417" s="64"/>
      <c r="R417" s="64"/>
      <c r="S417" s="64"/>
      <c r="T417" s="64"/>
      <c r="U417" s="64"/>
      <c r="V417" s="64"/>
      <c r="AE417" s="64"/>
      <c r="AJ417" s="64"/>
    </row>
    <row r="418" spans="1:36" s="65" customFormat="1" ht="20.100000000000001" customHeight="1" x14ac:dyDescent="0.25">
      <c r="A418" s="94" t="s">
        <v>310</v>
      </c>
      <c r="B418" s="94"/>
      <c r="C418" s="94"/>
      <c r="D418" s="94"/>
      <c r="E418" s="94"/>
      <c r="F418" s="94"/>
      <c r="G418" s="94"/>
      <c r="H418" s="94"/>
      <c r="I418" s="94"/>
      <c r="J418" s="94"/>
      <c r="K418" s="94"/>
      <c r="L418" s="94"/>
      <c r="M418" s="94"/>
      <c r="N418" s="94"/>
      <c r="O418" s="94"/>
      <c r="P418" s="94"/>
      <c r="Q418" s="94"/>
      <c r="R418" s="94"/>
      <c r="S418" s="94"/>
      <c r="T418" s="94"/>
      <c r="U418" s="64"/>
      <c r="V418" s="64"/>
      <c r="AE418" s="64"/>
      <c r="AJ418" s="64"/>
    </row>
    <row r="419" spans="1:36" s="65" customFormat="1" ht="20.100000000000001" customHeight="1" x14ac:dyDescent="0.25">
      <c r="A419" s="94"/>
      <c r="B419" s="94"/>
      <c r="C419" s="94"/>
      <c r="D419" s="94"/>
      <c r="E419" s="94"/>
      <c r="F419" s="94"/>
      <c r="G419" s="94"/>
      <c r="H419" s="94"/>
      <c r="I419" s="94"/>
      <c r="J419" s="94"/>
      <c r="K419" s="94"/>
      <c r="L419" s="94"/>
      <c r="M419" s="94"/>
      <c r="N419" s="94"/>
      <c r="O419" s="94"/>
      <c r="P419" s="94"/>
      <c r="Q419" s="94"/>
      <c r="R419" s="94"/>
      <c r="S419" s="94"/>
      <c r="T419" s="94"/>
      <c r="U419" s="64"/>
      <c r="V419" s="64"/>
      <c r="AE419" s="64"/>
      <c r="AJ419" s="64"/>
    </row>
    <row r="420" spans="1:36" s="65" customFormat="1" ht="20.100000000000001" customHeight="1" x14ac:dyDescent="0.25">
      <c r="A420" s="94"/>
      <c r="B420" s="94"/>
      <c r="C420" s="94"/>
      <c r="D420" s="94"/>
      <c r="E420" s="94"/>
      <c r="F420" s="94"/>
      <c r="G420" s="94"/>
      <c r="H420" s="94"/>
      <c r="I420" s="94"/>
      <c r="J420" s="94"/>
      <c r="K420" s="94"/>
      <c r="L420" s="94"/>
      <c r="M420" s="94"/>
      <c r="N420" s="94"/>
      <c r="O420" s="94"/>
      <c r="P420" s="94"/>
      <c r="Q420" s="94"/>
      <c r="R420" s="94"/>
      <c r="S420" s="94"/>
      <c r="T420" s="94"/>
      <c r="U420" s="64"/>
      <c r="V420" s="64"/>
      <c r="AE420" s="64"/>
      <c r="AJ420" s="64"/>
    </row>
    <row r="421" spans="1:36" s="65" customFormat="1" ht="20.100000000000001" customHeight="1" x14ac:dyDescent="0.25">
      <c r="A421" s="64"/>
      <c r="B421" s="64"/>
      <c r="C421" s="64"/>
      <c r="D421" s="64"/>
      <c r="E421" s="64"/>
      <c r="F421" s="66"/>
      <c r="G421" s="64"/>
      <c r="H421" s="64"/>
      <c r="I421" s="64"/>
      <c r="J421" s="64"/>
      <c r="K421" s="64"/>
      <c r="L421" s="64"/>
      <c r="M421" s="64"/>
      <c r="N421" s="64"/>
      <c r="O421" s="64"/>
      <c r="P421" s="64"/>
      <c r="Q421" s="64"/>
      <c r="R421" s="64"/>
      <c r="S421" s="64"/>
      <c r="T421" s="64"/>
      <c r="U421" s="64"/>
      <c r="V421" s="64"/>
      <c r="AE421" s="64"/>
      <c r="AJ421" s="64"/>
    </row>
    <row r="422" spans="1:36" s="65" customFormat="1" ht="20.100000000000001" customHeight="1" x14ac:dyDescent="0.25">
      <c r="A422" s="64"/>
      <c r="B422" s="64"/>
      <c r="C422" s="64"/>
      <c r="D422" s="64"/>
      <c r="E422" s="64"/>
      <c r="F422" s="64"/>
      <c r="G422" s="64"/>
      <c r="H422" s="64"/>
      <c r="I422" s="116" t="s">
        <v>311</v>
      </c>
      <c r="J422" s="116"/>
      <c r="K422" s="116"/>
      <c r="L422" s="117">
        <f>((1/2)*((G412/G413+(G412^2/G413^2)))*100)</f>
        <v>8.1632653061224492</v>
      </c>
      <c r="M422" s="117"/>
      <c r="N422" s="117"/>
      <c r="O422" s="64"/>
      <c r="P422" s="64"/>
      <c r="Q422" s="64"/>
      <c r="R422" s="64"/>
      <c r="S422" s="64"/>
      <c r="T422" s="64"/>
      <c r="U422" s="64"/>
      <c r="V422" s="64"/>
      <c r="AE422" s="64"/>
      <c r="AJ422" s="64"/>
    </row>
    <row r="423" spans="1:36" s="65" customFormat="1" ht="20.100000000000001" customHeight="1" x14ac:dyDescent="0.25">
      <c r="A423" s="64"/>
      <c r="B423" s="64"/>
      <c r="C423" s="64"/>
      <c r="D423" s="64"/>
      <c r="E423" s="64"/>
      <c r="F423" s="64"/>
      <c r="G423" s="64"/>
      <c r="H423" s="64"/>
      <c r="I423" s="64"/>
      <c r="J423" s="64"/>
      <c r="K423" s="64"/>
      <c r="L423" s="64"/>
      <c r="M423" s="64"/>
      <c r="N423" s="64"/>
      <c r="O423" s="64"/>
      <c r="P423" s="64"/>
      <c r="Q423" s="64"/>
      <c r="R423" s="64"/>
      <c r="S423" s="64"/>
      <c r="T423" s="64"/>
      <c r="U423" s="64"/>
      <c r="V423" s="64"/>
      <c r="AE423" s="64"/>
      <c r="AJ423" s="64"/>
    </row>
    <row r="424" spans="1:36" s="65" customFormat="1" ht="20.100000000000001" customHeight="1" x14ac:dyDescent="0.25">
      <c r="A424" s="64"/>
      <c r="B424" s="64"/>
      <c r="C424" s="64"/>
      <c r="D424" s="64"/>
      <c r="E424" s="64"/>
      <c r="F424" s="64"/>
      <c r="G424" s="64"/>
      <c r="H424" s="64"/>
      <c r="I424" s="64"/>
      <c r="J424" s="64"/>
      <c r="K424" s="64"/>
      <c r="L424" s="64"/>
      <c r="M424" s="64"/>
      <c r="N424" s="64"/>
      <c r="O424" s="64"/>
      <c r="P424" s="64"/>
      <c r="Q424" s="64"/>
      <c r="R424" s="64"/>
      <c r="S424" s="64"/>
      <c r="T424" s="64"/>
      <c r="U424" s="64"/>
      <c r="V424" s="64"/>
      <c r="AE424" s="64"/>
      <c r="AJ424" s="64"/>
    </row>
    <row r="425" spans="1:36" s="65" customFormat="1" ht="20.100000000000001" customHeight="1" x14ac:dyDescent="0.25">
      <c r="A425" s="64"/>
      <c r="B425" s="64"/>
      <c r="C425" s="64"/>
      <c r="D425" s="64"/>
      <c r="E425" s="64"/>
      <c r="F425" s="64"/>
      <c r="G425" s="64"/>
      <c r="H425" s="64"/>
      <c r="I425" s="64"/>
      <c r="J425" s="64"/>
      <c r="K425" s="64"/>
      <c r="L425" s="64"/>
      <c r="M425" s="64"/>
      <c r="N425" s="64"/>
      <c r="O425" s="64"/>
      <c r="P425" s="64"/>
      <c r="Q425" s="64"/>
      <c r="R425" s="64"/>
      <c r="S425" s="64"/>
      <c r="T425" s="64"/>
      <c r="U425" s="64"/>
      <c r="V425" s="64"/>
      <c r="AE425" s="64"/>
      <c r="AJ425" s="64"/>
    </row>
    <row r="426" spans="1:36" s="65" customFormat="1" ht="20.100000000000001" customHeight="1" x14ac:dyDescent="0.25">
      <c r="A426" s="64"/>
      <c r="B426" s="64"/>
      <c r="C426" s="64"/>
      <c r="D426" s="64"/>
      <c r="E426" s="64"/>
      <c r="F426" s="64"/>
      <c r="G426" s="64"/>
      <c r="H426" s="64"/>
      <c r="I426" s="64"/>
      <c r="J426" s="64"/>
      <c r="K426" s="64"/>
      <c r="L426" s="64"/>
      <c r="M426" s="64"/>
      <c r="N426" s="64"/>
      <c r="O426" s="64"/>
      <c r="P426" s="64"/>
      <c r="Q426" s="64"/>
      <c r="R426" s="64"/>
      <c r="S426" s="64"/>
      <c r="T426" s="64"/>
      <c r="U426" s="64"/>
      <c r="V426" s="64"/>
      <c r="AE426" s="64"/>
      <c r="AJ426" s="64"/>
    </row>
    <row r="427" spans="1:36" s="65" customFormat="1" ht="20.100000000000001" customHeight="1" x14ac:dyDescent="0.25">
      <c r="A427" s="64"/>
      <c r="B427" s="64"/>
      <c r="C427" s="64"/>
      <c r="D427" s="64"/>
      <c r="E427" s="64"/>
      <c r="F427" s="64"/>
      <c r="G427" s="64"/>
      <c r="H427" s="64"/>
      <c r="I427" s="64"/>
      <c r="J427" s="64"/>
      <c r="K427" s="64"/>
      <c r="L427" s="64"/>
      <c r="M427" s="64"/>
      <c r="N427" s="64"/>
      <c r="O427" s="64"/>
      <c r="P427" s="64"/>
      <c r="Q427" s="64"/>
      <c r="R427" s="64"/>
      <c r="S427" s="64"/>
      <c r="T427" s="64"/>
      <c r="U427" s="64"/>
      <c r="V427" s="64"/>
      <c r="AE427" s="64"/>
      <c r="AJ427" s="64"/>
    </row>
    <row r="428" spans="1:36" s="65" customFormat="1" ht="20.100000000000001" customHeight="1" x14ac:dyDescent="0.25">
      <c r="A428" s="94" t="s">
        <v>312</v>
      </c>
      <c r="B428" s="94"/>
      <c r="C428" s="94"/>
      <c r="D428" s="94"/>
      <c r="E428" s="94"/>
      <c r="F428" s="94"/>
      <c r="G428" s="94"/>
      <c r="H428" s="94"/>
      <c r="I428" s="94"/>
      <c r="J428" s="94"/>
      <c r="K428" s="94"/>
      <c r="L428" s="94"/>
      <c r="M428" s="94"/>
      <c r="N428" s="94"/>
      <c r="O428" s="94"/>
      <c r="P428" s="94"/>
      <c r="Q428" s="94"/>
      <c r="R428" s="94"/>
      <c r="S428" s="94"/>
      <c r="T428" s="94"/>
      <c r="U428" s="64"/>
      <c r="V428" s="64"/>
      <c r="AE428" s="64"/>
      <c r="AJ428" s="64"/>
    </row>
    <row r="429" spans="1:36" s="65" customFormat="1" ht="20.100000000000001" customHeight="1" x14ac:dyDescent="0.25">
      <c r="A429" s="94"/>
      <c r="B429" s="94"/>
      <c r="C429" s="94"/>
      <c r="D429" s="94"/>
      <c r="E429" s="94"/>
      <c r="F429" s="94"/>
      <c r="G429" s="94"/>
      <c r="H429" s="94"/>
      <c r="I429" s="94"/>
      <c r="J429" s="94"/>
      <c r="K429" s="94"/>
      <c r="L429" s="94"/>
      <c r="M429" s="94"/>
      <c r="N429" s="94"/>
      <c r="O429" s="94"/>
      <c r="P429" s="94"/>
      <c r="Q429" s="94"/>
      <c r="R429" s="94"/>
      <c r="S429" s="94"/>
      <c r="T429" s="94"/>
      <c r="U429" s="64"/>
      <c r="V429" s="64"/>
      <c r="AE429" s="64"/>
      <c r="AJ429" s="64"/>
    </row>
    <row r="430" spans="1:36" s="65" customFormat="1" ht="20.100000000000001" customHeight="1" x14ac:dyDescent="0.25">
      <c r="A430" s="118"/>
      <c r="B430" s="118"/>
      <c r="C430" s="118"/>
      <c r="D430" s="118"/>
      <c r="E430" s="118"/>
      <c r="F430" s="118"/>
      <c r="G430" s="118"/>
      <c r="H430" s="118"/>
      <c r="I430" s="118"/>
      <c r="J430" s="118"/>
      <c r="K430" s="118"/>
      <c r="L430" s="118"/>
      <c r="M430" s="118"/>
      <c r="N430" s="118"/>
      <c r="O430" s="118"/>
      <c r="P430" s="118"/>
      <c r="Q430" s="118"/>
      <c r="R430" s="118"/>
      <c r="S430" s="118"/>
      <c r="T430" s="118"/>
      <c r="U430" s="64"/>
      <c r="V430" s="64"/>
      <c r="AE430" s="64"/>
      <c r="AJ430" s="64"/>
    </row>
    <row r="431" spans="1:36" s="65" customFormat="1" ht="39.950000000000003" customHeight="1" x14ac:dyDescent="0.25">
      <c r="A431" s="119" t="s">
        <v>5</v>
      </c>
      <c r="B431" s="121"/>
      <c r="C431" s="119" t="s">
        <v>313</v>
      </c>
      <c r="D431" s="120"/>
      <c r="E431" s="120"/>
      <c r="F431" s="120"/>
      <c r="G431" s="120"/>
      <c r="H431" s="120"/>
      <c r="I431" s="120"/>
      <c r="J431" s="120"/>
      <c r="K431" s="120"/>
      <c r="L431" s="120"/>
      <c r="M431" s="120"/>
      <c r="N431" s="120"/>
      <c r="O431" s="120"/>
      <c r="P431" s="120"/>
      <c r="Q431" s="120"/>
      <c r="R431" s="121"/>
      <c r="S431" s="111" t="s">
        <v>314</v>
      </c>
      <c r="T431" s="111"/>
      <c r="U431" s="64"/>
      <c r="V431" s="64"/>
      <c r="AE431" s="64"/>
      <c r="AJ431" s="64"/>
    </row>
    <row r="432" spans="1:36" s="65" customFormat="1" ht="20.100000000000001" customHeight="1" x14ac:dyDescent="0.25">
      <c r="A432" s="112">
        <v>1</v>
      </c>
      <c r="B432" s="113"/>
      <c r="C432" s="157" t="s">
        <v>315</v>
      </c>
      <c r="D432" s="158"/>
      <c r="E432" s="158"/>
      <c r="F432" s="158"/>
      <c r="G432" s="158"/>
      <c r="H432" s="158"/>
      <c r="I432" s="158"/>
      <c r="J432" s="158"/>
      <c r="K432" s="158"/>
      <c r="L432" s="158"/>
      <c r="M432" s="158"/>
      <c r="N432" s="158"/>
      <c r="O432" s="158"/>
      <c r="P432" s="158"/>
      <c r="Q432" s="158"/>
      <c r="R432" s="159"/>
      <c r="S432" s="100">
        <v>0.04</v>
      </c>
      <c r="T432" s="100"/>
      <c r="U432" s="64"/>
      <c r="V432" s="64"/>
      <c r="AE432" s="64"/>
      <c r="AJ432" s="64"/>
    </row>
    <row r="433" spans="1:36" s="65" customFormat="1" ht="20.100000000000001" customHeight="1" x14ac:dyDescent="0.25">
      <c r="A433" s="114"/>
      <c r="B433" s="115"/>
      <c r="C433" s="160"/>
      <c r="D433" s="161"/>
      <c r="E433" s="161"/>
      <c r="F433" s="161"/>
      <c r="G433" s="161"/>
      <c r="H433" s="161"/>
      <c r="I433" s="161"/>
      <c r="J433" s="161"/>
      <c r="K433" s="161"/>
      <c r="L433" s="161"/>
      <c r="M433" s="161"/>
      <c r="N433" s="161"/>
      <c r="O433" s="161"/>
      <c r="P433" s="161"/>
      <c r="Q433" s="161"/>
      <c r="R433" s="162"/>
      <c r="S433" s="100"/>
      <c r="T433" s="100"/>
      <c r="U433" s="64"/>
      <c r="V433" s="64"/>
      <c r="AE433" s="64"/>
      <c r="AJ433" s="64"/>
    </row>
    <row r="434" spans="1:36" s="65" customFormat="1" ht="20.100000000000001" customHeight="1" x14ac:dyDescent="0.25">
      <c r="A434" s="109">
        <v>2</v>
      </c>
      <c r="B434" s="110"/>
      <c r="C434" s="122" t="s">
        <v>316</v>
      </c>
      <c r="D434" s="123"/>
      <c r="E434" s="123"/>
      <c r="F434" s="123"/>
      <c r="G434" s="123"/>
      <c r="H434" s="123"/>
      <c r="I434" s="123"/>
      <c r="J434" s="123"/>
      <c r="K434" s="123"/>
      <c r="L434" s="123"/>
      <c r="M434" s="123"/>
      <c r="N434" s="123"/>
      <c r="O434" s="123"/>
      <c r="P434" s="123"/>
      <c r="Q434" s="123"/>
      <c r="R434" s="124"/>
      <c r="S434" s="100">
        <v>7.0000000000000001E-3</v>
      </c>
      <c r="T434" s="100"/>
      <c r="U434" s="64"/>
      <c r="V434" s="64"/>
      <c r="AE434" s="64"/>
      <c r="AJ434" s="64"/>
    </row>
    <row r="435" spans="1:36" s="65" customFormat="1" ht="20.100000000000001" customHeight="1" x14ac:dyDescent="0.25">
      <c r="A435" s="109">
        <v>3</v>
      </c>
      <c r="B435" s="110"/>
      <c r="C435" s="122" t="s">
        <v>317</v>
      </c>
      <c r="D435" s="123"/>
      <c r="E435" s="123"/>
      <c r="F435" s="123"/>
      <c r="G435" s="123"/>
      <c r="H435" s="123"/>
      <c r="I435" s="123"/>
      <c r="J435" s="123"/>
      <c r="K435" s="123"/>
      <c r="L435" s="123"/>
      <c r="M435" s="123"/>
      <c r="N435" s="123"/>
      <c r="O435" s="123"/>
      <c r="P435" s="123"/>
      <c r="Q435" s="123"/>
      <c r="R435" s="124"/>
      <c r="S435" s="100">
        <v>0.15</v>
      </c>
      <c r="T435" s="100"/>
      <c r="U435" s="64"/>
      <c r="V435" s="64"/>
      <c r="AE435" s="64"/>
      <c r="AJ435" s="64"/>
    </row>
    <row r="436" spans="1:36" s="65" customFormat="1" ht="20.100000000000001" customHeight="1" x14ac:dyDescent="0.25">
      <c r="A436" s="109">
        <v>4</v>
      </c>
      <c r="B436" s="110"/>
      <c r="C436" s="122" t="s">
        <v>318</v>
      </c>
      <c r="D436" s="123"/>
      <c r="E436" s="123"/>
      <c r="F436" s="123"/>
      <c r="G436" s="123"/>
      <c r="H436" s="123"/>
      <c r="I436" s="123"/>
      <c r="J436" s="123"/>
      <c r="K436" s="123"/>
      <c r="L436" s="123"/>
      <c r="M436" s="123"/>
      <c r="N436" s="123"/>
      <c r="O436" s="123"/>
      <c r="P436" s="123"/>
      <c r="Q436" s="123"/>
      <c r="R436" s="124"/>
      <c r="S436" s="100">
        <v>0.1</v>
      </c>
      <c r="T436" s="100"/>
      <c r="U436" s="64"/>
      <c r="V436" s="64"/>
      <c r="AE436" s="64"/>
      <c r="AJ436" s="64"/>
    </row>
    <row r="437" spans="1:36" s="65" customFormat="1" ht="20.100000000000001" customHeight="1" x14ac:dyDescent="0.25">
      <c r="A437" s="109">
        <v>5</v>
      </c>
      <c r="B437" s="110"/>
      <c r="C437" s="122" t="s">
        <v>319</v>
      </c>
      <c r="D437" s="123"/>
      <c r="E437" s="123"/>
      <c r="F437" s="123"/>
      <c r="G437" s="123"/>
      <c r="H437" s="123"/>
      <c r="I437" s="123"/>
      <c r="J437" s="123"/>
      <c r="K437" s="123"/>
      <c r="L437" s="123"/>
      <c r="M437" s="123"/>
      <c r="N437" s="123"/>
      <c r="O437" s="123"/>
      <c r="P437" s="123"/>
      <c r="Q437" s="123"/>
      <c r="R437" s="124"/>
      <c r="S437" s="100">
        <v>7.4999999999999997E-2</v>
      </c>
      <c r="T437" s="100"/>
      <c r="U437" s="64"/>
      <c r="V437" s="64"/>
      <c r="AE437" s="64"/>
      <c r="AJ437" s="64"/>
    </row>
    <row r="438" spans="1:36" s="65" customFormat="1" ht="20.100000000000001" customHeight="1" x14ac:dyDescent="0.25">
      <c r="A438" s="109">
        <v>6</v>
      </c>
      <c r="B438" s="110"/>
      <c r="C438" s="122" t="s">
        <v>320</v>
      </c>
      <c r="D438" s="123"/>
      <c r="E438" s="123"/>
      <c r="F438" s="123"/>
      <c r="G438" s="123"/>
      <c r="H438" s="123"/>
      <c r="I438" s="123"/>
      <c r="J438" s="123"/>
      <c r="K438" s="123"/>
      <c r="L438" s="123"/>
      <c r="M438" s="123"/>
      <c r="N438" s="123"/>
      <c r="O438" s="123"/>
      <c r="P438" s="123"/>
      <c r="Q438" s="123"/>
      <c r="R438" s="124"/>
      <c r="S438" s="100">
        <v>0.04</v>
      </c>
      <c r="T438" s="100"/>
      <c r="U438" s="64"/>
      <c r="V438" s="64"/>
      <c r="AE438" s="64"/>
      <c r="AJ438" s="64"/>
    </row>
    <row r="439" spans="1:36" s="65" customFormat="1" ht="20.100000000000001" customHeight="1" x14ac:dyDescent="0.25">
      <c r="A439" s="109">
        <v>7</v>
      </c>
      <c r="B439" s="110"/>
      <c r="C439" s="122" t="s">
        <v>321</v>
      </c>
      <c r="D439" s="123"/>
      <c r="E439" s="123"/>
      <c r="F439" s="123"/>
      <c r="G439" s="123"/>
      <c r="H439" s="123"/>
      <c r="I439" s="123"/>
      <c r="J439" s="123"/>
      <c r="K439" s="123"/>
      <c r="L439" s="123"/>
      <c r="M439" s="123"/>
      <c r="N439" s="123"/>
      <c r="O439" s="123"/>
      <c r="P439" s="123"/>
      <c r="Q439" s="123"/>
      <c r="R439" s="124"/>
      <c r="S439" s="100">
        <v>0.12</v>
      </c>
      <c r="T439" s="100"/>
      <c r="U439" s="64"/>
      <c r="V439" s="64"/>
      <c r="AE439" s="64"/>
      <c r="AJ439" s="64"/>
    </row>
    <row r="440" spans="1:36" s="65" customFormat="1" ht="20.100000000000001" customHeight="1" x14ac:dyDescent="0.25">
      <c r="A440" s="112">
        <v>8</v>
      </c>
      <c r="B440" s="113"/>
      <c r="C440" s="157" t="s">
        <v>322</v>
      </c>
      <c r="D440" s="158"/>
      <c r="E440" s="158"/>
      <c r="F440" s="158"/>
      <c r="G440" s="158"/>
      <c r="H440" s="158"/>
      <c r="I440" s="158"/>
      <c r="J440" s="158"/>
      <c r="K440" s="158"/>
      <c r="L440" s="158"/>
      <c r="M440" s="158"/>
      <c r="N440" s="158"/>
      <c r="O440" s="158"/>
      <c r="P440" s="158"/>
      <c r="Q440" s="158"/>
      <c r="R440" s="159"/>
      <c r="S440" s="100">
        <v>0.08</v>
      </c>
      <c r="T440" s="100"/>
      <c r="U440" s="64"/>
      <c r="V440" s="64"/>
      <c r="AE440" s="64"/>
      <c r="AJ440" s="64"/>
    </row>
    <row r="441" spans="1:36" s="65" customFormat="1" ht="20.100000000000001" customHeight="1" x14ac:dyDescent="0.25">
      <c r="A441" s="114"/>
      <c r="B441" s="115"/>
      <c r="C441" s="160"/>
      <c r="D441" s="161"/>
      <c r="E441" s="161"/>
      <c r="F441" s="161"/>
      <c r="G441" s="161"/>
      <c r="H441" s="161"/>
      <c r="I441" s="161"/>
      <c r="J441" s="161"/>
      <c r="K441" s="161"/>
      <c r="L441" s="161"/>
      <c r="M441" s="161"/>
      <c r="N441" s="161"/>
      <c r="O441" s="161"/>
      <c r="P441" s="161"/>
      <c r="Q441" s="161"/>
      <c r="R441" s="162"/>
      <c r="S441" s="100"/>
      <c r="T441" s="100"/>
      <c r="U441" s="64"/>
      <c r="V441" s="64"/>
      <c r="AE441" s="64"/>
      <c r="AJ441" s="64"/>
    </row>
    <row r="442" spans="1:36" s="65" customFormat="1" ht="20.100000000000001" customHeight="1" x14ac:dyDescent="0.25">
      <c r="A442" s="109">
        <v>9</v>
      </c>
      <c r="B442" s="110"/>
      <c r="C442" s="122" t="s">
        <v>323</v>
      </c>
      <c r="D442" s="123"/>
      <c r="E442" s="123"/>
      <c r="F442" s="123"/>
      <c r="G442" s="123"/>
      <c r="H442" s="123"/>
      <c r="I442" s="123"/>
      <c r="J442" s="123"/>
      <c r="K442" s="123"/>
      <c r="L442" s="123"/>
      <c r="M442" s="123"/>
      <c r="N442" s="123"/>
      <c r="O442" s="123"/>
      <c r="P442" s="123"/>
      <c r="Q442" s="123"/>
      <c r="R442" s="124"/>
      <c r="S442" s="100">
        <v>7.0000000000000007E-2</v>
      </c>
      <c r="T442" s="100"/>
      <c r="U442" s="64"/>
      <c r="V442" s="64"/>
      <c r="AE442" s="64"/>
      <c r="AJ442" s="64"/>
    </row>
    <row r="443" spans="1:36" s="65" customFormat="1" ht="20.100000000000001" customHeight="1" x14ac:dyDescent="0.25">
      <c r="A443" s="109">
        <v>10</v>
      </c>
      <c r="B443" s="110"/>
      <c r="C443" s="122" t="s">
        <v>324</v>
      </c>
      <c r="D443" s="123"/>
      <c r="E443" s="123"/>
      <c r="F443" s="123"/>
      <c r="G443" s="123"/>
      <c r="H443" s="123"/>
      <c r="I443" s="123"/>
      <c r="J443" s="123"/>
      <c r="K443" s="123"/>
      <c r="L443" s="123"/>
      <c r="M443" s="123"/>
      <c r="N443" s="123"/>
      <c r="O443" s="123"/>
      <c r="P443" s="123"/>
      <c r="Q443" s="123"/>
      <c r="R443" s="124"/>
      <c r="S443" s="100">
        <v>0.03</v>
      </c>
      <c r="T443" s="100"/>
      <c r="U443" s="64"/>
      <c r="V443" s="64"/>
      <c r="AE443" s="64"/>
      <c r="AJ443" s="64"/>
    </row>
    <row r="444" spans="1:36" s="65" customFormat="1" ht="20.100000000000001" customHeight="1" x14ac:dyDescent="0.25">
      <c r="A444" s="109">
        <v>11</v>
      </c>
      <c r="B444" s="110"/>
      <c r="C444" s="122" t="s">
        <v>325</v>
      </c>
      <c r="D444" s="123"/>
      <c r="E444" s="123"/>
      <c r="F444" s="123"/>
      <c r="G444" s="123"/>
      <c r="H444" s="123"/>
      <c r="I444" s="123"/>
      <c r="J444" s="123"/>
      <c r="K444" s="123"/>
      <c r="L444" s="123"/>
      <c r="M444" s="123"/>
      <c r="N444" s="123"/>
      <c r="O444" s="123"/>
      <c r="P444" s="123"/>
      <c r="Q444" s="123"/>
      <c r="R444" s="124"/>
      <c r="S444" s="100">
        <v>4.4999999999999998E-2</v>
      </c>
      <c r="T444" s="100"/>
      <c r="U444" s="64"/>
      <c r="V444" s="64"/>
      <c r="AE444" s="64"/>
      <c r="AJ444" s="64"/>
    </row>
    <row r="445" spans="1:36" s="65" customFormat="1" ht="20.100000000000001" customHeight="1" x14ac:dyDescent="0.25">
      <c r="A445" s="109">
        <v>12</v>
      </c>
      <c r="B445" s="110"/>
      <c r="C445" s="122" t="s">
        <v>326</v>
      </c>
      <c r="D445" s="123"/>
      <c r="E445" s="123"/>
      <c r="F445" s="123"/>
      <c r="G445" s="123"/>
      <c r="H445" s="123"/>
      <c r="I445" s="123"/>
      <c r="J445" s="123"/>
      <c r="K445" s="123"/>
      <c r="L445" s="123"/>
      <c r="M445" s="123"/>
      <c r="N445" s="123"/>
      <c r="O445" s="123"/>
      <c r="P445" s="123"/>
      <c r="Q445" s="123"/>
      <c r="R445" s="124"/>
      <c r="S445" s="100">
        <v>0.01</v>
      </c>
      <c r="T445" s="100"/>
      <c r="U445" s="64"/>
      <c r="V445" s="64"/>
      <c r="AE445" s="64"/>
      <c r="AJ445" s="64"/>
    </row>
    <row r="446" spans="1:36" s="65" customFormat="1" ht="20.100000000000001" customHeight="1" x14ac:dyDescent="0.25">
      <c r="A446" s="109">
        <v>13</v>
      </c>
      <c r="B446" s="110"/>
      <c r="C446" s="122" t="s">
        <v>327</v>
      </c>
      <c r="D446" s="123"/>
      <c r="E446" s="123"/>
      <c r="F446" s="123"/>
      <c r="G446" s="123"/>
      <c r="H446" s="123"/>
      <c r="I446" s="123"/>
      <c r="J446" s="123"/>
      <c r="K446" s="123"/>
      <c r="L446" s="123"/>
      <c r="M446" s="123"/>
      <c r="N446" s="123"/>
      <c r="O446" s="123"/>
      <c r="P446" s="123"/>
      <c r="Q446" s="123"/>
      <c r="R446" s="124"/>
      <c r="S446" s="100">
        <v>7.0000000000000007E-2</v>
      </c>
      <c r="T446" s="100"/>
      <c r="U446" s="64"/>
      <c r="V446" s="64"/>
      <c r="AE446" s="64"/>
      <c r="AJ446" s="64"/>
    </row>
    <row r="447" spans="1:36" s="65" customFormat="1" ht="20.100000000000001" customHeight="1" x14ac:dyDescent="0.25">
      <c r="A447" s="109">
        <v>14</v>
      </c>
      <c r="B447" s="110"/>
      <c r="C447" s="122" t="s">
        <v>328</v>
      </c>
      <c r="D447" s="123"/>
      <c r="E447" s="123"/>
      <c r="F447" s="123"/>
      <c r="G447" s="123"/>
      <c r="H447" s="123"/>
      <c r="I447" s="123"/>
      <c r="J447" s="123"/>
      <c r="K447" s="123"/>
      <c r="L447" s="123"/>
      <c r="M447" s="123"/>
      <c r="N447" s="123"/>
      <c r="O447" s="123"/>
      <c r="P447" s="123"/>
      <c r="Q447" s="123"/>
      <c r="R447" s="124"/>
      <c r="S447" s="100">
        <v>1.4999999999999999E-2</v>
      </c>
      <c r="T447" s="100"/>
      <c r="U447" s="64"/>
      <c r="V447" s="64"/>
      <c r="AE447" s="64"/>
      <c r="AJ447" s="64"/>
    </row>
    <row r="448" spans="1:36" s="65" customFormat="1" ht="20.100000000000001" customHeight="1" x14ac:dyDescent="0.25">
      <c r="A448" s="109">
        <v>15</v>
      </c>
      <c r="B448" s="110"/>
      <c r="C448" s="122" t="s">
        <v>329</v>
      </c>
      <c r="D448" s="123"/>
      <c r="E448" s="123"/>
      <c r="F448" s="123"/>
      <c r="G448" s="123"/>
      <c r="H448" s="123"/>
      <c r="I448" s="123"/>
      <c r="J448" s="123"/>
      <c r="K448" s="123"/>
      <c r="L448" s="123"/>
      <c r="M448" s="123"/>
      <c r="N448" s="123"/>
      <c r="O448" s="123"/>
      <c r="P448" s="123"/>
      <c r="Q448" s="123"/>
      <c r="R448" s="124"/>
      <c r="S448" s="100">
        <v>3.3000000000000002E-2</v>
      </c>
      <c r="T448" s="100"/>
      <c r="U448" s="64"/>
      <c r="V448" s="64"/>
      <c r="AE448" s="64"/>
      <c r="AJ448" s="64"/>
    </row>
    <row r="449" spans="1:36" s="65" customFormat="1" ht="20.100000000000001" customHeight="1" x14ac:dyDescent="0.25">
      <c r="A449" s="109">
        <v>16</v>
      </c>
      <c r="B449" s="110"/>
      <c r="C449" s="122" t="s">
        <v>330</v>
      </c>
      <c r="D449" s="123"/>
      <c r="E449" s="123"/>
      <c r="F449" s="123"/>
      <c r="G449" s="123"/>
      <c r="H449" s="123"/>
      <c r="I449" s="123"/>
      <c r="J449" s="123"/>
      <c r="K449" s="123"/>
      <c r="L449" s="123"/>
      <c r="M449" s="123"/>
      <c r="N449" s="123"/>
      <c r="O449" s="123"/>
      <c r="P449" s="123"/>
      <c r="Q449" s="123"/>
      <c r="R449" s="124"/>
      <c r="S449" s="100">
        <v>1.7000000000000001E-2</v>
      </c>
      <c r="T449" s="100"/>
      <c r="U449" s="64"/>
      <c r="V449" s="64"/>
      <c r="AE449" s="64"/>
      <c r="AJ449" s="64"/>
    </row>
    <row r="450" spans="1:36" s="65" customFormat="1" ht="20.100000000000001" customHeight="1" x14ac:dyDescent="0.25">
      <c r="A450" s="109">
        <v>17</v>
      </c>
      <c r="B450" s="110"/>
      <c r="C450" s="122" t="s">
        <v>331</v>
      </c>
      <c r="D450" s="123"/>
      <c r="E450" s="123"/>
      <c r="F450" s="123"/>
      <c r="G450" s="123"/>
      <c r="H450" s="123"/>
      <c r="I450" s="123"/>
      <c r="J450" s="123"/>
      <c r="K450" s="123"/>
      <c r="L450" s="123"/>
      <c r="M450" s="123"/>
      <c r="N450" s="123"/>
      <c r="O450" s="123"/>
      <c r="P450" s="123"/>
      <c r="Q450" s="123"/>
      <c r="R450" s="124"/>
      <c r="S450" s="100">
        <v>1.4999999999999999E-2</v>
      </c>
      <c r="T450" s="100"/>
      <c r="U450" s="64"/>
      <c r="V450" s="64"/>
      <c r="AE450" s="64"/>
      <c r="AJ450" s="64"/>
    </row>
    <row r="451" spans="1:36" s="65" customFormat="1" ht="20.100000000000001" customHeight="1" x14ac:dyDescent="0.25">
      <c r="A451" s="109">
        <v>18</v>
      </c>
      <c r="B451" s="110"/>
      <c r="C451" s="122" t="s">
        <v>332</v>
      </c>
      <c r="D451" s="123"/>
      <c r="E451" s="123"/>
      <c r="F451" s="123"/>
      <c r="G451" s="123"/>
      <c r="H451" s="123"/>
      <c r="I451" s="123"/>
      <c r="J451" s="123"/>
      <c r="K451" s="123"/>
      <c r="L451" s="123"/>
      <c r="M451" s="123"/>
      <c r="N451" s="123"/>
      <c r="O451" s="123"/>
      <c r="P451" s="123"/>
      <c r="Q451" s="123"/>
      <c r="R451" s="124"/>
      <c r="S451" s="100">
        <v>3.5000000000000003E-2</v>
      </c>
      <c r="T451" s="100"/>
      <c r="U451" s="64"/>
      <c r="V451" s="64"/>
      <c r="AE451" s="64"/>
      <c r="AJ451" s="64"/>
    </row>
    <row r="452" spans="1:36" s="65" customFormat="1" ht="20.100000000000001" customHeight="1" x14ac:dyDescent="0.25">
      <c r="A452" s="109">
        <v>19</v>
      </c>
      <c r="B452" s="110"/>
      <c r="C452" s="122" t="s">
        <v>333</v>
      </c>
      <c r="D452" s="123"/>
      <c r="E452" s="123"/>
      <c r="F452" s="123"/>
      <c r="G452" s="123"/>
      <c r="H452" s="123"/>
      <c r="I452" s="123"/>
      <c r="J452" s="123"/>
      <c r="K452" s="123"/>
      <c r="L452" s="123"/>
      <c r="M452" s="123"/>
      <c r="N452" s="123"/>
      <c r="O452" s="123"/>
      <c r="P452" s="123"/>
      <c r="Q452" s="123"/>
      <c r="R452" s="124"/>
      <c r="S452" s="100">
        <v>0.01</v>
      </c>
      <c r="T452" s="100"/>
      <c r="U452" s="64"/>
      <c r="V452" s="64"/>
      <c r="AE452" s="64"/>
      <c r="AJ452" s="64"/>
    </row>
    <row r="453" spans="1:36" s="65" customFormat="1" ht="20.100000000000001" customHeight="1" x14ac:dyDescent="0.25">
      <c r="A453" s="112">
        <v>20</v>
      </c>
      <c r="B453" s="113"/>
      <c r="C453" s="157" t="s">
        <v>334</v>
      </c>
      <c r="D453" s="158"/>
      <c r="E453" s="158"/>
      <c r="F453" s="158"/>
      <c r="G453" s="158"/>
      <c r="H453" s="158"/>
      <c r="I453" s="158"/>
      <c r="J453" s="158"/>
      <c r="K453" s="158"/>
      <c r="L453" s="158"/>
      <c r="M453" s="158"/>
      <c r="N453" s="158"/>
      <c r="O453" s="158"/>
      <c r="P453" s="158"/>
      <c r="Q453" s="158"/>
      <c r="R453" s="159"/>
      <c r="S453" s="100">
        <v>2.5000000000000001E-2</v>
      </c>
      <c r="T453" s="100"/>
      <c r="U453" s="64"/>
      <c r="V453" s="64"/>
      <c r="AE453" s="64"/>
      <c r="AJ453" s="64"/>
    </row>
    <row r="454" spans="1:36" s="65" customFormat="1" ht="20.100000000000001" customHeight="1" x14ac:dyDescent="0.25">
      <c r="A454" s="114"/>
      <c r="B454" s="115"/>
      <c r="C454" s="160"/>
      <c r="D454" s="161"/>
      <c r="E454" s="161"/>
      <c r="F454" s="161"/>
      <c r="G454" s="161"/>
      <c r="H454" s="161"/>
      <c r="I454" s="161"/>
      <c r="J454" s="161"/>
      <c r="K454" s="161"/>
      <c r="L454" s="161"/>
      <c r="M454" s="161"/>
      <c r="N454" s="161"/>
      <c r="O454" s="161"/>
      <c r="P454" s="161"/>
      <c r="Q454" s="161"/>
      <c r="R454" s="162"/>
      <c r="S454" s="100"/>
      <c r="T454" s="100"/>
      <c r="U454" s="64"/>
      <c r="V454" s="64"/>
      <c r="AE454" s="64"/>
      <c r="AJ454" s="64"/>
    </row>
    <row r="455" spans="1:36" s="65" customFormat="1" ht="20.100000000000001" customHeight="1" x14ac:dyDescent="0.25">
      <c r="A455" s="109">
        <v>21</v>
      </c>
      <c r="B455" s="110"/>
      <c r="C455" s="122" t="s">
        <v>335</v>
      </c>
      <c r="D455" s="123"/>
      <c r="E455" s="123"/>
      <c r="F455" s="123"/>
      <c r="G455" s="123"/>
      <c r="H455" s="123"/>
      <c r="I455" s="123"/>
      <c r="J455" s="123"/>
      <c r="K455" s="123"/>
      <c r="L455" s="123"/>
      <c r="M455" s="123"/>
      <c r="N455" s="123"/>
      <c r="O455" s="123"/>
      <c r="P455" s="123"/>
      <c r="Q455" s="123"/>
      <c r="R455" s="124"/>
      <c r="S455" s="100">
        <v>1.2999999999999999E-2</v>
      </c>
      <c r="T455" s="100"/>
      <c r="U455" s="64"/>
      <c r="V455" s="64"/>
      <c r="AE455" s="64"/>
      <c r="AJ455" s="64"/>
    </row>
    <row r="456" spans="1:36" s="65" customFormat="1" ht="20.100000000000001" customHeight="1" x14ac:dyDescent="0.25">
      <c r="A456" s="64"/>
      <c r="B456" s="64"/>
      <c r="C456" s="64"/>
      <c r="D456" s="64"/>
      <c r="E456" s="64"/>
      <c r="F456" s="64"/>
      <c r="G456" s="64"/>
      <c r="H456" s="64"/>
      <c r="I456" s="64"/>
      <c r="J456" s="64"/>
      <c r="K456" s="64"/>
      <c r="L456" s="64"/>
      <c r="M456" s="64"/>
      <c r="N456" s="64"/>
      <c r="O456" s="64"/>
      <c r="P456" s="64"/>
      <c r="Q456" s="64"/>
      <c r="R456" s="64"/>
      <c r="S456" s="64"/>
      <c r="T456" s="64"/>
      <c r="U456" s="64"/>
      <c r="V456" s="64"/>
      <c r="AE456" s="64"/>
      <c r="AJ456" s="64"/>
    </row>
    <row r="457" spans="1:36" s="65" customFormat="1" ht="20.100000000000001" customHeight="1" x14ac:dyDescent="0.2">
      <c r="A457" s="64"/>
      <c r="B457" s="64"/>
      <c r="C457" s="64"/>
      <c r="D457" s="64"/>
      <c r="E457" s="67"/>
      <c r="F457" s="67"/>
      <c r="G457" s="67"/>
      <c r="H457" s="67"/>
      <c r="I457" s="67"/>
      <c r="J457" s="67"/>
      <c r="K457" s="67"/>
      <c r="L457" s="67"/>
      <c r="M457" s="67"/>
      <c r="N457" s="67"/>
      <c r="O457" s="67"/>
      <c r="P457" s="67"/>
      <c r="Q457" s="67"/>
      <c r="R457" s="67"/>
      <c r="S457" s="67"/>
      <c r="T457" s="67"/>
      <c r="U457" s="64"/>
      <c r="V457" s="64"/>
      <c r="AE457" s="64"/>
      <c r="AJ457" s="64"/>
    </row>
    <row r="458" spans="1:36" s="65" customFormat="1" ht="39.950000000000003" customHeight="1" x14ac:dyDescent="0.25">
      <c r="A458" s="111" t="s">
        <v>5</v>
      </c>
      <c r="B458" s="111"/>
      <c r="C458" s="111" t="s">
        <v>314</v>
      </c>
      <c r="D458" s="111"/>
      <c r="E458" s="111" t="s">
        <v>148</v>
      </c>
      <c r="F458" s="111"/>
      <c r="G458" s="111" t="s">
        <v>72</v>
      </c>
      <c r="H458" s="111"/>
      <c r="I458" s="111"/>
      <c r="J458" s="111"/>
      <c r="K458" s="111"/>
      <c r="L458" s="111"/>
      <c r="M458" s="111"/>
      <c r="N458" s="111"/>
      <c r="O458" s="111" t="s">
        <v>398</v>
      </c>
      <c r="P458" s="111"/>
      <c r="Q458" s="111"/>
      <c r="R458" s="111" t="s">
        <v>336</v>
      </c>
      <c r="S458" s="111"/>
      <c r="T458" s="111"/>
      <c r="U458" s="64"/>
      <c r="V458" s="64"/>
      <c r="AE458" s="64"/>
      <c r="AJ458" s="64"/>
    </row>
    <row r="459" spans="1:36" s="65" customFormat="1" ht="20.100000000000001" customHeight="1" x14ac:dyDescent="0.2">
      <c r="A459" s="156">
        <v>1</v>
      </c>
      <c r="B459" s="156"/>
      <c r="C459" s="107">
        <v>0.04</v>
      </c>
      <c r="D459" s="107"/>
      <c r="E459" s="89" t="s">
        <v>152</v>
      </c>
      <c r="F459" s="89"/>
      <c r="G459" s="106" t="str">
        <f t="shared" ref="G459:G479" si="55">VLOOKUP(E459,$V$461:$X$469,3,0)</f>
        <v>Novo</v>
      </c>
      <c r="H459" s="106"/>
      <c r="I459" s="106"/>
      <c r="J459" s="106"/>
      <c r="K459" s="106"/>
      <c r="L459" s="106"/>
      <c r="M459" s="106"/>
      <c r="N459" s="106"/>
      <c r="O459" s="92">
        <f t="shared" ref="O459:O479" si="56">VLOOKUP(E459,$V$461:$X$469,2,0)</f>
        <v>0</v>
      </c>
      <c r="P459" s="92"/>
      <c r="Q459" s="92"/>
      <c r="R459" s="93">
        <f t="shared" ref="R459:R479" si="57">C459*O459</f>
        <v>0</v>
      </c>
      <c r="S459" s="93"/>
      <c r="T459" s="93"/>
      <c r="U459" s="64"/>
      <c r="V459" s="64"/>
      <c r="AE459" s="64"/>
      <c r="AJ459" s="64"/>
    </row>
    <row r="460" spans="1:36" s="65" customFormat="1" ht="20.100000000000001" customHeight="1" x14ac:dyDescent="0.2">
      <c r="A460" s="156">
        <v>2</v>
      </c>
      <c r="B460" s="156"/>
      <c r="C460" s="107">
        <v>7.0000000000000001E-3</v>
      </c>
      <c r="D460" s="107"/>
      <c r="E460" s="89" t="s">
        <v>152</v>
      </c>
      <c r="F460" s="89"/>
      <c r="G460" s="106" t="str">
        <f t="shared" si="55"/>
        <v>Novo</v>
      </c>
      <c r="H460" s="106"/>
      <c r="I460" s="106"/>
      <c r="J460" s="106"/>
      <c r="K460" s="106"/>
      <c r="L460" s="106"/>
      <c r="M460" s="106"/>
      <c r="N460" s="106"/>
      <c r="O460" s="92">
        <f t="shared" si="56"/>
        <v>0</v>
      </c>
      <c r="P460" s="92"/>
      <c r="Q460" s="92"/>
      <c r="R460" s="93">
        <f t="shared" si="57"/>
        <v>0</v>
      </c>
      <c r="S460" s="93"/>
      <c r="T460" s="93"/>
      <c r="U460" s="64"/>
      <c r="AE460" s="64"/>
      <c r="AJ460" s="64"/>
    </row>
    <row r="461" spans="1:36" s="65" customFormat="1" ht="20.100000000000001" customHeight="1" x14ac:dyDescent="0.2">
      <c r="A461" s="156">
        <v>3</v>
      </c>
      <c r="B461" s="156"/>
      <c r="C461" s="107">
        <v>0.15</v>
      </c>
      <c r="D461" s="107"/>
      <c r="E461" s="89" t="s">
        <v>152</v>
      </c>
      <c r="F461" s="89"/>
      <c r="G461" s="106" t="str">
        <f t="shared" si="55"/>
        <v>Novo</v>
      </c>
      <c r="H461" s="106"/>
      <c r="I461" s="106"/>
      <c r="J461" s="106"/>
      <c r="K461" s="106"/>
      <c r="L461" s="106"/>
      <c r="M461" s="106"/>
      <c r="N461" s="106"/>
      <c r="O461" s="92">
        <f t="shared" si="56"/>
        <v>0</v>
      </c>
      <c r="P461" s="92"/>
      <c r="Q461" s="92"/>
      <c r="R461" s="93">
        <f t="shared" si="57"/>
        <v>0</v>
      </c>
      <c r="S461" s="93"/>
      <c r="T461" s="93"/>
      <c r="U461" s="64"/>
      <c r="V461" s="65" t="s">
        <v>152</v>
      </c>
      <c r="W461" s="65">
        <v>0</v>
      </c>
      <c r="X461" s="65" t="s">
        <v>107</v>
      </c>
      <c r="AE461" s="64"/>
      <c r="AJ461" s="64"/>
    </row>
    <row r="462" spans="1:36" s="65" customFormat="1" ht="20.100000000000001" customHeight="1" x14ac:dyDescent="0.2">
      <c r="A462" s="156">
        <v>4</v>
      </c>
      <c r="B462" s="156"/>
      <c r="C462" s="107">
        <v>0.1</v>
      </c>
      <c r="D462" s="107"/>
      <c r="E462" s="89" t="s">
        <v>152</v>
      </c>
      <c r="F462" s="89"/>
      <c r="G462" s="106" t="str">
        <f t="shared" si="55"/>
        <v>Novo</v>
      </c>
      <c r="H462" s="106"/>
      <c r="I462" s="106"/>
      <c r="J462" s="106"/>
      <c r="K462" s="106"/>
      <c r="L462" s="106"/>
      <c r="M462" s="106"/>
      <c r="N462" s="106"/>
      <c r="O462" s="92">
        <f t="shared" si="56"/>
        <v>0</v>
      </c>
      <c r="P462" s="92"/>
      <c r="Q462" s="92"/>
      <c r="R462" s="93">
        <f t="shared" si="57"/>
        <v>0</v>
      </c>
      <c r="S462" s="93"/>
      <c r="T462" s="93"/>
      <c r="U462" s="64"/>
      <c r="V462" s="65" t="s">
        <v>154</v>
      </c>
      <c r="W462" s="65">
        <v>0.32</v>
      </c>
      <c r="X462" s="65" t="s">
        <v>155</v>
      </c>
      <c r="AE462" s="64"/>
      <c r="AJ462" s="64"/>
    </row>
    <row r="463" spans="1:36" s="65" customFormat="1" ht="20.100000000000001" customHeight="1" x14ac:dyDescent="0.2">
      <c r="A463" s="156">
        <v>5</v>
      </c>
      <c r="B463" s="156"/>
      <c r="C463" s="107">
        <v>7.4999999999999997E-2</v>
      </c>
      <c r="D463" s="107"/>
      <c r="E463" s="89" t="s">
        <v>152</v>
      </c>
      <c r="F463" s="89"/>
      <c r="G463" s="106" t="str">
        <f t="shared" si="55"/>
        <v>Novo</v>
      </c>
      <c r="H463" s="106"/>
      <c r="I463" s="106"/>
      <c r="J463" s="106"/>
      <c r="K463" s="106"/>
      <c r="L463" s="106"/>
      <c r="M463" s="106"/>
      <c r="N463" s="106"/>
      <c r="O463" s="92">
        <f t="shared" si="56"/>
        <v>0</v>
      </c>
      <c r="P463" s="92"/>
      <c r="Q463" s="92"/>
      <c r="R463" s="93">
        <f t="shared" si="57"/>
        <v>0</v>
      </c>
      <c r="S463" s="93"/>
      <c r="T463" s="93"/>
      <c r="U463" s="64"/>
      <c r="V463" s="65" t="s">
        <v>157</v>
      </c>
      <c r="W463" s="65">
        <v>2.52</v>
      </c>
      <c r="X463" s="65" t="s">
        <v>1</v>
      </c>
      <c r="AE463" s="64"/>
      <c r="AJ463" s="64"/>
    </row>
    <row r="464" spans="1:36" s="65" customFormat="1" ht="20.100000000000001" customHeight="1" x14ac:dyDescent="0.2">
      <c r="A464" s="156">
        <v>6</v>
      </c>
      <c r="B464" s="156"/>
      <c r="C464" s="107">
        <v>0.04</v>
      </c>
      <c r="D464" s="107"/>
      <c r="E464" s="89" t="s">
        <v>152</v>
      </c>
      <c r="F464" s="89"/>
      <c r="G464" s="106" t="str">
        <f t="shared" si="55"/>
        <v>Novo</v>
      </c>
      <c r="H464" s="106"/>
      <c r="I464" s="106"/>
      <c r="J464" s="106"/>
      <c r="K464" s="106"/>
      <c r="L464" s="106"/>
      <c r="M464" s="106"/>
      <c r="N464" s="106"/>
      <c r="O464" s="92">
        <f t="shared" si="56"/>
        <v>0</v>
      </c>
      <c r="P464" s="92"/>
      <c r="Q464" s="92"/>
      <c r="R464" s="93">
        <f t="shared" si="57"/>
        <v>0</v>
      </c>
      <c r="S464" s="93"/>
      <c r="T464" s="93"/>
      <c r="U464" s="64"/>
      <c r="V464" s="65" t="s">
        <v>159</v>
      </c>
      <c r="W464" s="65">
        <v>8.09</v>
      </c>
      <c r="X464" s="65" t="s">
        <v>160</v>
      </c>
      <c r="AE464" s="64"/>
      <c r="AJ464" s="64"/>
    </row>
    <row r="465" spans="1:36" s="65" customFormat="1" ht="20.100000000000001" customHeight="1" x14ac:dyDescent="0.2">
      <c r="A465" s="156">
        <v>7</v>
      </c>
      <c r="B465" s="156"/>
      <c r="C465" s="107">
        <v>0.12</v>
      </c>
      <c r="D465" s="107"/>
      <c r="E465" s="89" t="s">
        <v>152</v>
      </c>
      <c r="F465" s="89"/>
      <c r="G465" s="106" t="str">
        <f t="shared" si="55"/>
        <v>Novo</v>
      </c>
      <c r="H465" s="106"/>
      <c r="I465" s="106"/>
      <c r="J465" s="106"/>
      <c r="K465" s="106"/>
      <c r="L465" s="106"/>
      <c r="M465" s="106"/>
      <c r="N465" s="106"/>
      <c r="O465" s="92">
        <f t="shared" si="56"/>
        <v>0</v>
      </c>
      <c r="P465" s="92"/>
      <c r="Q465" s="92"/>
      <c r="R465" s="93">
        <f t="shared" si="57"/>
        <v>0</v>
      </c>
      <c r="S465" s="93"/>
      <c r="T465" s="93"/>
      <c r="U465" s="64"/>
      <c r="V465" s="65" t="s">
        <v>162</v>
      </c>
      <c r="W465" s="65">
        <v>18.100000000000001</v>
      </c>
      <c r="X465" s="65" t="s">
        <v>163</v>
      </c>
      <c r="AE465" s="64"/>
      <c r="AJ465" s="64"/>
    </row>
    <row r="466" spans="1:36" s="65" customFormat="1" ht="20.100000000000001" customHeight="1" x14ac:dyDescent="0.2">
      <c r="A466" s="156">
        <v>8</v>
      </c>
      <c r="B466" s="156"/>
      <c r="C466" s="107">
        <v>0.08</v>
      </c>
      <c r="D466" s="107"/>
      <c r="E466" s="89" t="s">
        <v>154</v>
      </c>
      <c r="F466" s="89"/>
      <c r="G466" s="106" t="str">
        <f t="shared" si="55"/>
        <v>Entre novo e regular</v>
      </c>
      <c r="H466" s="106"/>
      <c r="I466" s="106"/>
      <c r="J466" s="106"/>
      <c r="K466" s="106"/>
      <c r="L466" s="106"/>
      <c r="M466" s="106"/>
      <c r="N466" s="106"/>
      <c r="O466" s="92">
        <f t="shared" si="56"/>
        <v>0.32</v>
      </c>
      <c r="P466" s="92"/>
      <c r="Q466" s="92"/>
      <c r="R466" s="93">
        <f t="shared" si="57"/>
        <v>2.5600000000000001E-2</v>
      </c>
      <c r="S466" s="93"/>
      <c r="T466" s="93"/>
      <c r="U466" s="64"/>
      <c r="V466" s="65" t="s">
        <v>165</v>
      </c>
      <c r="W466" s="65">
        <v>33.200000000000003</v>
      </c>
      <c r="X466" s="65" t="s">
        <v>166</v>
      </c>
      <c r="AE466" s="64"/>
      <c r="AJ466" s="64"/>
    </row>
    <row r="467" spans="1:36" s="65" customFormat="1" ht="20.100000000000001" customHeight="1" x14ac:dyDescent="0.2">
      <c r="A467" s="156">
        <v>9</v>
      </c>
      <c r="B467" s="156"/>
      <c r="C467" s="107">
        <v>7.0000000000000007E-2</v>
      </c>
      <c r="D467" s="107"/>
      <c r="E467" s="89" t="s">
        <v>152</v>
      </c>
      <c r="F467" s="89"/>
      <c r="G467" s="106" t="str">
        <f t="shared" si="55"/>
        <v>Novo</v>
      </c>
      <c r="H467" s="106"/>
      <c r="I467" s="106"/>
      <c r="J467" s="106"/>
      <c r="K467" s="106"/>
      <c r="L467" s="106"/>
      <c r="M467" s="106"/>
      <c r="N467" s="106"/>
      <c r="O467" s="92">
        <f t="shared" si="56"/>
        <v>0</v>
      </c>
      <c r="P467" s="92"/>
      <c r="Q467" s="92"/>
      <c r="R467" s="93">
        <f t="shared" si="57"/>
        <v>0</v>
      </c>
      <c r="S467" s="93"/>
      <c r="T467" s="93"/>
      <c r="U467" s="64"/>
      <c r="V467" s="65" t="s">
        <v>168</v>
      </c>
      <c r="W467" s="65">
        <v>52.6</v>
      </c>
      <c r="X467" s="65" t="s">
        <v>169</v>
      </c>
      <c r="AE467" s="64"/>
      <c r="AJ467" s="64"/>
    </row>
    <row r="468" spans="1:36" s="65" customFormat="1" ht="20.100000000000001" customHeight="1" x14ac:dyDescent="0.2">
      <c r="A468" s="156">
        <v>10</v>
      </c>
      <c r="B468" s="156"/>
      <c r="C468" s="107">
        <v>0.03</v>
      </c>
      <c r="D468" s="107"/>
      <c r="E468" s="89" t="s">
        <v>152</v>
      </c>
      <c r="F468" s="89"/>
      <c r="G468" s="106" t="str">
        <f t="shared" si="55"/>
        <v>Novo</v>
      </c>
      <c r="H468" s="106"/>
      <c r="I468" s="106"/>
      <c r="J468" s="106"/>
      <c r="K468" s="106"/>
      <c r="L468" s="106"/>
      <c r="M468" s="106"/>
      <c r="N468" s="106"/>
      <c r="O468" s="92">
        <f t="shared" si="56"/>
        <v>0</v>
      </c>
      <c r="P468" s="92"/>
      <c r="Q468" s="92"/>
      <c r="R468" s="93">
        <f t="shared" si="57"/>
        <v>0</v>
      </c>
      <c r="S468" s="93"/>
      <c r="T468" s="93"/>
      <c r="U468" s="64"/>
      <c r="V468" s="65" t="s">
        <v>171</v>
      </c>
      <c r="W468" s="65">
        <v>75.2</v>
      </c>
      <c r="X468" s="65" t="s">
        <v>172</v>
      </c>
      <c r="AE468" s="64"/>
      <c r="AJ468" s="64"/>
    </row>
    <row r="469" spans="1:36" s="65" customFormat="1" ht="20.100000000000001" customHeight="1" x14ac:dyDescent="0.2">
      <c r="A469" s="156">
        <v>11</v>
      </c>
      <c r="B469" s="156"/>
      <c r="C469" s="107">
        <v>4.4999999999999998E-2</v>
      </c>
      <c r="D469" s="107"/>
      <c r="E469" s="89" t="s">
        <v>67</v>
      </c>
      <c r="F469" s="89"/>
      <c r="G469" s="106" t="str">
        <f t="shared" si="55"/>
        <v>Sem valor</v>
      </c>
      <c r="H469" s="106"/>
      <c r="I469" s="106"/>
      <c r="J469" s="106"/>
      <c r="K469" s="106"/>
      <c r="L469" s="106"/>
      <c r="M469" s="106"/>
      <c r="N469" s="106"/>
      <c r="O469" s="92">
        <f t="shared" si="56"/>
        <v>100</v>
      </c>
      <c r="P469" s="92"/>
      <c r="Q469" s="92"/>
      <c r="R469" s="93">
        <f t="shared" si="57"/>
        <v>4.5</v>
      </c>
      <c r="S469" s="93"/>
      <c r="T469" s="93"/>
      <c r="U469" s="64"/>
      <c r="V469" s="65" t="s">
        <v>67</v>
      </c>
      <c r="W469" s="65">
        <v>100</v>
      </c>
      <c r="X469" s="65" t="s">
        <v>174</v>
      </c>
      <c r="AE469" s="64"/>
      <c r="AJ469" s="64"/>
    </row>
    <row r="470" spans="1:36" s="65" customFormat="1" ht="20.100000000000001" customHeight="1" x14ac:dyDescent="0.2">
      <c r="A470" s="156">
        <v>12</v>
      </c>
      <c r="B470" s="156"/>
      <c r="C470" s="107">
        <v>0.01</v>
      </c>
      <c r="D470" s="107"/>
      <c r="E470" s="89" t="s">
        <v>67</v>
      </c>
      <c r="F470" s="89"/>
      <c r="G470" s="106" t="str">
        <f t="shared" si="55"/>
        <v>Sem valor</v>
      </c>
      <c r="H470" s="106"/>
      <c r="I470" s="106"/>
      <c r="J470" s="106"/>
      <c r="K470" s="106"/>
      <c r="L470" s="106"/>
      <c r="M470" s="106"/>
      <c r="N470" s="106"/>
      <c r="O470" s="92">
        <f t="shared" si="56"/>
        <v>100</v>
      </c>
      <c r="P470" s="92"/>
      <c r="Q470" s="92"/>
      <c r="R470" s="93">
        <f t="shared" si="57"/>
        <v>1</v>
      </c>
      <c r="S470" s="93"/>
      <c r="T470" s="93"/>
      <c r="U470" s="64"/>
      <c r="AE470" s="64"/>
      <c r="AJ470" s="64"/>
    </row>
    <row r="471" spans="1:36" s="65" customFormat="1" ht="20.100000000000001" customHeight="1" x14ac:dyDescent="0.2">
      <c r="A471" s="156">
        <v>13</v>
      </c>
      <c r="B471" s="156"/>
      <c r="C471" s="107">
        <v>7.0000000000000007E-2</v>
      </c>
      <c r="D471" s="107"/>
      <c r="E471" s="89" t="s">
        <v>152</v>
      </c>
      <c r="F471" s="89"/>
      <c r="G471" s="106" t="str">
        <f t="shared" si="55"/>
        <v>Novo</v>
      </c>
      <c r="H471" s="106"/>
      <c r="I471" s="106"/>
      <c r="J471" s="106"/>
      <c r="K471" s="106"/>
      <c r="L471" s="106"/>
      <c r="M471" s="106"/>
      <c r="N471" s="106"/>
      <c r="O471" s="92">
        <f t="shared" si="56"/>
        <v>0</v>
      </c>
      <c r="P471" s="92"/>
      <c r="Q471" s="92"/>
      <c r="R471" s="93">
        <f t="shared" si="57"/>
        <v>0</v>
      </c>
      <c r="S471" s="93"/>
      <c r="T471" s="93"/>
      <c r="U471" s="64"/>
      <c r="V471" s="64"/>
      <c r="AE471" s="64"/>
      <c r="AJ471" s="64"/>
    </row>
    <row r="472" spans="1:36" s="65" customFormat="1" ht="20.100000000000001" customHeight="1" x14ac:dyDescent="0.2">
      <c r="A472" s="156">
        <v>14</v>
      </c>
      <c r="B472" s="156"/>
      <c r="C472" s="107">
        <v>1.4999999999999999E-2</v>
      </c>
      <c r="D472" s="107"/>
      <c r="E472" s="89" t="s">
        <v>152</v>
      </c>
      <c r="F472" s="89"/>
      <c r="G472" s="106" t="str">
        <f t="shared" si="55"/>
        <v>Novo</v>
      </c>
      <c r="H472" s="106"/>
      <c r="I472" s="106"/>
      <c r="J472" s="106"/>
      <c r="K472" s="106"/>
      <c r="L472" s="106"/>
      <c r="M472" s="106"/>
      <c r="N472" s="106"/>
      <c r="O472" s="92">
        <f t="shared" si="56"/>
        <v>0</v>
      </c>
      <c r="P472" s="92"/>
      <c r="Q472" s="92"/>
      <c r="R472" s="93">
        <f t="shared" si="57"/>
        <v>0</v>
      </c>
      <c r="S472" s="93"/>
      <c r="T472" s="93"/>
      <c r="U472" s="64"/>
      <c r="V472" s="64"/>
      <c r="AE472" s="64"/>
      <c r="AJ472" s="64"/>
    </row>
    <row r="473" spans="1:36" s="65" customFormat="1" ht="20.100000000000001" customHeight="1" x14ac:dyDescent="0.2">
      <c r="A473" s="156">
        <v>15</v>
      </c>
      <c r="B473" s="156"/>
      <c r="C473" s="107">
        <v>3.3000000000000002E-2</v>
      </c>
      <c r="D473" s="107"/>
      <c r="E473" s="89" t="s">
        <v>152</v>
      </c>
      <c r="F473" s="89"/>
      <c r="G473" s="106" t="str">
        <f t="shared" si="55"/>
        <v>Novo</v>
      </c>
      <c r="H473" s="106"/>
      <c r="I473" s="106"/>
      <c r="J473" s="106"/>
      <c r="K473" s="106"/>
      <c r="L473" s="106"/>
      <c r="M473" s="106"/>
      <c r="N473" s="106"/>
      <c r="O473" s="92">
        <f t="shared" si="56"/>
        <v>0</v>
      </c>
      <c r="P473" s="92"/>
      <c r="Q473" s="92"/>
      <c r="R473" s="93">
        <f t="shared" si="57"/>
        <v>0</v>
      </c>
      <c r="S473" s="93"/>
      <c r="T473" s="93"/>
      <c r="U473" s="64"/>
      <c r="V473" s="64"/>
      <c r="AE473" s="64"/>
      <c r="AJ473" s="64"/>
    </row>
    <row r="474" spans="1:36" s="65" customFormat="1" ht="20.100000000000001" customHeight="1" x14ac:dyDescent="0.2">
      <c r="A474" s="156">
        <v>16</v>
      </c>
      <c r="B474" s="156"/>
      <c r="C474" s="107">
        <v>1.7000000000000001E-2</v>
      </c>
      <c r="D474" s="107"/>
      <c r="E474" s="89" t="s">
        <v>152</v>
      </c>
      <c r="F474" s="89"/>
      <c r="G474" s="106" t="str">
        <f t="shared" si="55"/>
        <v>Novo</v>
      </c>
      <c r="H474" s="106"/>
      <c r="I474" s="106"/>
      <c r="J474" s="106"/>
      <c r="K474" s="106"/>
      <c r="L474" s="106"/>
      <c r="M474" s="106"/>
      <c r="N474" s="106"/>
      <c r="O474" s="92">
        <f t="shared" si="56"/>
        <v>0</v>
      </c>
      <c r="P474" s="92"/>
      <c r="Q474" s="92"/>
      <c r="R474" s="93">
        <f t="shared" si="57"/>
        <v>0</v>
      </c>
      <c r="S474" s="93"/>
      <c r="T474" s="93"/>
      <c r="U474" s="64"/>
      <c r="V474" s="64"/>
      <c r="AE474" s="64"/>
      <c r="AJ474" s="64"/>
    </row>
    <row r="475" spans="1:36" s="65" customFormat="1" ht="20.100000000000001" customHeight="1" x14ac:dyDescent="0.2">
      <c r="A475" s="156">
        <v>17</v>
      </c>
      <c r="B475" s="156"/>
      <c r="C475" s="107">
        <v>1.4999999999999999E-2</v>
      </c>
      <c r="D475" s="107"/>
      <c r="E475" s="89" t="s">
        <v>67</v>
      </c>
      <c r="F475" s="89"/>
      <c r="G475" s="106" t="str">
        <f t="shared" si="55"/>
        <v>Sem valor</v>
      </c>
      <c r="H475" s="106"/>
      <c r="I475" s="106"/>
      <c r="J475" s="106"/>
      <c r="K475" s="106"/>
      <c r="L475" s="106"/>
      <c r="M475" s="106"/>
      <c r="N475" s="106"/>
      <c r="O475" s="92">
        <f t="shared" si="56"/>
        <v>100</v>
      </c>
      <c r="P475" s="92"/>
      <c r="Q475" s="92"/>
      <c r="R475" s="93">
        <f t="shared" si="57"/>
        <v>1.5</v>
      </c>
      <c r="S475" s="93"/>
      <c r="T475" s="93"/>
      <c r="U475" s="64"/>
      <c r="V475" s="64"/>
      <c r="AE475" s="64"/>
      <c r="AJ475" s="64"/>
    </row>
    <row r="476" spans="1:36" s="65" customFormat="1" ht="20.100000000000001" customHeight="1" x14ac:dyDescent="0.2">
      <c r="A476" s="156">
        <v>18</v>
      </c>
      <c r="B476" s="156"/>
      <c r="C476" s="107">
        <v>3.5000000000000003E-2</v>
      </c>
      <c r="D476" s="107"/>
      <c r="E476" s="89" t="s">
        <v>67</v>
      </c>
      <c r="F476" s="89"/>
      <c r="G476" s="106" t="str">
        <f t="shared" si="55"/>
        <v>Sem valor</v>
      </c>
      <c r="H476" s="106"/>
      <c r="I476" s="106"/>
      <c r="J476" s="106"/>
      <c r="K476" s="106"/>
      <c r="L476" s="106"/>
      <c r="M476" s="106"/>
      <c r="N476" s="106"/>
      <c r="O476" s="92">
        <f t="shared" si="56"/>
        <v>100</v>
      </c>
      <c r="P476" s="92"/>
      <c r="Q476" s="92"/>
      <c r="R476" s="93">
        <f t="shared" si="57"/>
        <v>3.5000000000000004</v>
      </c>
      <c r="S476" s="93"/>
      <c r="T476" s="93"/>
      <c r="U476" s="64"/>
      <c r="V476" s="64"/>
      <c r="AE476" s="64"/>
      <c r="AJ476" s="64"/>
    </row>
    <row r="477" spans="1:36" s="65" customFormat="1" ht="20.100000000000001" customHeight="1" x14ac:dyDescent="0.2">
      <c r="A477" s="156">
        <v>19</v>
      </c>
      <c r="B477" s="156"/>
      <c r="C477" s="107">
        <v>0.01</v>
      </c>
      <c r="D477" s="107"/>
      <c r="E477" s="89" t="s">
        <v>152</v>
      </c>
      <c r="F477" s="89"/>
      <c r="G477" s="106" t="str">
        <f t="shared" si="55"/>
        <v>Novo</v>
      </c>
      <c r="H477" s="106"/>
      <c r="I477" s="106"/>
      <c r="J477" s="106"/>
      <c r="K477" s="106"/>
      <c r="L477" s="106"/>
      <c r="M477" s="106"/>
      <c r="N477" s="106"/>
      <c r="O477" s="92">
        <f t="shared" si="56"/>
        <v>0</v>
      </c>
      <c r="P477" s="92"/>
      <c r="Q477" s="92"/>
      <c r="R477" s="93">
        <f t="shared" si="57"/>
        <v>0</v>
      </c>
      <c r="S477" s="93"/>
      <c r="T477" s="93"/>
      <c r="U477" s="64"/>
      <c r="V477" s="64"/>
      <c r="AE477" s="64"/>
      <c r="AJ477" s="64"/>
    </row>
    <row r="478" spans="1:36" s="65" customFormat="1" ht="20.100000000000001" customHeight="1" x14ac:dyDescent="0.2">
      <c r="A478" s="156">
        <v>20</v>
      </c>
      <c r="B478" s="156"/>
      <c r="C478" s="107">
        <v>2.5000000000000001E-2</v>
      </c>
      <c r="D478" s="107"/>
      <c r="E478" s="89" t="s">
        <v>152</v>
      </c>
      <c r="F478" s="89"/>
      <c r="G478" s="106" t="str">
        <f t="shared" si="55"/>
        <v>Novo</v>
      </c>
      <c r="H478" s="106"/>
      <c r="I478" s="106"/>
      <c r="J478" s="106"/>
      <c r="K478" s="106"/>
      <c r="L478" s="106"/>
      <c r="M478" s="106"/>
      <c r="N478" s="106"/>
      <c r="O478" s="92">
        <f t="shared" si="56"/>
        <v>0</v>
      </c>
      <c r="P478" s="92"/>
      <c r="Q478" s="92"/>
      <c r="R478" s="93">
        <f t="shared" si="57"/>
        <v>0</v>
      </c>
      <c r="S478" s="93"/>
      <c r="T478" s="93"/>
      <c r="U478" s="64"/>
      <c r="V478" s="64"/>
      <c r="AE478" s="64"/>
      <c r="AJ478" s="64"/>
    </row>
    <row r="479" spans="1:36" s="65" customFormat="1" ht="20.100000000000001" customHeight="1" x14ac:dyDescent="0.2">
      <c r="A479" s="156">
        <v>21</v>
      </c>
      <c r="B479" s="156"/>
      <c r="C479" s="107">
        <v>1.2999999999999999E-2</v>
      </c>
      <c r="D479" s="107"/>
      <c r="E479" s="89" t="s">
        <v>67</v>
      </c>
      <c r="F479" s="89"/>
      <c r="G479" s="106" t="str">
        <f t="shared" si="55"/>
        <v>Sem valor</v>
      </c>
      <c r="H479" s="106"/>
      <c r="I479" s="106"/>
      <c r="J479" s="106"/>
      <c r="K479" s="106"/>
      <c r="L479" s="106"/>
      <c r="M479" s="106"/>
      <c r="N479" s="106"/>
      <c r="O479" s="92">
        <f t="shared" si="56"/>
        <v>100</v>
      </c>
      <c r="P479" s="92"/>
      <c r="Q479" s="92"/>
      <c r="R479" s="93">
        <f t="shared" si="57"/>
        <v>1.3</v>
      </c>
      <c r="S479" s="93"/>
      <c r="T479" s="93"/>
      <c r="U479" s="64"/>
      <c r="V479" s="64"/>
      <c r="AE479" s="64"/>
      <c r="AJ479" s="64"/>
    </row>
    <row r="480" spans="1:36" s="65" customFormat="1" ht="20.100000000000001" customHeight="1" x14ac:dyDescent="0.25">
      <c r="A480" s="64"/>
      <c r="B480" s="64"/>
      <c r="C480" s="64"/>
      <c r="D480" s="64"/>
      <c r="E480" s="64"/>
      <c r="F480" s="64"/>
      <c r="G480" s="64"/>
      <c r="H480" s="64"/>
      <c r="I480" s="64"/>
      <c r="J480" s="64"/>
      <c r="K480" s="64"/>
      <c r="L480" s="64"/>
      <c r="M480" s="64"/>
      <c r="N480" s="64"/>
      <c r="O480" s="64"/>
      <c r="P480" s="64"/>
      <c r="Q480" s="64"/>
      <c r="R480" s="64"/>
      <c r="S480" s="64"/>
      <c r="T480" s="64"/>
      <c r="U480" s="64"/>
      <c r="V480" s="64"/>
      <c r="AE480" s="64"/>
      <c r="AJ480" s="64"/>
    </row>
    <row r="481" spans="1:36" s="65" customFormat="1" ht="20.100000000000001" customHeight="1" x14ac:dyDescent="0.2">
      <c r="A481" s="105" t="s">
        <v>337</v>
      </c>
      <c r="B481" s="105"/>
      <c r="C481" s="105"/>
      <c r="D481" s="105"/>
      <c r="E481" s="105"/>
      <c r="F481" s="105"/>
      <c r="G481" s="105"/>
      <c r="H481" s="105"/>
      <c r="I481" s="105"/>
      <c r="J481" s="105"/>
      <c r="K481" s="105"/>
      <c r="L481" s="105"/>
      <c r="M481" s="105"/>
      <c r="N481" s="105"/>
      <c r="O481" s="105"/>
      <c r="P481" s="105"/>
      <c r="Q481" s="105"/>
      <c r="R481" s="105"/>
      <c r="S481" s="105"/>
      <c r="T481" s="105"/>
      <c r="U481" s="64"/>
      <c r="V481" s="64"/>
      <c r="AE481" s="64"/>
      <c r="AJ481" s="64"/>
    </row>
    <row r="482" spans="1:36" s="65" customFormat="1" ht="20.100000000000001" customHeight="1" x14ac:dyDescent="0.2">
      <c r="A482" s="68"/>
      <c r="B482" s="68"/>
      <c r="C482" s="68"/>
      <c r="D482" s="68"/>
      <c r="E482" s="68"/>
      <c r="F482" s="68"/>
      <c r="G482" s="68"/>
      <c r="H482" s="68"/>
      <c r="I482" s="68"/>
      <c r="J482" s="68"/>
      <c r="K482" s="68"/>
      <c r="L482" s="68"/>
      <c r="M482" s="68"/>
      <c r="N482" s="68"/>
      <c r="O482" s="68"/>
      <c r="P482" s="68"/>
      <c r="Q482" s="68"/>
      <c r="R482" s="64"/>
      <c r="S482" s="64"/>
      <c r="T482" s="68"/>
      <c r="V482" s="64"/>
      <c r="AE482" s="64"/>
      <c r="AJ482" s="64"/>
    </row>
    <row r="483" spans="1:36" s="65" customFormat="1" ht="20.100000000000001" customHeight="1" x14ac:dyDescent="0.2">
      <c r="A483" s="148" t="s">
        <v>338</v>
      </c>
      <c r="B483" s="148"/>
      <c r="C483" s="69"/>
      <c r="D483" s="147">
        <v>1</v>
      </c>
      <c r="E483" s="147"/>
      <c r="F483" s="67"/>
      <c r="G483" s="67"/>
      <c r="H483" s="67"/>
      <c r="I483" s="67"/>
      <c r="J483" s="64"/>
      <c r="K483" s="68"/>
      <c r="L483" s="148" t="s">
        <v>399</v>
      </c>
      <c r="M483" s="148"/>
      <c r="N483" s="148"/>
      <c r="O483" s="148"/>
      <c r="P483" s="148"/>
      <c r="Q483" s="148"/>
      <c r="R483" s="151">
        <f>SUM(R459:T479)</f>
        <v>11.825600000000001</v>
      </c>
      <c r="S483" s="151"/>
      <c r="T483" s="151"/>
      <c r="AE483" s="64"/>
      <c r="AJ483" s="64"/>
    </row>
    <row r="484" spans="1:36" s="65" customFormat="1" ht="20.100000000000001" customHeight="1" x14ac:dyDescent="0.2">
      <c r="A484" s="67"/>
      <c r="B484" s="67"/>
      <c r="C484" s="67"/>
      <c r="D484" s="67"/>
      <c r="E484" s="67"/>
      <c r="F484" s="67"/>
      <c r="G484" s="67"/>
      <c r="H484" s="67"/>
      <c r="I484" s="67"/>
      <c r="J484" s="67"/>
      <c r="K484" s="67"/>
      <c r="L484" s="67"/>
      <c r="M484" s="67"/>
      <c r="N484" s="67"/>
      <c r="O484" s="67"/>
      <c r="P484" s="67"/>
      <c r="Q484" s="67"/>
      <c r="R484" s="67"/>
      <c r="S484" s="64"/>
      <c r="T484" s="64"/>
      <c r="AE484" s="64"/>
      <c r="AJ484" s="64"/>
    </row>
    <row r="485" spans="1:36" s="65" customFormat="1" ht="20.100000000000001" customHeight="1" x14ac:dyDescent="0.25">
      <c r="A485" s="105" t="s">
        <v>400</v>
      </c>
      <c r="B485" s="105"/>
      <c r="C485" s="105"/>
      <c r="D485" s="105"/>
      <c r="E485" s="105"/>
      <c r="F485" s="105"/>
      <c r="G485" s="105"/>
      <c r="H485" s="105"/>
      <c r="I485" s="105"/>
      <c r="J485" s="105"/>
      <c r="K485" s="105"/>
      <c r="L485" s="105"/>
      <c r="M485" s="105"/>
      <c r="N485" s="105"/>
      <c r="O485" s="105"/>
      <c r="P485" s="105"/>
      <c r="Q485" s="105"/>
      <c r="R485" s="105"/>
      <c r="S485" s="146">
        <f>R483</f>
        <v>11.825600000000001</v>
      </c>
      <c r="T485" s="146"/>
      <c r="AE485" s="64"/>
      <c r="AJ485" s="64"/>
    </row>
    <row r="486" spans="1:36" s="65" customFormat="1" ht="20.100000000000001" customHeight="1" x14ac:dyDescent="0.25">
      <c r="A486" s="145"/>
      <c r="B486" s="145"/>
      <c r="C486" s="145"/>
      <c r="D486" s="145"/>
      <c r="E486" s="145"/>
      <c r="F486" s="145"/>
      <c r="G486" s="145"/>
      <c r="H486" s="145"/>
      <c r="I486" s="145"/>
      <c r="J486" s="145"/>
      <c r="K486" s="145"/>
      <c r="L486" s="145"/>
      <c r="M486" s="145"/>
      <c r="N486" s="145"/>
      <c r="O486" s="145"/>
      <c r="P486" s="145"/>
      <c r="Q486" s="145"/>
      <c r="R486" s="145"/>
      <c r="S486" s="146"/>
      <c r="T486" s="146"/>
      <c r="AE486" s="64"/>
      <c r="AJ486" s="64"/>
    </row>
    <row r="487" spans="1:36" s="65" customFormat="1" ht="20.100000000000001" customHeight="1" x14ac:dyDescent="0.25">
      <c r="A487" s="64"/>
      <c r="B487" s="64"/>
      <c r="C487" s="64"/>
      <c r="D487" s="64"/>
      <c r="E487" s="64"/>
      <c r="F487" s="64"/>
      <c r="G487" s="64"/>
      <c r="H487" s="64"/>
      <c r="I487" s="64"/>
      <c r="J487" s="64"/>
      <c r="K487" s="64"/>
      <c r="L487" s="64"/>
      <c r="M487" s="64"/>
      <c r="N487" s="64"/>
      <c r="O487" s="64"/>
      <c r="P487" s="64"/>
      <c r="Q487" s="64"/>
      <c r="R487" s="64"/>
      <c r="S487" s="64"/>
      <c r="T487" s="64"/>
      <c r="AE487" s="64"/>
      <c r="AJ487" s="64"/>
    </row>
    <row r="488" spans="1:36" s="65" customFormat="1" ht="20.100000000000001" customHeight="1" x14ac:dyDescent="0.25">
      <c r="A488" s="64"/>
      <c r="B488" s="64"/>
      <c r="C488" s="64"/>
      <c r="D488" s="64"/>
      <c r="E488" s="64"/>
      <c r="F488" s="64"/>
      <c r="G488" s="64"/>
      <c r="H488" s="64"/>
      <c r="I488" s="64"/>
      <c r="J488" s="64"/>
      <c r="K488" s="64"/>
      <c r="L488" s="64"/>
      <c r="M488" s="64"/>
      <c r="N488" s="64"/>
      <c r="O488" s="64"/>
      <c r="P488" s="64"/>
      <c r="Q488" s="64"/>
      <c r="R488" s="64"/>
      <c r="S488" s="64"/>
      <c r="T488" s="64"/>
      <c r="AE488" s="64"/>
      <c r="AJ488" s="64"/>
    </row>
    <row r="489" spans="1:36" s="65" customFormat="1" ht="20.100000000000001" customHeight="1" x14ac:dyDescent="0.25">
      <c r="A489" s="96" t="s">
        <v>339</v>
      </c>
      <c r="B489" s="96"/>
      <c r="C489" s="96"/>
      <c r="D489" s="96"/>
      <c r="E489" s="96"/>
      <c r="F489" s="96"/>
      <c r="G489" s="96"/>
      <c r="H489" s="96"/>
      <c r="I489" s="96"/>
      <c r="J489" s="96"/>
      <c r="K489" s="96"/>
      <c r="L489" s="96"/>
      <c r="M489" s="96"/>
      <c r="N489" s="96"/>
      <c r="O489" s="96"/>
      <c r="P489" s="96"/>
      <c r="Q489" s="96"/>
      <c r="R489" s="96"/>
      <c r="S489" s="96"/>
      <c r="T489" s="96"/>
      <c r="AE489" s="64"/>
      <c r="AJ489" s="64"/>
    </row>
    <row r="490" spans="1:36" s="65" customFormat="1" ht="20.100000000000001" customHeight="1" x14ac:dyDescent="0.25">
      <c r="A490" s="64"/>
      <c r="B490" s="64"/>
      <c r="C490" s="64"/>
      <c r="D490" s="64"/>
      <c r="E490" s="64"/>
      <c r="F490" s="64"/>
      <c r="G490" s="64"/>
      <c r="H490" s="64"/>
      <c r="I490" s="64"/>
      <c r="J490" s="64"/>
      <c r="K490" s="64"/>
      <c r="L490" s="64"/>
      <c r="M490" s="64"/>
      <c r="N490" s="64"/>
      <c r="O490" s="64"/>
      <c r="P490" s="64"/>
      <c r="Q490" s="64"/>
      <c r="R490" s="64"/>
      <c r="S490" s="64"/>
      <c r="T490" s="64"/>
      <c r="AE490" s="64"/>
      <c r="AJ490" s="64"/>
    </row>
    <row r="491" spans="1:36" s="65" customFormat="1" ht="20.100000000000001" customHeight="1" x14ac:dyDescent="0.25">
      <c r="A491" s="64"/>
      <c r="B491" s="64"/>
      <c r="C491" s="64"/>
      <c r="D491" s="64"/>
      <c r="E491" s="88"/>
      <c r="F491" s="88"/>
      <c r="G491" s="88"/>
      <c r="H491" s="88"/>
      <c r="I491" s="88"/>
      <c r="J491" s="88"/>
      <c r="K491" s="88"/>
      <c r="L491" s="88"/>
      <c r="M491" s="88"/>
      <c r="N491" s="64"/>
      <c r="O491" s="64"/>
      <c r="P491" s="64"/>
      <c r="Q491" s="64"/>
      <c r="R491" s="64"/>
      <c r="S491" s="64"/>
      <c r="T491" s="64"/>
      <c r="AE491" s="64"/>
      <c r="AJ491" s="64"/>
    </row>
    <row r="492" spans="1:36" s="65" customFormat="1" ht="20.100000000000001" customHeight="1" x14ac:dyDescent="0.25">
      <c r="A492" s="64"/>
      <c r="B492" s="64"/>
      <c r="C492" s="64"/>
      <c r="D492" s="64"/>
      <c r="E492" s="88"/>
      <c r="F492" s="88"/>
      <c r="G492" s="88"/>
      <c r="H492" s="88"/>
      <c r="I492" s="88"/>
      <c r="J492" s="88"/>
      <c r="K492" s="88"/>
      <c r="L492" s="88"/>
      <c r="M492" s="88"/>
      <c r="N492" s="64"/>
      <c r="O492" s="64"/>
      <c r="P492" s="64"/>
      <c r="Q492" s="64"/>
      <c r="R492" s="64"/>
      <c r="S492" s="64"/>
      <c r="T492" s="64"/>
      <c r="AE492" s="64"/>
      <c r="AJ492" s="64"/>
    </row>
    <row r="493" spans="1:36" s="65" customFormat="1" ht="20.100000000000001" customHeight="1" x14ac:dyDescent="0.25">
      <c r="A493" s="64"/>
      <c r="B493" s="64"/>
      <c r="C493" s="64"/>
      <c r="D493" s="64"/>
      <c r="E493" s="88"/>
      <c r="F493" s="88"/>
      <c r="G493" s="88"/>
      <c r="H493" s="88"/>
      <c r="I493" s="88"/>
      <c r="J493" s="88"/>
      <c r="K493" s="88"/>
      <c r="L493" s="88"/>
      <c r="M493" s="88"/>
      <c r="N493" s="64"/>
      <c r="O493" s="64"/>
      <c r="P493" s="64"/>
      <c r="Q493" s="64"/>
      <c r="R493" s="64"/>
      <c r="S493" s="64"/>
      <c r="T493" s="64"/>
      <c r="AE493" s="64"/>
      <c r="AJ493" s="64"/>
    </row>
    <row r="494" spans="1:36" s="65" customFormat="1" ht="20.100000000000001" customHeight="1" x14ac:dyDescent="0.25">
      <c r="A494" s="64"/>
      <c r="B494" s="64"/>
      <c r="C494" s="64"/>
      <c r="D494" s="64"/>
      <c r="E494" s="88"/>
      <c r="F494" s="88"/>
      <c r="G494" s="88"/>
      <c r="H494" s="88"/>
      <c r="I494" s="88"/>
      <c r="J494" s="88"/>
      <c r="K494" s="88"/>
      <c r="L494" s="88"/>
      <c r="M494" s="88"/>
      <c r="N494" s="64"/>
      <c r="O494" s="64"/>
      <c r="P494" s="64"/>
      <c r="Q494" s="64"/>
      <c r="R494" s="64"/>
      <c r="S494" s="64"/>
      <c r="T494" s="64"/>
      <c r="AE494" s="64"/>
      <c r="AJ494" s="64"/>
    </row>
    <row r="495" spans="1:36" s="65" customFormat="1" ht="20.100000000000001" customHeight="1" x14ac:dyDescent="0.25">
      <c r="A495" s="64"/>
      <c r="B495" s="64"/>
      <c r="C495" s="64"/>
      <c r="D495" s="64"/>
      <c r="E495" s="88"/>
      <c r="F495" s="88"/>
      <c r="G495" s="88"/>
      <c r="H495" s="88"/>
      <c r="I495" s="88"/>
      <c r="J495" s="88"/>
      <c r="K495" s="88"/>
      <c r="L495" s="88"/>
      <c r="M495" s="88"/>
      <c r="N495" s="64"/>
      <c r="O495" s="64"/>
      <c r="P495" s="64"/>
      <c r="Q495" s="64"/>
      <c r="R495" s="64"/>
      <c r="S495" s="64"/>
      <c r="T495" s="64"/>
      <c r="AE495" s="64"/>
      <c r="AJ495" s="64"/>
    </row>
    <row r="496" spans="1:36" s="65" customFormat="1" ht="20.100000000000001" customHeight="1" x14ac:dyDescent="0.25">
      <c r="A496" s="64"/>
      <c r="B496" s="64"/>
      <c r="C496" s="64"/>
      <c r="D496" s="64"/>
      <c r="E496" s="88"/>
      <c r="F496" s="88"/>
      <c r="G496" s="88"/>
      <c r="H496" s="88"/>
      <c r="I496" s="88"/>
      <c r="J496" s="88"/>
      <c r="K496" s="88"/>
      <c r="L496" s="88"/>
      <c r="M496" s="88"/>
      <c r="N496" s="64"/>
      <c r="O496" s="64"/>
      <c r="P496" s="64"/>
      <c r="Q496" s="64"/>
      <c r="R496" s="64"/>
      <c r="S496" s="64"/>
      <c r="T496" s="64"/>
      <c r="AE496" s="64"/>
      <c r="AJ496" s="64"/>
    </row>
    <row r="497" spans="1:36" s="65" customFormat="1" ht="20.100000000000001" customHeight="1" x14ac:dyDescent="0.25">
      <c r="A497" s="64"/>
      <c r="B497" s="64"/>
      <c r="C497" s="64"/>
      <c r="D497" s="64"/>
      <c r="E497" s="88"/>
      <c r="F497" s="88"/>
      <c r="G497" s="88"/>
      <c r="H497" s="88"/>
      <c r="I497" s="88"/>
      <c r="J497" s="88"/>
      <c r="K497" s="88"/>
      <c r="L497" s="88"/>
      <c r="M497" s="88"/>
      <c r="N497" s="64"/>
      <c r="O497" s="64"/>
      <c r="P497" s="64"/>
      <c r="Q497" s="64"/>
      <c r="R497" s="64"/>
      <c r="S497" s="64"/>
      <c r="T497" s="64"/>
      <c r="AE497" s="64"/>
      <c r="AJ497" s="64"/>
    </row>
    <row r="498" spans="1:36" s="65" customFormat="1" ht="20.100000000000001" customHeight="1" x14ac:dyDescent="0.25">
      <c r="A498" s="64"/>
      <c r="B498" s="64"/>
      <c r="C498" s="64"/>
      <c r="D498" s="64"/>
      <c r="E498" s="88"/>
      <c r="F498" s="88"/>
      <c r="G498" s="88"/>
      <c r="H498" s="88"/>
      <c r="I498" s="88"/>
      <c r="J498" s="88"/>
      <c r="K498" s="88"/>
      <c r="L498" s="88"/>
      <c r="M498" s="88"/>
      <c r="N498" s="64"/>
      <c r="O498" s="64"/>
      <c r="P498" s="64"/>
      <c r="Q498" s="64"/>
      <c r="R498" s="64"/>
      <c r="S498" s="64"/>
      <c r="T498" s="64"/>
      <c r="AE498" s="64"/>
      <c r="AJ498" s="64"/>
    </row>
    <row r="499" spans="1:36" s="65" customFormat="1" ht="20.100000000000001" customHeight="1" x14ac:dyDescent="0.25">
      <c r="A499" s="64"/>
      <c r="B499" s="64"/>
      <c r="C499" s="64"/>
      <c r="D499" s="64"/>
      <c r="E499" s="88"/>
      <c r="F499" s="88"/>
      <c r="G499" s="88"/>
      <c r="H499" s="88"/>
      <c r="I499" s="88"/>
      <c r="J499" s="88"/>
      <c r="K499" s="88"/>
      <c r="L499" s="88"/>
      <c r="M499" s="88"/>
      <c r="N499" s="64"/>
      <c r="O499" s="64"/>
      <c r="P499" s="64"/>
      <c r="Q499" s="64"/>
      <c r="R499" s="64"/>
      <c r="S499" s="64"/>
      <c r="T499" s="64"/>
      <c r="AE499" s="64"/>
      <c r="AJ499" s="64"/>
    </row>
    <row r="500" spans="1:36" s="65" customFormat="1" ht="20.100000000000001" customHeight="1" x14ac:dyDescent="0.25">
      <c r="A500" s="64"/>
      <c r="B500" s="64"/>
      <c r="C500" s="64"/>
      <c r="D500" s="64"/>
      <c r="E500" s="88"/>
      <c r="F500" s="88"/>
      <c r="G500" s="88"/>
      <c r="H500" s="88"/>
      <c r="I500" s="88"/>
      <c r="J500" s="88"/>
      <c r="K500" s="88"/>
      <c r="L500" s="88"/>
      <c r="M500" s="88"/>
      <c r="N500" s="64"/>
      <c r="O500" s="64"/>
      <c r="P500" s="64"/>
      <c r="Q500" s="64"/>
      <c r="R500" s="64"/>
      <c r="S500" s="64"/>
      <c r="T500" s="64"/>
      <c r="AE500" s="64"/>
      <c r="AJ500" s="64"/>
    </row>
    <row r="501" spans="1:36" s="65" customFormat="1" ht="20.100000000000001" customHeight="1" x14ac:dyDescent="0.25">
      <c r="A501" s="64"/>
      <c r="B501" s="64"/>
      <c r="C501" s="64"/>
      <c r="D501" s="64"/>
      <c r="E501" s="64"/>
      <c r="F501" s="64"/>
      <c r="G501" s="64"/>
      <c r="H501" s="64"/>
      <c r="I501" s="64"/>
      <c r="J501" s="64"/>
      <c r="K501" s="64"/>
      <c r="L501" s="64"/>
      <c r="M501" s="64"/>
      <c r="N501" s="64"/>
      <c r="O501" s="64"/>
      <c r="P501" s="64"/>
      <c r="Q501" s="88"/>
      <c r="R501" s="88"/>
      <c r="S501" s="88"/>
      <c r="T501" s="88"/>
      <c r="AE501" s="64"/>
      <c r="AJ501" s="64"/>
    </row>
    <row r="502" spans="1:36" s="65" customFormat="1" ht="20.100000000000001" customHeight="1" x14ac:dyDescent="0.25">
      <c r="A502" s="97" t="s">
        <v>253</v>
      </c>
      <c r="B502" s="97"/>
      <c r="C502" s="97"/>
      <c r="D502" s="97"/>
      <c r="E502" s="97"/>
      <c r="F502" s="97"/>
      <c r="G502" s="97"/>
      <c r="H502" s="97"/>
      <c r="I502" s="97"/>
      <c r="J502" s="97"/>
      <c r="K502" s="97"/>
      <c r="L502" s="97"/>
      <c r="M502" s="97"/>
      <c r="N502" s="97"/>
      <c r="O502" s="97"/>
      <c r="P502" s="97"/>
      <c r="Q502" s="149"/>
      <c r="R502" s="149"/>
      <c r="S502" s="149"/>
      <c r="T502" s="149"/>
      <c r="U502" s="64"/>
      <c r="V502" s="64"/>
      <c r="AE502" s="64"/>
      <c r="AJ502" s="64"/>
    </row>
    <row r="503" spans="1:36" s="65" customFormat="1" ht="20.100000000000001" customHeight="1" x14ac:dyDescent="0.25">
      <c r="A503" s="64"/>
      <c r="B503" s="64"/>
      <c r="C503" s="64"/>
      <c r="D503" s="64"/>
      <c r="E503" s="64"/>
      <c r="F503" s="64"/>
      <c r="G503" s="64"/>
      <c r="H503" s="64"/>
      <c r="I503" s="64"/>
      <c r="J503" s="64"/>
      <c r="K503" s="64"/>
      <c r="L503" s="64"/>
      <c r="M503" s="64"/>
      <c r="N503" s="64"/>
      <c r="O503" s="64"/>
      <c r="P503" s="64"/>
      <c r="Q503" s="64"/>
      <c r="R503" s="64"/>
      <c r="S503" s="64"/>
      <c r="T503" s="64"/>
      <c r="U503" s="64"/>
      <c r="V503" s="64"/>
      <c r="AE503" s="64"/>
      <c r="AJ503" s="64"/>
    </row>
    <row r="504" spans="1:36" s="65" customFormat="1" ht="20.100000000000001" customHeight="1" x14ac:dyDescent="0.25">
      <c r="A504" s="101" t="s">
        <v>343</v>
      </c>
      <c r="B504" s="101"/>
      <c r="C504" s="101"/>
      <c r="D504" s="101"/>
      <c r="E504" s="101"/>
      <c r="F504" s="101"/>
      <c r="G504" s="101"/>
      <c r="H504" s="101"/>
      <c r="I504" s="101"/>
      <c r="J504" s="101"/>
      <c r="K504" s="51"/>
      <c r="L504" s="51"/>
      <c r="M504" s="51"/>
      <c r="N504" s="152">
        <f>R483</f>
        <v>11.825600000000001</v>
      </c>
      <c r="O504" s="153"/>
      <c r="P504" s="153"/>
      <c r="Q504" s="153"/>
      <c r="R504" s="153"/>
      <c r="S504" s="153"/>
      <c r="T504" s="153"/>
      <c r="U504" s="64"/>
      <c r="V504" s="64"/>
      <c r="AE504" s="64"/>
      <c r="AJ504" s="64"/>
    </row>
    <row r="505" spans="1:36" s="65" customFormat="1" ht="20.100000000000001" customHeight="1" x14ac:dyDescent="0.25">
      <c r="A505" s="64"/>
      <c r="B505" s="64"/>
      <c r="C505" s="64"/>
      <c r="D505" s="64"/>
      <c r="E505" s="64"/>
      <c r="F505" s="64"/>
      <c r="G505" s="64"/>
      <c r="H505" s="64"/>
      <c r="I505" s="64"/>
      <c r="J505" s="64"/>
      <c r="K505" s="64"/>
      <c r="L505" s="64"/>
      <c r="M505" s="64"/>
      <c r="N505" s="64"/>
      <c r="O505" s="64"/>
      <c r="P505" s="64"/>
      <c r="Q505" s="64"/>
      <c r="R505" s="64"/>
      <c r="S505" s="64"/>
      <c r="T505" s="64"/>
      <c r="U505" s="64"/>
      <c r="V505" s="64"/>
      <c r="AE505" s="64"/>
      <c r="AJ505" s="64"/>
    </row>
    <row r="506" spans="1:36" s="65" customFormat="1" ht="20.100000000000001" customHeight="1" x14ac:dyDescent="0.25">
      <c r="A506" s="97" t="s">
        <v>254</v>
      </c>
      <c r="B506" s="97"/>
      <c r="C506" s="97"/>
      <c r="D506" s="97"/>
      <c r="E506" s="97"/>
      <c r="F506" s="97"/>
      <c r="G506" s="97"/>
      <c r="H506" s="97"/>
      <c r="I506" s="97"/>
      <c r="J506" s="97"/>
      <c r="K506" s="97"/>
      <c r="L506" s="97"/>
      <c r="M506" s="97"/>
      <c r="N506" s="70"/>
      <c r="O506" s="70"/>
      <c r="P506" s="70"/>
      <c r="Q506" s="154">
        <f>(L422)+(100-(L422))*(N504/100)</f>
        <v>19.023510204081632</v>
      </c>
      <c r="R506" s="154"/>
      <c r="S506" s="154"/>
      <c r="T506" s="154"/>
      <c r="U506" s="64"/>
      <c r="V506" s="64"/>
      <c r="AE506" s="64"/>
      <c r="AJ506" s="64"/>
    </row>
    <row r="507" spans="1:36" s="65" customFormat="1" ht="20.100000000000001" customHeight="1" x14ac:dyDescent="0.25">
      <c r="A507" s="97" t="s">
        <v>255</v>
      </c>
      <c r="B507" s="97"/>
      <c r="C507" s="97"/>
      <c r="D507" s="97"/>
      <c r="E507" s="97"/>
      <c r="F507" s="97"/>
      <c r="G507" s="97"/>
      <c r="H507" s="97"/>
      <c r="I507" s="97"/>
      <c r="J507" s="97"/>
      <c r="K507" s="97"/>
      <c r="L507" s="97"/>
      <c r="M507" s="97"/>
      <c r="N507" s="70"/>
      <c r="O507" s="70"/>
      <c r="P507" s="70"/>
      <c r="Q507" s="150">
        <f>-(Q506/100)</f>
        <v>-0.19023510204081631</v>
      </c>
      <c r="R507" s="150"/>
      <c r="S507" s="150"/>
      <c r="T507" s="150"/>
      <c r="U507" s="64"/>
      <c r="V507" s="64"/>
      <c r="AE507" s="64"/>
      <c r="AJ507" s="64"/>
    </row>
    <row r="508" spans="1:36" s="65" customFormat="1" ht="20.100000000000001" customHeight="1" x14ac:dyDescent="0.25">
      <c r="A508" s="101" t="s">
        <v>256</v>
      </c>
      <c r="B508" s="101"/>
      <c r="C508" s="101"/>
      <c r="D508" s="101"/>
      <c r="E508" s="101"/>
      <c r="F508" s="101"/>
      <c r="G508" s="101"/>
      <c r="H508" s="101"/>
      <c r="I508" s="101"/>
      <c r="J508" s="101"/>
      <c r="K508" s="101"/>
      <c r="L508" s="101"/>
      <c r="M508" s="101"/>
      <c r="N508" s="51"/>
      <c r="O508" s="51"/>
      <c r="P508" s="51"/>
      <c r="Q508" s="144">
        <f>1+Q507</f>
        <v>0.80976489795918372</v>
      </c>
      <c r="R508" s="144"/>
      <c r="S508" s="144"/>
      <c r="T508" s="144"/>
      <c r="U508" s="64"/>
      <c r="V508" s="64"/>
      <c r="AE508" s="64"/>
      <c r="AJ508" s="64"/>
    </row>
    <row r="509" spans="1:36" s="65" customFormat="1" ht="20.100000000000001" customHeight="1" x14ac:dyDescent="0.25">
      <c r="A509" s="64"/>
      <c r="B509" s="64"/>
      <c r="C509" s="64"/>
      <c r="D509" s="66"/>
      <c r="E509" s="64"/>
      <c r="F509" s="64"/>
      <c r="G509" s="64"/>
      <c r="H509" s="64"/>
      <c r="I509" s="64"/>
      <c r="J509" s="64"/>
      <c r="K509" s="64"/>
      <c r="L509" s="64"/>
      <c r="M509" s="64"/>
      <c r="N509" s="64"/>
      <c r="O509" s="64"/>
      <c r="P509" s="64"/>
      <c r="Q509" s="64"/>
      <c r="R509" s="64"/>
      <c r="S509" s="64"/>
      <c r="T509" s="64"/>
      <c r="U509" s="64"/>
      <c r="V509" s="64"/>
      <c r="AE509" s="64"/>
      <c r="AJ509" s="64"/>
    </row>
    <row r="510" spans="1:36" s="65" customFormat="1" ht="20.100000000000001" customHeight="1" x14ac:dyDescent="0.25">
      <c r="A510" s="97" t="s">
        <v>248</v>
      </c>
      <c r="B510" s="97"/>
      <c r="C510" s="97"/>
      <c r="D510" s="97"/>
      <c r="E510" s="97"/>
      <c r="F510" s="97"/>
      <c r="G510" s="97"/>
      <c r="H510" s="97"/>
      <c r="I510" s="97"/>
      <c r="J510" s="97"/>
      <c r="K510" s="97"/>
      <c r="L510" s="97"/>
      <c r="M510" s="97"/>
      <c r="N510" s="97"/>
      <c r="O510" s="108">
        <f>O407</f>
        <v>233309.16800000001</v>
      </c>
      <c r="P510" s="108"/>
      <c r="Q510" s="108"/>
      <c r="R510" s="108"/>
      <c r="S510" s="108"/>
      <c r="T510" s="108"/>
      <c r="U510" s="64"/>
      <c r="V510" s="64"/>
      <c r="AE510" s="64"/>
      <c r="AJ510" s="64"/>
    </row>
    <row r="511" spans="1:36" s="65" customFormat="1" ht="20.100000000000001" customHeight="1" x14ac:dyDescent="0.25">
      <c r="A511" s="97" t="s">
        <v>257</v>
      </c>
      <c r="B511" s="97"/>
      <c r="C511" s="97"/>
      <c r="D511" s="97"/>
      <c r="E511" s="97"/>
      <c r="F511" s="97"/>
      <c r="G511" s="97"/>
      <c r="H511" s="97"/>
      <c r="I511" s="97"/>
      <c r="J511" s="97"/>
      <c r="K511" s="97"/>
      <c r="L511" s="97"/>
      <c r="M511" s="97"/>
      <c r="N511" s="97"/>
      <c r="O511" s="108">
        <f>O510*Q507</f>
        <v>-44383.593381537954</v>
      </c>
      <c r="P511" s="108"/>
      <c r="Q511" s="108"/>
      <c r="R511" s="108"/>
      <c r="S511" s="108"/>
      <c r="T511" s="108"/>
      <c r="U511" s="64"/>
      <c r="V511" s="64"/>
      <c r="AE511" s="64"/>
      <c r="AJ511" s="64"/>
    </row>
    <row r="512" spans="1:36" s="65" customFormat="1" ht="20.100000000000001" customHeight="1" x14ac:dyDescent="0.25">
      <c r="A512" s="64"/>
      <c r="B512" s="64"/>
      <c r="C512" s="64"/>
      <c r="D512" s="64"/>
      <c r="E512" s="64"/>
      <c r="F512" s="64"/>
      <c r="G512" s="64"/>
      <c r="H512" s="64"/>
      <c r="I512" s="64"/>
      <c r="J512" s="64"/>
      <c r="K512" s="64"/>
      <c r="L512" s="64"/>
      <c r="M512" s="64"/>
      <c r="N512" s="64"/>
      <c r="O512" s="64"/>
      <c r="P512" s="64"/>
      <c r="Q512" s="64"/>
      <c r="R512" s="64"/>
      <c r="S512" s="64"/>
      <c r="T512" s="64"/>
      <c r="U512" s="64"/>
      <c r="V512" s="64"/>
      <c r="AE512" s="64"/>
      <c r="AJ512" s="64"/>
    </row>
    <row r="513" spans="1:36" s="65" customFormat="1" ht="20.100000000000001" customHeight="1" x14ac:dyDescent="0.25">
      <c r="A513" s="97" t="s">
        <v>258</v>
      </c>
      <c r="B513" s="97"/>
      <c r="C513" s="97"/>
      <c r="D513" s="97"/>
      <c r="E513" s="97"/>
      <c r="F513" s="97"/>
      <c r="G513" s="97"/>
      <c r="H513" s="97"/>
      <c r="I513" s="97"/>
      <c r="J513" s="97"/>
      <c r="K513" s="97"/>
      <c r="L513" s="97"/>
      <c r="M513" s="97"/>
      <c r="N513" s="97"/>
      <c r="O513" s="108">
        <f>O510+O511</f>
        <v>188925.57461846207</v>
      </c>
      <c r="P513" s="108"/>
      <c r="Q513" s="108"/>
      <c r="R513" s="108"/>
      <c r="S513" s="108"/>
      <c r="T513" s="108"/>
      <c r="U513" s="64"/>
      <c r="V513" s="64"/>
      <c r="AE513" s="64"/>
      <c r="AJ513" s="64"/>
    </row>
    <row r="514" spans="1:36" s="65" customFormat="1" ht="20.100000000000001" customHeight="1" x14ac:dyDescent="0.25">
      <c r="A514" s="64"/>
      <c r="B514" s="64"/>
      <c r="C514" s="64"/>
      <c r="D514" s="64"/>
      <c r="E514" s="64"/>
      <c r="F514" s="64"/>
      <c r="G514" s="64"/>
      <c r="H514" s="64"/>
      <c r="I514" s="64"/>
      <c r="J514" s="64"/>
      <c r="K514" s="64"/>
      <c r="L514" s="64"/>
      <c r="M514" s="64"/>
      <c r="N514" s="64"/>
      <c r="O514" s="64"/>
      <c r="P514" s="64"/>
      <c r="Q514" s="64"/>
      <c r="R514" s="64"/>
      <c r="S514" s="64"/>
      <c r="T514" s="64"/>
      <c r="U514" s="64"/>
      <c r="V514" s="64"/>
      <c r="AE514" s="64"/>
      <c r="AJ514" s="64"/>
    </row>
    <row r="515" spans="1:36" s="65" customFormat="1" ht="20.100000000000001" customHeight="1" x14ac:dyDescent="0.25">
      <c r="A515" s="64"/>
      <c r="B515" s="64"/>
      <c r="C515" s="64"/>
      <c r="D515" s="64"/>
      <c r="E515" s="64"/>
      <c r="F515" s="64"/>
      <c r="G515" s="64"/>
      <c r="H515" s="64"/>
      <c r="I515" s="64"/>
      <c r="J515" s="64"/>
      <c r="K515" s="64"/>
      <c r="L515" s="64"/>
      <c r="M515" s="64"/>
      <c r="N515" s="64"/>
      <c r="O515" s="64"/>
      <c r="P515" s="64"/>
      <c r="Q515" s="64"/>
      <c r="R515" s="64"/>
      <c r="S515" s="64"/>
      <c r="T515" s="64"/>
      <c r="U515" s="64"/>
      <c r="V515" s="64"/>
      <c r="AE515" s="64"/>
      <c r="AJ515" s="64"/>
    </row>
    <row r="516" spans="1:36" s="65" customFormat="1" ht="20.100000000000001" customHeight="1" x14ac:dyDescent="0.25">
      <c r="A516" s="103" t="s">
        <v>259</v>
      </c>
      <c r="B516" s="103"/>
      <c r="C516" s="103"/>
      <c r="D516" s="103"/>
      <c r="E516" s="103"/>
      <c r="F516" s="103"/>
      <c r="G516" s="103"/>
      <c r="H516" s="103"/>
      <c r="I516" s="103"/>
      <c r="J516" s="103"/>
      <c r="K516" s="103"/>
      <c r="L516" s="103"/>
      <c r="M516" s="103"/>
      <c r="N516" s="103"/>
      <c r="O516" s="103"/>
      <c r="P516" s="103"/>
      <c r="Q516" s="103"/>
      <c r="R516" s="103"/>
      <c r="S516" s="103"/>
      <c r="T516" s="103"/>
      <c r="U516" s="64"/>
      <c r="V516" s="64"/>
      <c r="AE516" s="64"/>
      <c r="AJ516" s="64"/>
    </row>
    <row r="517" spans="1:36" s="65" customFormat="1" ht="20.100000000000001" customHeight="1" x14ac:dyDescent="0.25">
      <c r="A517" s="64"/>
      <c r="B517" s="64"/>
      <c r="C517" s="64"/>
      <c r="D517" s="64"/>
      <c r="E517" s="64"/>
      <c r="F517" s="64"/>
      <c r="G517" s="64"/>
      <c r="H517" s="64"/>
      <c r="I517" s="64"/>
      <c r="J517" s="64"/>
      <c r="K517" s="64"/>
      <c r="L517" s="64"/>
      <c r="M517" s="64"/>
      <c r="N517" s="64"/>
      <c r="O517" s="64"/>
      <c r="P517" s="64"/>
      <c r="Q517" s="64"/>
      <c r="R517" s="64"/>
      <c r="S517" s="64"/>
      <c r="T517" s="64"/>
      <c r="U517" s="64"/>
      <c r="V517" s="64"/>
      <c r="AE517" s="64"/>
      <c r="AJ517" s="64"/>
    </row>
    <row r="518" spans="1:36" s="65" customFormat="1" ht="20.100000000000001" customHeight="1" x14ac:dyDescent="0.25">
      <c r="A518" s="97" t="s">
        <v>261</v>
      </c>
      <c r="B518" s="97"/>
      <c r="C518" s="97"/>
      <c r="D518" s="97"/>
      <c r="E518" s="97"/>
      <c r="F518" s="97"/>
      <c r="G518" s="70"/>
      <c r="H518" s="70"/>
      <c r="I518" s="70"/>
      <c r="J518" s="70"/>
      <c r="K518" s="70"/>
      <c r="L518" s="70"/>
      <c r="M518" s="70"/>
      <c r="N518" s="155" t="s">
        <v>113</v>
      </c>
      <c r="O518" s="155"/>
      <c r="P518" s="155"/>
      <c r="Q518" s="155"/>
      <c r="R518" s="155"/>
      <c r="S518" s="155"/>
      <c r="T518" s="155"/>
      <c r="U518" s="64"/>
      <c r="V518" s="64"/>
      <c r="AE518" s="64"/>
      <c r="AJ518" s="64"/>
    </row>
    <row r="519" spans="1:36" s="65" customFormat="1" ht="20.100000000000001" customHeight="1" x14ac:dyDescent="0.25">
      <c r="A519" s="97" t="s">
        <v>262</v>
      </c>
      <c r="B519" s="97"/>
      <c r="C519" s="97"/>
      <c r="D519" s="97"/>
      <c r="E519" s="97"/>
      <c r="F519" s="97"/>
      <c r="G519" s="70"/>
      <c r="H519" s="70"/>
      <c r="I519" s="70"/>
      <c r="J519" s="70"/>
      <c r="K519" s="70"/>
      <c r="L519" s="70"/>
      <c r="M519" s="70"/>
      <c r="N519" s="75">
        <f>G412</f>
        <v>10</v>
      </c>
      <c r="O519" s="70" t="s">
        <v>263</v>
      </c>
      <c r="P519" s="70"/>
      <c r="Q519" s="70"/>
      <c r="R519" s="70"/>
      <c r="S519" s="70"/>
      <c r="T519" s="70"/>
      <c r="U519" s="64"/>
      <c r="V519" s="64"/>
      <c r="AE519" s="64"/>
      <c r="AJ519" s="64"/>
    </row>
    <row r="520" spans="1:36" s="65" customFormat="1" ht="20.100000000000001" customHeight="1" x14ac:dyDescent="0.25">
      <c r="A520" s="64"/>
      <c r="B520" s="64"/>
      <c r="C520" s="64"/>
      <c r="D520" s="64"/>
      <c r="E520" s="64"/>
      <c r="F520" s="64"/>
      <c r="G520" s="64"/>
      <c r="H520" s="64"/>
      <c r="I520" s="64"/>
      <c r="J520" s="64"/>
      <c r="K520" s="64"/>
      <c r="L520" s="64"/>
      <c r="M520" s="64"/>
      <c r="N520" s="64"/>
      <c r="O520" s="64"/>
      <c r="P520" s="64"/>
      <c r="Q520" s="64"/>
      <c r="R520" s="64"/>
      <c r="S520" s="64"/>
      <c r="T520" s="64"/>
      <c r="U520" s="64"/>
      <c r="V520" s="64"/>
      <c r="AE520" s="64"/>
      <c r="AJ520" s="64"/>
    </row>
    <row r="521" spans="1:36" s="65" customFormat="1" ht="20.100000000000001" customHeight="1" x14ac:dyDescent="0.25">
      <c r="A521" s="97" t="s">
        <v>264</v>
      </c>
      <c r="B521" s="97"/>
      <c r="C521" s="97"/>
      <c r="D521" s="97"/>
      <c r="E521" s="97"/>
      <c r="F521" s="97"/>
      <c r="G521" s="97"/>
      <c r="H521" s="97"/>
      <c r="I521" s="97"/>
      <c r="J521" s="97"/>
      <c r="K521" s="97"/>
      <c r="L521" s="97"/>
      <c r="M521" s="97"/>
      <c r="N521" s="97"/>
      <c r="O521" s="108">
        <f>O364</f>
        <v>162172.40087584144</v>
      </c>
      <c r="P521" s="108"/>
      <c r="Q521" s="108"/>
      <c r="R521" s="108"/>
      <c r="S521" s="108"/>
      <c r="T521" s="108"/>
      <c r="U521" s="64"/>
      <c r="V521" s="64"/>
      <c r="Y521" s="65" t="s">
        <v>260</v>
      </c>
      <c r="AE521" s="64"/>
      <c r="AJ521" s="64"/>
    </row>
    <row r="522" spans="1:36" s="65" customFormat="1" ht="20.100000000000001" customHeight="1" x14ac:dyDescent="0.25">
      <c r="A522" s="97" t="s">
        <v>265</v>
      </c>
      <c r="B522" s="97"/>
      <c r="C522" s="97"/>
      <c r="D522" s="97"/>
      <c r="E522" s="97"/>
      <c r="F522" s="97"/>
      <c r="G522" s="97"/>
      <c r="H522" s="97"/>
      <c r="I522" s="97"/>
      <c r="J522" s="97"/>
      <c r="K522" s="97"/>
      <c r="L522" s="97"/>
      <c r="M522" s="97"/>
      <c r="N522" s="97"/>
      <c r="O522" s="108">
        <f>O513</f>
        <v>188925.57461846207</v>
      </c>
      <c r="P522" s="108"/>
      <c r="Q522" s="108"/>
      <c r="R522" s="108"/>
      <c r="S522" s="108"/>
      <c r="T522" s="108"/>
      <c r="U522" s="64"/>
      <c r="V522" s="64"/>
      <c r="Y522" s="65" t="s">
        <v>340</v>
      </c>
      <c r="Z522" s="77">
        <f>MATCH(G412,'VANTAGEM DA COISA FEITA'!U12:U81,0)</f>
        <v>10</v>
      </c>
      <c r="AE522" s="64"/>
      <c r="AJ522" s="64"/>
    </row>
    <row r="523" spans="1:36" s="65" customFormat="1" ht="20.100000000000001" customHeight="1" x14ac:dyDescent="0.25">
      <c r="A523" s="64"/>
      <c r="B523" s="64"/>
      <c r="C523" s="64"/>
      <c r="D523" s="64"/>
      <c r="E523" s="64"/>
      <c r="F523" s="64"/>
      <c r="G523" s="64"/>
      <c r="H523" s="64"/>
      <c r="I523" s="64"/>
      <c r="J523" s="64"/>
      <c r="K523" s="64"/>
      <c r="L523" s="64"/>
      <c r="M523" s="64"/>
      <c r="N523" s="64"/>
      <c r="O523" s="64"/>
      <c r="P523" s="64"/>
      <c r="Q523" s="64"/>
      <c r="R523" s="64"/>
      <c r="S523" s="64"/>
      <c r="T523" s="64"/>
      <c r="U523" s="64"/>
      <c r="V523" s="64"/>
      <c r="Y523" s="65" t="s">
        <v>341</v>
      </c>
      <c r="Z523" s="77">
        <f>MATCH(N518,'VANTAGEM DA COISA FEITA'!V11:Y11,0)</f>
        <v>3</v>
      </c>
      <c r="AE523" s="64"/>
      <c r="AJ523" s="64"/>
    </row>
    <row r="524" spans="1:36" s="65" customFormat="1" ht="20.100000000000001" customHeight="1" x14ac:dyDescent="0.25">
      <c r="A524" s="97" t="s">
        <v>266</v>
      </c>
      <c r="B524" s="97"/>
      <c r="C524" s="97"/>
      <c r="D524" s="97"/>
      <c r="E524" s="97"/>
      <c r="F524" s="97"/>
      <c r="G524" s="97"/>
      <c r="H524" s="97"/>
      <c r="I524" s="97"/>
      <c r="J524" s="97"/>
      <c r="K524" s="97"/>
      <c r="L524" s="97"/>
      <c r="M524" s="97"/>
      <c r="N524" s="97"/>
      <c r="O524" s="108">
        <f>O521+O522</f>
        <v>351097.97549430351</v>
      </c>
      <c r="P524" s="108"/>
      <c r="Q524" s="108"/>
      <c r="R524" s="108"/>
      <c r="S524" s="108"/>
      <c r="T524" s="108"/>
      <c r="U524" s="64"/>
      <c r="V524" s="64"/>
      <c r="Y524" s="65" t="s">
        <v>342</v>
      </c>
      <c r="Z524" s="78" cm="1">
        <f t="array" ref="Z524">INDEX('VANTAGEM DA COISA FEITA'!V12:Y81,Z522,Z523)</f>
        <v>8.4000000000000005E-2</v>
      </c>
      <c r="AE524" s="64"/>
      <c r="AJ524" s="64"/>
    </row>
    <row r="525" spans="1:36" s="65" customFormat="1" ht="20.100000000000001" customHeight="1" x14ac:dyDescent="0.25">
      <c r="A525" s="97" t="s">
        <v>267</v>
      </c>
      <c r="B525" s="97"/>
      <c r="C525" s="97"/>
      <c r="D525" s="97"/>
      <c r="E525" s="97"/>
      <c r="F525" s="97"/>
      <c r="G525" s="97"/>
      <c r="H525" s="97"/>
      <c r="I525" s="97"/>
      <c r="J525" s="97"/>
      <c r="K525" s="97"/>
      <c r="L525" s="97"/>
      <c r="M525" s="97"/>
      <c r="N525" s="97"/>
      <c r="O525" s="97">
        <f>1+Z524</f>
        <v>1.0840000000000001</v>
      </c>
      <c r="P525" s="97"/>
      <c r="Q525" s="97"/>
      <c r="R525" s="97"/>
      <c r="S525" s="97"/>
      <c r="T525" s="97"/>
      <c r="U525" s="64"/>
      <c r="V525" s="64"/>
      <c r="AE525" s="64"/>
      <c r="AJ525" s="64"/>
    </row>
    <row r="526" spans="1:36" s="65" customFormat="1" ht="20.100000000000001" customHeight="1" x14ac:dyDescent="0.25">
      <c r="A526" s="64"/>
      <c r="B526" s="64"/>
      <c r="C526" s="64"/>
      <c r="D526" s="64"/>
      <c r="E526" s="64"/>
      <c r="F526" s="64"/>
      <c r="G526" s="64"/>
      <c r="H526" s="64"/>
      <c r="I526" s="64"/>
      <c r="J526" s="64"/>
      <c r="K526" s="64"/>
      <c r="L526" s="64"/>
      <c r="M526" s="64"/>
      <c r="N526" s="64"/>
      <c r="O526" s="64"/>
      <c r="P526" s="64"/>
      <c r="Q526" s="64"/>
      <c r="R526" s="64"/>
      <c r="S526" s="64"/>
      <c r="T526" s="64"/>
      <c r="U526" s="64"/>
      <c r="V526" s="64"/>
      <c r="Z526" s="71"/>
      <c r="AE526" s="64"/>
      <c r="AJ526" s="64"/>
    </row>
    <row r="527" spans="1:36" s="65" customFormat="1" ht="20.100000000000001" customHeight="1" x14ac:dyDescent="0.25">
      <c r="A527" s="97" t="s">
        <v>269</v>
      </c>
      <c r="B527" s="97"/>
      <c r="C527" s="97"/>
      <c r="D527" s="97"/>
      <c r="E527" s="97"/>
      <c r="F527" s="97"/>
      <c r="G527" s="97"/>
      <c r="H527" s="97"/>
      <c r="I527" s="97"/>
      <c r="J527" s="97"/>
      <c r="K527" s="97"/>
      <c r="L527" s="97"/>
      <c r="M527" s="97"/>
      <c r="N527" s="97"/>
      <c r="O527" s="108">
        <f>O524*O525</f>
        <v>380590.20543582505</v>
      </c>
      <c r="P527" s="108"/>
      <c r="Q527" s="108"/>
      <c r="R527" s="108"/>
      <c r="S527" s="108"/>
      <c r="T527" s="108"/>
      <c r="U527" s="64"/>
      <c r="V527" s="64"/>
      <c r="Z527" s="71"/>
      <c r="AE527" s="64"/>
      <c r="AJ527" s="64"/>
    </row>
    <row r="528" spans="1:36" s="65" customFormat="1" ht="20.100000000000001" customHeight="1" x14ac:dyDescent="0.25">
      <c r="A528" s="64"/>
      <c r="B528" s="64"/>
      <c r="C528" s="64"/>
      <c r="D528" s="64"/>
      <c r="E528" s="64"/>
      <c r="F528" s="64"/>
      <c r="G528" s="64"/>
      <c r="H528" s="64"/>
      <c r="I528" s="64"/>
      <c r="J528" s="64"/>
      <c r="K528" s="64"/>
      <c r="L528" s="64"/>
      <c r="M528" s="64"/>
      <c r="N528" s="64"/>
      <c r="O528" s="64"/>
      <c r="P528" s="64"/>
      <c r="Q528" s="64"/>
      <c r="R528" s="64"/>
      <c r="S528" s="64"/>
      <c r="T528" s="64"/>
      <c r="U528" s="64"/>
      <c r="V528" s="64"/>
      <c r="Z528" s="71"/>
      <c r="AE528" s="64"/>
      <c r="AJ528" s="64"/>
    </row>
    <row r="529" spans="1:36" s="65" customFormat="1" ht="20.100000000000001" customHeight="1" x14ac:dyDescent="0.25">
      <c r="A529" s="64"/>
      <c r="B529" s="64"/>
      <c r="C529" s="64"/>
      <c r="D529" s="64"/>
      <c r="E529" s="64"/>
      <c r="F529" s="64"/>
      <c r="G529" s="64"/>
      <c r="H529" s="64"/>
      <c r="I529" s="64"/>
      <c r="J529" s="64"/>
      <c r="K529" s="64"/>
      <c r="L529" s="64"/>
      <c r="M529" s="64"/>
      <c r="N529" s="64"/>
      <c r="O529" s="64"/>
      <c r="P529" s="64"/>
      <c r="Q529" s="64"/>
      <c r="R529" s="64"/>
      <c r="S529" s="64"/>
      <c r="T529" s="64"/>
      <c r="U529" s="64"/>
      <c r="V529" s="64"/>
      <c r="AE529" s="64"/>
      <c r="AJ529" s="64"/>
    </row>
    <row r="530" spans="1:36" s="65" customFormat="1" ht="20.100000000000001" customHeight="1" x14ac:dyDescent="0.25">
      <c r="A530" s="97" t="s">
        <v>271</v>
      </c>
      <c r="B530" s="97"/>
      <c r="C530" s="97"/>
      <c r="D530" s="97"/>
      <c r="E530" s="97"/>
      <c r="F530" s="97"/>
      <c r="G530" s="97"/>
      <c r="H530" s="97"/>
      <c r="I530" s="97"/>
      <c r="J530" s="97"/>
      <c r="K530" s="97"/>
      <c r="L530" s="97"/>
      <c r="M530" s="97"/>
      <c r="N530" s="97"/>
      <c r="O530" s="97"/>
      <c r="P530" s="97"/>
      <c r="Q530" s="97"/>
      <c r="R530" s="97"/>
      <c r="S530" s="97"/>
      <c r="T530" s="97"/>
      <c r="U530" s="64"/>
      <c r="V530" s="64"/>
      <c r="AE530" s="64"/>
      <c r="AJ530" s="64"/>
    </row>
    <row r="531" spans="1:36" s="65" customFormat="1" ht="20.100000000000001" customHeight="1" x14ac:dyDescent="0.25">
      <c r="A531" s="64"/>
      <c r="B531" s="64"/>
      <c r="C531" s="64"/>
      <c r="D531" s="64"/>
      <c r="E531" s="64"/>
      <c r="F531" s="64"/>
      <c r="G531" s="64"/>
      <c r="H531" s="64"/>
      <c r="I531" s="64"/>
      <c r="J531" s="64"/>
      <c r="K531" s="64"/>
      <c r="L531" s="64"/>
      <c r="M531" s="64"/>
      <c r="N531" s="64"/>
      <c r="O531" s="64"/>
      <c r="P531" s="64"/>
      <c r="Q531" s="64"/>
      <c r="R531" s="64"/>
      <c r="S531" s="64"/>
      <c r="T531" s="64"/>
      <c r="U531" s="64"/>
      <c r="V531" s="64"/>
      <c r="Y531" s="65" t="s">
        <v>268</v>
      </c>
      <c r="Z531" s="72">
        <f>O521/(O521+O522)</f>
        <v>0.46190070064494765</v>
      </c>
      <c r="AE531" s="64"/>
      <c r="AJ531" s="64"/>
    </row>
    <row r="532" spans="1:36" s="65" customFormat="1" ht="20.100000000000001" customHeight="1" x14ac:dyDescent="0.25">
      <c r="A532" s="64"/>
      <c r="B532" s="64"/>
      <c r="C532" s="64"/>
      <c r="D532" s="64"/>
      <c r="E532" s="64"/>
      <c r="F532" s="64"/>
      <c r="G532" s="64"/>
      <c r="H532" s="64"/>
      <c r="I532" s="64"/>
      <c r="J532" s="64"/>
      <c r="K532" s="64"/>
      <c r="L532" s="64"/>
      <c r="M532" s="64"/>
      <c r="N532" s="64"/>
      <c r="O532" s="64"/>
      <c r="P532" s="64"/>
      <c r="Q532" s="64"/>
      <c r="R532" s="64"/>
      <c r="S532" s="64"/>
      <c r="T532" s="64"/>
      <c r="U532" s="64"/>
      <c r="V532" s="64"/>
      <c r="Y532" s="65" t="s">
        <v>270</v>
      </c>
      <c r="Z532" s="72">
        <f>O522/(O521+O522)</f>
        <v>0.53809929935505241</v>
      </c>
      <c r="AE532" s="64"/>
      <c r="AJ532" s="64"/>
    </row>
    <row r="533" spans="1:36" s="65" customFormat="1" ht="20.100000000000001" customHeight="1" x14ac:dyDescent="0.25">
      <c r="A533" s="64"/>
      <c r="B533" s="64"/>
      <c r="C533" s="64"/>
      <c r="D533" s="64"/>
      <c r="E533" s="64"/>
      <c r="F533" s="64"/>
      <c r="G533" s="64"/>
      <c r="H533" s="64"/>
      <c r="I533" s="64"/>
      <c r="J533" s="64"/>
      <c r="K533" s="64"/>
      <c r="L533" s="64"/>
      <c r="M533" s="64"/>
      <c r="N533" s="64"/>
      <c r="O533" s="64"/>
      <c r="P533" s="64"/>
      <c r="Q533" s="64"/>
      <c r="R533" s="64"/>
      <c r="S533" s="64"/>
      <c r="T533" s="64"/>
      <c r="U533" s="64"/>
      <c r="V533" s="64"/>
      <c r="AE533" s="64"/>
      <c r="AJ533" s="64"/>
    </row>
    <row r="534" spans="1:36" s="65" customFormat="1" ht="20.100000000000001" customHeight="1" x14ac:dyDescent="0.25">
      <c r="A534" s="64"/>
      <c r="B534" s="64"/>
      <c r="C534" s="64"/>
      <c r="D534" s="64"/>
      <c r="E534" s="64"/>
      <c r="F534" s="64"/>
      <c r="G534" s="64"/>
      <c r="H534" s="64"/>
      <c r="I534" s="64"/>
      <c r="J534" s="64"/>
      <c r="K534" s="64"/>
      <c r="L534" s="64"/>
      <c r="M534" s="64"/>
      <c r="N534" s="64"/>
      <c r="O534" s="64"/>
      <c r="P534" s="64"/>
      <c r="Q534" s="64"/>
      <c r="R534" s="64"/>
      <c r="S534" s="64"/>
      <c r="T534" s="64"/>
      <c r="U534" s="64"/>
      <c r="V534" s="64"/>
      <c r="AE534" s="64"/>
      <c r="AJ534" s="64"/>
    </row>
    <row r="535" spans="1:36" s="65" customFormat="1" ht="20.100000000000001" customHeight="1" x14ac:dyDescent="0.25">
      <c r="A535" s="64"/>
      <c r="B535" s="64"/>
      <c r="C535" s="64"/>
      <c r="D535" s="64"/>
      <c r="E535" s="64"/>
      <c r="F535" s="64"/>
      <c r="G535" s="64"/>
      <c r="H535" s="64"/>
      <c r="I535" s="64"/>
      <c r="J535" s="64"/>
      <c r="K535" s="64"/>
      <c r="L535" s="64"/>
      <c r="M535" s="64"/>
      <c r="N535" s="64"/>
      <c r="O535" s="64"/>
      <c r="P535" s="64"/>
      <c r="Q535" s="64"/>
      <c r="R535" s="64"/>
      <c r="S535" s="64"/>
      <c r="T535" s="64"/>
      <c r="U535" s="64"/>
      <c r="V535" s="64"/>
      <c r="AE535" s="64"/>
      <c r="AJ535" s="64"/>
    </row>
    <row r="536" spans="1:36" s="65" customFormat="1" ht="20.100000000000001" customHeight="1" x14ac:dyDescent="0.25">
      <c r="A536" s="64"/>
      <c r="B536" s="64"/>
      <c r="C536" s="64"/>
      <c r="D536" s="64"/>
      <c r="E536" s="64"/>
      <c r="F536" s="64"/>
      <c r="G536" s="64"/>
      <c r="H536" s="64"/>
      <c r="I536" s="64"/>
      <c r="J536" s="64"/>
      <c r="K536" s="64"/>
      <c r="L536" s="64"/>
      <c r="M536" s="64"/>
      <c r="N536" s="64"/>
      <c r="O536" s="64"/>
      <c r="P536" s="64"/>
      <c r="Q536" s="64"/>
      <c r="R536" s="64"/>
      <c r="S536" s="64"/>
      <c r="T536" s="64"/>
      <c r="U536" s="64"/>
      <c r="V536" s="64"/>
      <c r="AE536" s="64"/>
      <c r="AJ536" s="64"/>
    </row>
    <row r="537" spans="1:36" s="65" customFormat="1" ht="20.100000000000001"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64"/>
      <c r="V537" s="64"/>
      <c r="AE537" s="64"/>
      <c r="AJ537" s="64"/>
    </row>
    <row r="538" spans="1:36" s="65" customFormat="1" ht="20.100000000000001" customHeight="1" x14ac:dyDescent="0.25">
      <c r="A538" s="64"/>
      <c r="B538" s="64"/>
      <c r="C538" s="64"/>
      <c r="D538" s="64"/>
      <c r="E538" s="64"/>
      <c r="F538" s="64"/>
      <c r="G538" s="64"/>
      <c r="H538" s="64"/>
      <c r="I538" s="64"/>
      <c r="J538" s="64"/>
      <c r="K538" s="64"/>
      <c r="L538" s="64"/>
      <c r="M538" s="64"/>
      <c r="N538" s="64"/>
      <c r="O538" s="64"/>
      <c r="P538" s="64"/>
      <c r="Q538" s="64"/>
      <c r="R538" s="64"/>
      <c r="S538" s="64"/>
      <c r="T538" s="64"/>
      <c r="U538" s="64"/>
      <c r="V538" s="64"/>
      <c r="AE538" s="64"/>
      <c r="AJ538" s="64"/>
    </row>
    <row r="539" spans="1:36" s="65" customFormat="1" ht="20.100000000000001" customHeight="1" x14ac:dyDescent="0.25">
      <c r="A539" s="64"/>
      <c r="B539" s="64"/>
      <c r="C539" s="64"/>
      <c r="D539" s="64"/>
      <c r="E539" s="64"/>
      <c r="F539" s="64"/>
      <c r="G539" s="64"/>
      <c r="H539" s="64"/>
      <c r="I539" s="64"/>
      <c r="J539" s="64"/>
      <c r="K539" s="64"/>
      <c r="L539" s="64"/>
      <c r="M539" s="64"/>
      <c r="N539" s="64"/>
      <c r="O539" s="64"/>
      <c r="P539" s="64"/>
      <c r="Q539" s="64"/>
      <c r="R539" s="64"/>
      <c r="S539" s="64"/>
      <c r="T539" s="64"/>
      <c r="U539" s="64"/>
      <c r="V539" s="64"/>
      <c r="AE539" s="64"/>
      <c r="AJ539" s="64"/>
    </row>
    <row r="540" spans="1:36" s="65" customFormat="1" ht="20.100000000000001" customHeight="1" x14ac:dyDescent="0.25">
      <c r="A540" s="64"/>
      <c r="B540" s="64"/>
      <c r="C540" s="64"/>
      <c r="D540" s="64"/>
      <c r="E540" s="64"/>
      <c r="F540" s="64"/>
      <c r="G540" s="64"/>
      <c r="H540" s="64"/>
      <c r="I540" s="64"/>
      <c r="J540" s="64"/>
      <c r="K540" s="64"/>
      <c r="L540" s="64"/>
      <c r="M540" s="64"/>
      <c r="N540" s="64"/>
      <c r="O540" s="64"/>
      <c r="P540" s="64"/>
      <c r="Q540" s="64"/>
      <c r="R540" s="64"/>
      <c r="S540" s="64"/>
      <c r="T540" s="64"/>
      <c r="U540" s="64"/>
      <c r="V540" s="64"/>
      <c r="AE540" s="64"/>
      <c r="AJ540" s="64"/>
    </row>
    <row r="541" spans="1:36" s="65" customFormat="1" ht="20.100000000000001" customHeight="1" x14ac:dyDescent="0.25">
      <c r="A541" s="64"/>
      <c r="B541" s="64"/>
      <c r="C541" s="64"/>
      <c r="D541" s="64"/>
      <c r="E541" s="64"/>
      <c r="F541" s="64"/>
      <c r="G541" s="64"/>
      <c r="H541" s="64"/>
      <c r="I541" s="64"/>
      <c r="J541" s="64"/>
      <c r="K541" s="64"/>
      <c r="L541" s="64"/>
      <c r="M541" s="64"/>
      <c r="N541" s="64"/>
      <c r="O541" s="64"/>
      <c r="P541" s="64"/>
      <c r="Q541" s="64"/>
      <c r="R541" s="64"/>
      <c r="S541" s="64"/>
      <c r="T541" s="64"/>
      <c r="U541" s="64"/>
      <c r="V541" s="64"/>
      <c r="AE541" s="64"/>
      <c r="AJ541" s="64"/>
    </row>
    <row r="542" spans="1:36" s="65" customFormat="1" ht="20.100000000000001" customHeight="1" x14ac:dyDescent="0.25">
      <c r="A542" s="64"/>
      <c r="B542" s="64"/>
      <c r="C542" s="64"/>
      <c r="D542" s="64"/>
      <c r="E542" s="64"/>
      <c r="F542" s="64"/>
      <c r="G542" s="64"/>
      <c r="H542" s="64"/>
      <c r="I542" s="64"/>
      <c r="J542" s="64"/>
      <c r="K542" s="64"/>
      <c r="L542" s="64"/>
      <c r="M542" s="64"/>
      <c r="N542" s="64"/>
      <c r="O542" s="64"/>
      <c r="P542" s="64"/>
      <c r="Q542" s="64"/>
      <c r="R542" s="64"/>
      <c r="S542" s="64"/>
      <c r="T542" s="64"/>
      <c r="U542" s="64"/>
      <c r="V542" s="64"/>
      <c r="AE542" s="64"/>
      <c r="AJ542" s="64"/>
    </row>
    <row r="543" spans="1:36" s="65" customFormat="1" ht="20.100000000000001" customHeight="1" x14ac:dyDescent="0.25">
      <c r="A543" s="64"/>
      <c r="B543" s="64"/>
      <c r="C543" s="64"/>
      <c r="D543" s="64"/>
      <c r="E543" s="64"/>
      <c r="F543" s="64"/>
      <c r="G543" s="64"/>
      <c r="H543" s="64"/>
      <c r="I543" s="64"/>
      <c r="J543" s="64"/>
      <c r="K543" s="64"/>
      <c r="L543" s="64"/>
      <c r="M543" s="64"/>
      <c r="N543" s="64"/>
      <c r="O543" s="64"/>
      <c r="P543" s="64"/>
      <c r="Q543" s="64"/>
      <c r="R543" s="64"/>
      <c r="S543" s="64"/>
      <c r="T543" s="64"/>
      <c r="U543" s="64"/>
      <c r="V543" s="64"/>
      <c r="AE543" s="64"/>
      <c r="AJ543" s="64"/>
    </row>
    <row r="544" spans="1:36" s="65" customFormat="1" ht="20.100000000000001" customHeight="1" x14ac:dyDescent="0.25">
      <c r="A544" s="95" t="s">
        <v>61</v>
      </c>
      <c r="B544" s="95"/>
      <c r="C544" s="95"/>
      <c r="D544" s="95"/>
      <c r="E544" s="95"/>
      <c r="F544" s="95"/>
      <c r="G544" s="95"/>
      <c r="H544" s="95"/>
      <c r="I544" s="95"/>
      <c r="J544" s="95"/>
      <c r="K544" s="95"/>
      <c r="L544" s="95"/>
      <c r="M544" s="95"/>
      <c r="N544" s="95"/>
      <c r="O544" s="96"/>
      <c r="P544" s="96"/>
      <c r="Q544" s="96"/>
      <c r="R544" s="96"/>
      <c r="S544" s="96"/>
      <c r="T544" s="96"/>
      <c r="U544" s="64"/>
      <c r="V544" s="64"/>
      <c r="AE544" s="64"/>
      <c r="AJ544" s="64"/>
    </row>
    <row r="545" spans="1:36" s="65" customFormat="1" ht="20.100000000000001" customHeight="1" x14ac:dyDescent="0.25">
      <c r="A545" s="97" t="s">
        <v>62</v>
      </c>
      <c r="B545" s="97"/>
      <c r="C545" s="97"/>
      <c r="D545" s="97"/>
      <c r="E545" s="97"/>
      <c r="F545" s="97"/>
      <c r="G545" s="97"/>
      <c r="H545" s="97"/>
      <c r="I545" s="97"/>
      <c r="J545" s="97"/>
      <c r="K545" s="97"/>
      <c r="L545" s="97"/>
      <c r="M545" s="97"/>
      <c r="N545" s="97"/>
      <c r="O545" s="98">
        <v>2</v>
      </c>
      <c r="P545" s="98"/>
      <c r="Q545" s="98"/>
      <c r="R545" s="98"/>
      <c r="S545" s="98"/>
      <c r="T545" s="98"/>
      <c r="U545" s="96" t="str">
        <f>IF(O547&gt;0.01,"Reduzir o número de casas decimais","")</f>
        <v/>
      </c>
      <c r="V545" s="96"/>
      <c r="AE545" s="64"/>
      <c r="AJ545" s="64"/>
    </row>
    <row r="546" spans="1:36" s="65" customFormat="1" ht="20.100000000000001" customHeight="1" x14ac:dyDescent="0.25">
      <c r="A546" s="101" t="s">
        <v>63</v>
      </c>
      <c r="B546" s="101"/>
      <c r="C546" s="101"/>
      <c r="D546" s="101"/>
      <c r="E546" s="101"/>
      <c r="F546" s="101"/>
      <c r="G546" s="101"/>
      <c r="H546" s="101"/>
      <c r="I546" s="101"/>
      <c r="J546" s="101"/>
      <c r="K546" s="101"/>
      <c r="L546" s="101"/>
      <c r="M546" s="101"/>
      <c r="N546" s="101"/>
      <c r="O546" s="101">
        <f>O549-O527</f>
        <v>9.7945641749538481</v>
      </c>
      <c r="P546" s="101"/>
      <c r="Q546" s="101"/>
      <c r="R546" s="101"/>
      <c r="S546" s="101"/>
      <c r="T546" s="101"/>
      <c r="U546" s="64"/>
      <c r="V546" s="64"/>
      <c r="AE546" s="64"/>
      <c r="AJ546" s="64"/>
    </row>
    <row r="547" spans="1:36" s="65" customFormat="1" ht="20.100000000000001" customHeight="1" x14ac:dyDescent="0.25">
      <c r="A547" s="101" t="s">
        <v>64</v>
      </c>
      <c r="B547" s="101"/>
      <c r="C547" s="101"/>
      <c r="D547" s="101"/>
      <c r="E547" s="101"/>
      <c r="F547" s="101"/>
      <c r="G547" s="101"/>
      <c r="H547" s="101"/>
      <c r="I547" s="101"/>
      <c r="J547" s="101"/>
      <c r="K547" s="101"/>
      <c r="L547" s="101"/>
      <c r="M547" s="101"/>
      <c r="N547" s="101"/>
      <c r="O547" s="102">
        <f>O546/O527</f>
        <v>2.5735197687859057E-5</v>
      </c>
      <c r="P547" s="102"/>
      <c r="Q547" s="102"/>
      <c r="R547" s="102"/>
      <c r="S547" s="102"/>
      <c r="T547" s="102"/>
      <c r="U547" s="64"/>
      <c r="V547" s="64"/>
      <c r="AE547" s="64"/>
      <c r="AJ547" s="64"/>
    </row>
    <row r="548" spans="1:36" s="65" customFormat="1" ht="20.100000000000001" customHeight="1" x14ac:dyDescent="0.25">
      <c r="A548" s="64"/>
      <c r="B548" s="64"/>
      <c r="C548" s="64"/>
      <c r="D548" s="64"/>
      <c r="E548" s="64"/>
      <c r="F548" s="64"/>
      <c r="G548" s="64"/>
      <c r="H548" s="64"/>
      <c r="I548" s="64"/>
      <c r="J548" s="64"/>
      <c r="K548" s="64"/>
      <c r="L548" s="64"/>
      <c r="M548" s="64"/>
      <c r="N548" s="64"/>
      <c r="O548" s="64"/>
      <c r="P548" s="64"/>
      <c r="Q548" s="64"/>
      <c r="R548" s="64"/>
      <c r="S548" s="64"/>
      <c r="T548" s="64"/>
      <c r="U548" s="64"/>
      <c r="V548" s="64"/>
      <c r="AE548" s="64"/>
      <c r="AJ548" s="64"/>
    </row>
    <row r="549" spans="1:36" s="65" customFormat="1" ht="20.100000000000001" customHeight="1" x14ac:dyDescent="0.25">
      <c r="A549" s="103" t="s">
        <v>60</v>
      </c>
      <c r="B549" s="103"/>
      <c r="C549" s="103"/>
      <c r="D549" s="103"/>
      <c r="E549" s="103"/>
      <c r="F549" s="103"/>
      <c r="G549" s="103"/>
      <c r="H549" s="103"/>
      <c r="I549" s="103"/>
      <c r="J549" s="103"/>
      <c r="K549" s="103"/>
      <c r="L549" s="103"/>
      <c r="M549" s="103"/>
      <c r="N549" s="103"/>
      <c r="O549" s="104">
        <f>ROUNDUP(O527,-O545)</f>
        <v>380600</v>
      </c>
      <c r="P549" s="104"/>
      <c r="Q549" s="104"/>
      <c r="R549" s="104"/>
      <c r="S549" s="104"/>
      <c r="T549" s="104"/>
      <c r="U549" s="64"/>
      <c r="V549" s="64"/>
      <c r="AE549" s="64"/>
      <c r="AJ549" s="64"/>
    </row>
    <row r="550" spans="1:36" s="65" customFormat="1" ht="20.100000000000001" customHeight="1" x14ac:dyDescent="0.25">
      <c r="A550" s="64"/>
      <c r="B550" s="64"/>
      <c r="C550" s="64"/>
      <c r="D550" s="64"/>
      <c r="E550" s="64"/>
      <c r="F550" s="64"/>
      <c r="G550" s="64"/>
      <c r="H550" s="64"/>
      <c r="I550" s="64"/>
      <c r="J550" s="64"/>
      <c r="K550" s="64"/>
      <c r="L550" s="64"/>
      <c r="M550" s="64"/>
      <c r="N550" s="64"/>
      <c r="O550" s="64"/>
      <c r="P550" s="64"/>
      <c r="Q550" s="64"/>
      <c r="R550" s="64"/>
      <c r="S550" s="64"/>
      <c r="T550" s="64"/>
      <c r="U550" s="64"/>
      <c r="V550" s="64"/>
      <c r="AE550" s="64"/>
      <c r="AJ550" s="64"/>
    </row>
    <row r="551" spans="1:36" s="65" customFormat="1" ht="20.100000000000001" customHeight="1" x14ac:dyDescent="0.25">
      <c r="A551" s="64"/>
      <c r="B551" s="64"/>
      <c r="C551" s="64"/>
      <c r="D551" s="64"/>
      <c r="E551" s="64"/>
      <c r="F551" s="64"/>
      <c r="G551" s="64"/>
      <c r="H551" s="64"/>
      <c r="I551" s="64"/>
      <c r="J551" s="64"/>
      <c r="K551" s="64"/>
      <c r="L551" s="64"/>
      <c r="M551" s="64"/>
      <c r="N551" s="64"/>
      <c r="O551" s="64"/>
      <c r="P551" s="64"/>
      <c r="Q551" s="64"/>
      <c r="R551" s="64"/>
      <c r="S551" s="64"/>
      <c r="T551" s="64"/>
      <c r="U551" s="64"/>
      <c r="V551" s="64"/>
      <c r="AE551" s="64"/>
      <c r="AJ551" s="64"/>
    </row>
    <row r="552" spans="1:36" s="65" customFormat="1" ht="20.100000000000001" customHeight="1" x14ac:dyDescent="0.25">
      <c r="A552" s="88"/>
      <c r="B552" s="88"/>
      <c r="C552" s="88"/>
      <c r="D552" s="88"/>
      <c r="E552" s="88"/>
      <c r="F552" s="88"/>
      <c r="G552" s="88"/>
      <c r="H552" s="88"/>
      <c r="I552" s="88"/>
      <c r="J552" s="88"/>
      <c r="K552" s="88"/>
      <c r="L552" s="88"/>
      <c r="M552" s="88"/>
      <c r="N552" s="88"/>
      <c r="O552" s="88"/>
      <c r="P552" s="88"/>
      <c r="Q552" s="88"/>
      <c r="R552" s="88"/>
      <c r="S552" s="88"/>
      <c r="T552" s="88"/>
      <c r="U552" s="64"/>
      <c r="V552" s="64"/>
      <c r="AE552" s="64"/>
      <c r="AJ552" s="64"/>
    </row>
    <row r="553" spans="1:36" s="65" customFormat="1" ht="20.100000000000001" customHeight="1" x14ac:dyDescent="0.25">
      <c r="A553" s="88" t="s">
        <v>69</v>
      </c>
      <c r="B553" s="88"/>
      <c r="C553" s="88"/>
      <c r="D553" s="88"/>
      <c r="E553" s="88"/>
      <c r="F553" s="88"/>
      <c r="G553" s="88"/>
      <c r="H553" s="88"/>
      <c r="I553" s="88"/>
      <c r="J553" s="88"/>
      <c r="K553" s="88"/>
      <c r="L553" s="88"/>
      <c r="M553" s="88"/>
      <c r="N553" s="88"/>
      <c r="O553" s="88"/>
      <c r="P553" s="88"/>
      <c r="Q553" s="88"/>
      <c r="R553" s="88"/>
      <c r="S553" s="88"/>
      <c r="T553" s="88"/>
      <c r="U553" s="64"/>
      <c r="V553" s="64"/>
      <c r="AE553" s="64"/>
      <c r="AJ553" s="64"/>
    </row>
    <row r="554" spans="1:36" s="65" customFormat="1" ht="20.100000000000001" customHeight="1" x14ac:dyDescent="0.25">
      <c r="A554" s="88" t="s">
        <v>68</v>
      </c>
      <c r="B554" s="88"/>
      <c r="C554" s="88"/>
      <c r="D554" s="88"/>
      <c r="E554" s="88"/>
      <c r="F554" s="88"/>
      <c r="G554" s="88"/>
      <c r="H554" s="88"/>
      <c r="I554" s="88"/>
      <c r="J554" s="88"/>
      <c r="K554" s="88"/>
      <c r="L554" s="88"/>
      <c r="M554" s="88"/>
      <c r="N554" s="88"/>
      <c r="O554" s="88"/>
      <c r="P554" s="88"/>
      <c r="Q554" s="88"/>
      <c r="R554" s="88"/>
      <c r="S554" s="88"/>
      <c r="T554" s="88"/>
      <c r="U554" s="64"/>
      <c r="V554" s="64"/>
      <c r="AE554" s="64"/>
      <c r="AJ554" s="64"/>
    </row>
    <row r="555" spans="1:36" s="65" customFormat="1" ht="20.100000000000001" customHeight="1" x14ac:dyDescent="0.25">
      <c r="A555" s="64"/>
      <c r="B555" s="64"/>
      <c r="C555" s="64"/>
      <c r="D555" s="64"/>
      <c r="E555" s="64"/>
      <c r="F555" s="64"/>
      <c r="G555" s="64"/>
      <c r="H555" s="64"/>
      <c r="I555" s="64"/>
      <c r="J555" s="64"/>
      <c r="K555" s="64"/>
      <c r="L555" s="64"/>
      <c r="M555" s="64"/>
      <c r="N555" s="64"/>
      <c r="O555" s="64"/>
      <c r="P555" s="64"/>
      <c r="Q555" s="64"/>
      <c r="R555" s="64"/>
      <c r="S555" s="64"/>
      <c r="T555" s="64"/>
      <c r="U555" s="64"/>
      <c r="V555" s="64"/>
      <c r="AE555" s="64"/>
      <c r="AJ555" s="64"/>
    </row>
    <row r="557" spans="1:36" ht="20.100000000000001" customHeight="1" x14ac:dyDescent="0.25">
      <c r="A557" s="94" t="s">
        <v>65</v>
      </c>
      <c r="B557" s="94"/>
      <c r="C557" s="94"/>
      <c r="D557" s="94"/>
      <c r="E557" s="94"/>
      <c r="F557" s="94"/>
      <c r="G557" s="94"/>
      <c r="H557" s="94"/>
      <c r="I557" s="94"/>
      <c r="J557" s="94"/>
      <c r="K557" s="94"/>
      <c r="L557" s="94"/>
      <c r="M557" s="94"/>
      <c r="N557" s="94"/>
      <c r="O557" s="94"/>
      <c r="P557" s="94"/>
      <c r="Q557" s="94"/>
      <c r="R557" s="94"/>
      <c r="S557" s="94"/>
      <c r="T557" s="94"/>
    </row>
    <row r="558" spans="1:36" ht="20.100000000000001" customHeight="1" x14ac:dyDescent="0.25">
      <c r="A558" s="94" t="s">
        <v>358</v>
      </c>
      <c r="B558" s="94"/>
      <c r="C558" s="94"/>
      <c r="D558" s="94"/>
      <c r="E558" s="94"/>
      <c r="F558" s="94"/>
      <c r="G558" s="94"/>
      <c r="H558" s="94"/>
      <c r="I558" s="94"/>
      <c r="J558" s="94"/>
      <c r="K558" s="94"/>
      <c r="L558" s="94"/>
      <c r="M558" s="94"/>
      <c r="N558" s="94"/>
      <c r="O558" s="94"/>
      <c r="P558" s="94"/>
      <c r="Q558" s="94"/>
      <c r="R558" s="94"/>
      <c r="S558" s="94"/>
      <c r="T558" s="94"/>
    </row>
    <row r="559" spans="1:36" ht="20.100000000000001" customHeight="1" x14ac:dyDescent="0.25">
      <c r="A559" s="94" t="s">
        <v>88</v>
      </c>
      <c r="B559" s="94"/>
      <c r="C559" s="94"/>
      <c r="D559" s="94"/>
      <c r="E559" s="94"/>
      <c r="F559" s="94"/>
      <c r="G559" s="94"/>
      <c r="H559" s="94"/>
      <c r="I559" s="94"/>
      <c r="J559" s="94"/>
      <c r="K559" s="94"/>
      <c r="L559" s="94"/>
      <c r="M559" s="94"/>
      <c r="N559" s="94"/>
      <c r="O559" s="94"/>
      <c r="P559" s="94"/>
      <c r="Q559" s="94"/>
      <c r="R559" s="94"/>
      <c r="S559" s="94"/>
      <c r="T559" s="94"/>
    </row>
    <row r="560" spans="1:36" ht="20.100000000000001" customHeight="1" x14ac:dyDescent="0.25">
      <c r="A560" s="94" t="s">
        <v>345</v>
      </c>
      <c r="B560" s="94"/>
      <c r="C560" s="94"/>
      <c r="D560" s="94"/>
      <c r="E560" s="94"/>
      <c r="F560" s="94"/>
      <c r="G560" s="94"/>
      <c r="H560" s="94"/>
      <c r="I560" s="94"/>
      <c r="J560" s="94"/>
      <c r="K560" s="94"/>
      <c r="L560" s="94"/>
      <c r="M560" s="94"/>
      <c r="N560" s="94"/>
      <c r="O560" s="94"/>
      <c r="P560" s="94"/>
      <c r="Q560" s="94"/>
      <c r="R560" s="94"/>
      <c r="S560" s="94"/>
      <c r="T560" s="94"/>
    </row>
    <row r="561" spans="1:20" ht="20.100000000000001" customHeight="1" x14ac:dyDescent="0.25">
      <c r="A561" s="94" t="s">
        <v>346</v>
      </c>
      <c r="B561" s="94"/>
      <c r="C561" s="94"/>
      <c r="D561" s="94"/>
      <c r="E561" s="94"/>
      <c r="F561" s="94"/>
      <c r="G561" s="94"/>
      <c r="H561" s="94"/>
      <c r="I561" s="94"/>
      <c r="J561" s="94"/>
      <c r="K561" s="94"/>
      <c r="L561" s="94"/>
      <c r="M561" s="94"/>
      <c r="N561" s="94"/>
      <c r="O561" s="94"/>
      <c r="P561" s="94"/>
      <c r="Q561" s="94"/>
      <c r="R561" s="94"/>
      <c r="S561" s="94"/>
      <c r="T561" s="94"/>
    </row>
    <row r="562" spans="1:20" ht="20.100000000000001" customHeight="1" x14ac:dyDescent="0.25">
      <c r="A562" s="94" t="s">
        <v>347</v>
      </c>
      <c r="B562" s="94"/>
      <c r="C562" s="94"/>
      <c r="D562" s="94"/>
      <c r="E562" s="94"/>
      <c r="F562" s="94"/>
      <c r="G562" s="94"/>
      <c r="H562" s="94"/>
      <c r="I562" s="94"/>
      <c r="J562" s="94"/>
      <c r="K562" s="94"/>
      <c r="L562" s="94"/>
      <c r="M562" s="94"/>
      <c r="N562" s="94"/>
      <c r="O562" s="94"/>
      <c r="P562" s="94"/>
      <c r="Q562" s="94"/>
      <c r="R562" s="94"/>
      <c r="S562" s="94"/>
      <c r="T562" s="94"/>
    </row>
    <row r="563" spans="1:20" ht="20.100000000000001" customHeight="1" x14ac:dyDescent="0.25">
      <c r="A563" s="94" t="s">
        <v>348</v>
      </c>
      <c r="B563" s="94"/>
      <c r="C563" s="94"/>
      <c r="D563" s="94"/>
      <c r="E563" s="94"/>
      <c r="F563" s="94"/>
      <c r="G563" s="94"/>
      <c r="H563" s="94"/>
      <c r="I563" s="94"/>
      <c r="J563" s="94"/>
      <c r="K563" s="94"/>
      <c r="L563" s="94"/>
      <c r="M563" s="94"/>
      <c r="N563" s="94"/>
      <c r="O563" s="94"/>
      <c r="P563" s="94"/>
      <c r="Q563" s="94"/>
      <c r="R563" s="94"/>
      <c r="S563" s="94"/>
      <c r="T563" s="94"/>
    </row>
    <row r="564" spans="1:20" ht="20.100000000000001" customHeight="1" x14ac:dyDescent="0.25">
      <c r="A564" s="94"/>
      <c r="B564" s="94"/>
      <c r="C564" s="94"/>
      <c r="D564" s="94"/>
      <c r="E564" s="94"/>
      <c r="F564" s="94"/>
      <c r="G564" s="94"/>
      <c r="H564" s="94"/>
      <c r="I564" s="94"/>
      <c r="J564" s="94"/>
      <c r="K564" s="94"/>
      <c r="L564" s="94"/>
      <c r="M564" s="94"/>
      <c r="N564" s="94"/>
      <c r="O564" s="94"/>
      <c r="P564" s="94"/>
      <c r="Q564" s="94"/>
      <c r="R564" s="94"/>
      <c r="S564" s="94"/>
      <c r="T564" s="94"/>
    </row>
    <row r="565" spans="1:20" ht="20.100000000000001" customHeight="1" x14ac:dyDescent="0.25">
      <c r="A565" s="94" t="s">
        <v>349</v>
      </c>
      <c r="B565" s="94"/>
      <c r="C565" s="94"/>
      <c r="D565" s="94"/>
      <c r="E565" s="94"/>
      <c r="F565" s="94"/>
      <c r="G565" s="94"/>
      <c r="H565" s="94"/>
      <c r="I565" s="94"/>
      <c r="J565" s="94"/>
      <c r="K565" s="94"/>
      <c r="L565" s="94"/>
      <c r="M565" s="94"/>
      <c r="N565" s="94"/>
      <c r="O565" s="94"/>
      <c r="P565" s="94"/>
      <c r="Q565" s="94"/>
      <c r="R565" s="94"/>
      <c r="S565" s="94"/>
      <c r="T565" s="94"/>
    </row>
    <row r="566" spans="1:20" ht="20.100000000000001" customHeight="1" x14ac:dyDescent="0.25">
      <c r="A566" s="94" t="s">
        <v>89</v>
      </c>
      <c r="B566" s="94"/>
      <c r="C566" s="94"/>
      <c r="D566" s="94"/>
      <c r="E566" s="94"/>
      <c r="F566" s="94"/>
      <c r="G566" s="94"/>
      <c r="H566" s="94"/>
      <c r="I566" s="94"/>
      <c r="J566" s="94"/>
      <c r="K566" s="94"/>
      <c r="L566" s="94"/>
      <c r="M566" s="94"/>
      <c r="N566" s="94"/>
      <c r="O566" s="94"/>
      <c r="P566" s="94"/>
      <c r="Q566" s="94"/>
      <c r="R566" s="94"/>
      <c r="S566" s="94"/>
      <c r="T566" s="94"/>
    </row>
    <row r="567" spans="1:20" ht="20.100000000000001" customHeight="1" x14ac:dyDescent="0.25">
      <c r="A567" s="94" t="s">
        <v>350</v>
      </c>
      <c r="B567" s="94"/>
      <c r="C567" s="94"/>
      <c r="D567" s="94"/>
      <c r="E567" s="94"/>
      <c r="F567" s="94"/>
      <c r="G567" s="94"/>
      <c r="H567" s="94"/>
      <c r="I567" s="94"/>
      <c r="J567" s="94"/>
      <c r="K567" s="94"/>
      <c r="L567" s="94"/>
      <c r="M567" s="94"/>
      <c r="N567" s="94"/>
      <c r="O567" s="94"/>
      <c r="P567" s="94"/>
      <c r="Q567" s="94"/>
      <c r="R567" s="94"/>
      <c r="S567" s="94"/>
      <c r="T567" s="94"/>
    </row>
    <row r="568" spans="1:20" ht="20.100000000000001" customHeight="1" x14ac:dyDescent="0.25">
      <c r="A568" s="94"/>
      <c r="B568" s="94"/>
      <c r="C568" s="94"/>
      <c r="D568" s="94"/>
      <c r="E568" s="94"/>
      <c r="F568" s="94"/>
      <c r="G568" s="94"/>
      <c r="H568" s="94"/>
      <c r="I568" s="94"/>
      <c r="J568" s="94"/>
      <c r="K568" s="94"/>
      <c r="L568" s="94"/>
      <c r="M568" s="94"/>
      <c r="N568" s="94"/>
      <c r="O568" s="94"/>
      <c r="P568" s="94"/>
      <c r="Q568" s="94"/>
      <c r="R568" s="94"/>
      <c r="S568" s="94"/>
      <c r="T568" s="94"/>
    </row>
    <row r="569" spans="1:20" ht="20.100000000000001" customHeight="1" x14ac:dyDescent="0.25">
      <c r="A569" s="94" t="s">
        <v>351</v>
      </c>
      <c r="B569" s="94"/>
      <c r="C569" s="94"/>
      <c r="D569" s="94"/>
      <c r="E569" s="94"/>
      <c r="F569" s="94"/>
      <c r="G569" s="94"/>
      <c r="H569" s="94"/>
      <c r="I569" s="94"/>
      <c r="J569" s="94"/>
      <c r="K569" s="94"/>
      <c r="L569" s="94"/>
      <c r="M569" s="94"/>
      <c r="N569" s="94"/>
      <c r="O569" s="94"/>
      <c r="P569" s="94"/>
      <c r="Q569" s="94"/>
      <c r="R569" s="94"/>
      <c r="S569" s="94"/>
      <c r="T569" s="94"/>
    </row>
    <row r="570" spans="1:20" ht="20.100000000000001" customHeight="1" x14ac:dyDescent="0.25">
      <c r="A570" s="94"/>
      <c r="B570" s="94"/>
      <c r="C570" s="94"/>
      <c r="D570" s="94"/>
      <c r="E570" s="94"/>
      <c r="F570" s="94"/>
      <c r="G570" s="94"/>
      <c r="H570" s="94"/>
      <c r="I570" s="94"/>
      <c r="J570" s="94"/>
      <c r="K570" s="94"/>
      <c r="L570" s="94"/>
      <c r="M570" s="94"/>
      <c r="N570" s="94"/>
      <c r="O570" s="94"/>
      <c r="P570" s="94"/>
      <c r="Q570" s="94"/>
      <c r="R570" s="94"/>
      <c r="S570" s="94"/>
      <c r="T570" s="94"/>
    </row>
    <row r="571" spans="1:20" ht="20.100000000000001" customHeight="1" x14ac:dyDescent="0.25">
      <c r="A571" s="99" t="s">
        <v>406</v>
      </c>
      <c r="B571" s="99"/>
      <c r="C571" s="99"/>
      <c r="D571" s="99"/>
      <c r="E571" s="99"/>
      <c r="F571" s="99"/>
      <c r="G571" s="99"/>
      <c r="H571" s="99"/>
      <c r="I571" s="99"/>
      <c r="J571" s="99"/>
      <c r="K571" s="99"/>
      <c r="L571" s="99"/>
      <c r="M571" s="99"/>
      <c r="N571" s="99"/>
      <c r="O571" s="99"/>
      <c r="P571" s="99"/>
      <c r="Q571" s="99"/>
      <c r="R571" s="99"/>
      <c r="S571" s="99"/>
      <c r="T571" s="99"/>
    </row>
    <row r="572" spans="1:20" ht="20.100000000000001" customHeight="1" x14ac:dyDescent="0.25">
      <c r="A572" s="94" t="s">
        <v>359</v>
      </c>
      <c r="B572" s="94"/>
      <c r="C572" s="94"/>
      <c r="D572" s="94"/>
      <c r="E572" s="94"/>
      <c r="F572" s="94"/>
      <c r="G572" s="94"/>
      <c r="H572" s="94"/>
      <c r="I572" s="94"/>
      <c r="J572" s="94"/>
      <c r="K572" s="94"/>
      <c r="L572" s="94"/>
      <c r="M572" s="94"/>
      <c r="N572" s="94"/>
      <c r="O572" s="94"/>
      <c r="P572" s="94"/>
      <c r="Q572" s="94"/>
      <c r="R572" s="94"/>
      <c r="S572" s="94"/>
      <c r="T572" s="94"/>
    </row>
    <row r="573" spans="1:20" ht="20.100000000000001" customHeight="1" x14ac:dyDescent="0.25">
      <c r="A573" s="94"/>
      <c r="B573" s="94"/>
      <c r="C573" s="94"/>
      <c r="D573" s="94"/>
      <c r="E573" s="94"/>
      <c r="F573" s="94"/>
      <c r="G573" s="94"/>
      <c r="H573" s="94"/>
      <c r="I573" s="94"/>
      <c r="J573" s="94"/>
      <c r="K573" s="94"/>
      <c r="L573" s="94"/>
      <c r="M573" s="94"/>
      <c r="N573" s="94"/>
      <c r="O573" s="94"/>
      <c r="P573" s="94"/>
      <c r="Q573" s="94"/>
      <c r="R573" s="94"/>
      <c r="S573" s="94"/>
      <c r="T573" s="94"/>
    </row>
    <row r="574" spans="1:20" ht="20.100000000000001" customHeight="1" x14ac:dyDescent="0.25">
      <c r="A574" s="94" t="s">
        <v>352</v>
      </c>
      <c r="B574" s="94"/>
      <c r="C574" s="94"/>
      <c r="D574" s="94"/>
      <c r="E574" s="94"/>
      <c r="F574" s="94"/>
      <c r="G574" s="94"/>
      <c r="H574" s="94"/>
      <c r="I574" s="94"/>
      <c r="J574" s="94"/>
      <c r="K574" s="94"/>
      <c r="L574" s="94"/>
      <c r="M574" s="94"/>
      <c r="N574" s="94"/>
      <c r="O574" s="94"/>
      <c r="P574" s="94"/>
      <c r="Q574" s="94"/>
      <c r="R574" s="94"/>
      <c r="S574" s="94"/>
      <c r="T574" s="94"/>
    </row>
    <row r="575" spans="1:20" ht="20.100000000000001" customHeight="1" x14ac:dyDescent="0.25">
      <c r="A575" s="94"/>
      <c r="B575" s="94"/>
      <c r="C575" s="94"/>
      <c r="D575" s="94"/>
      <c r="E575" s="94"/>
      <c r="F575" s="94"/>
      <c r="G575" s="94"/>
      <c r="H575" s="94"/>
      <c r="I575" s="94"/>
      <c r="J575" s="94"/>
      <c r="K575" s="94"/>
      <c r="L575" s="94"/>
      <c r="M575" s="94"/>
      <c r="N575" s="94"/>
      <c r="O575" s="94"/>
      <c r="P575" s="94"/>
      <c r="Q575" s="94"/>
      <c r="R575" s="94"/>
      <c r="S575" s="94"/>
      <c r="T575" s="94"/>
    </row>
    <row r="576" spans="1:20" ht="20.100000000000001" customHeight="1" x14ac:dyDescent="0.25">
      <c r="A576" s="94" t="s">
        <v>360</v>
      </c>
      <c r="B576" s="94"/>
      <c r="C576" s="94"/>
      <c r="D576" s="94"/>
      <c r="E576" s="94"/>
      <c r="F576" s="94"/>
      <c r="G576" s="94"/>
      <c r="H576" s="94"/>
      <c r="I576" s="94"/>
      <c r="J576" s="94"/>
      <c r="K576" s="94"/>
      <c r="L576" s="94"/>
      <c r="M576" s="94"/>
      <c r="N576" s="94"/>
      <c r="O576" s="94"/>
      <c r="P576" s="94"/>
      <c r="Q576" s="94"/>
      <c r="R576" s="94"/>
      <c r="S576" s="94"/>
      <c r="T576" s="94"/>
    </row>
    <row r="577" spans="1:20" ht="20.100000000000001" customHeight="1" x14ac:dyDescent="0.25">
      <c r="A577" s="94"/>
      <c r="B577" s="94"/>
      <c r="C577" s="94"/>
      <c r="D577" s="94"/>
      <c r="E577" s="94"/>
      <c r="F577" s="94"/>
      <c r="G577" s="94"/>
      <c r="H577" s="94"/>
      <c r="I577" s="94"/>
      <c r="J577" s="94"/>
      <c r="K577" s="94"/>
      <c r="L577" s="94"/>
      <c r="M577" s="94"/>
      <c r="N577" s="94"/>
      <c r="O577" s="94"/>
      <c r="P577" s="94"/>
      <c r="Q577" s="94"/>
      <c r="R577" s="94"/>
      <c r="S577" s="94"/>
      <c r="T577" s="94"/>
    </row>
    <row r="578" spans="1:20" ht="20.100000000000001" customHeight="1" x14ac:dyDescent="0.25">
      <c r="A578" s="94" t="s">
        <v>353</v>
      </c>
      <c r="B578" s="94"/>
      <c r="C578" s="94"/>
      <c r="D578" s="94"/>
      <c r="E578" s="94"/>
      <c r="F578" s="94"/>
      <c r="G578" s="94"/>
      <c r="H578" s="94"/>
      <c r="I578" s="94"/>
      <c r="J578" s="94"/>
      <c r="K578" s="94"/>
      <c r="L578" s="94"/>
      <c r="M578" s="94"/>
      <c r="N578" s="94"/>
      <c r="O578" s="94"/>
      <c r="P578" s="94"/>
      <c r="Q578" s="94"/>
      <c r="R578" s="94"/>
      <c r="S578" s="94"/>
      <c r="T578" s="94"/>
    </row>
    <row r="579" spans="1:20" ht="20.100000000000001" customHeight="1" x14ac:dyDescent="0.25">
      <c r="A579" s="94" t="s">
        <v>354</v>
      </c>
      <c r="B579" s="94"/>
      <c r="C579" s="94"/>
      <c r="D579" s="94"/>
      <c r="E579" s="94"/>
      <c r="F579" s="94"/>
      <c r="G579" s="94"/>
      <c r="H579" s="94"/>
      <c r="I579" s="94"/>
      <c r="J579" s="94"/>
      <c r="K579" s="94"/>
      <c r="L579" s="94"/>
      <c r="M579" s="94"/>
      <c r="N579" s="94"/>
      <c r="O579" s="94"/>
      <c r="P579" s="94"/>
      <c r="Q579" s="94"/>
      <c r="R579" s="94"/>
      <c r="S579" s="94"/>
      <c r="T579" s="94"/>
    </row>
    <row r="580" spans="1:20" ht="20.100000000000001" customHeight="1" x14ac:dyDescent="0.25">
      <c r="A580" s="94" t="s">
        <v>355</v>
      </c>
      <c r="B580" s="94"/>
      <c r="C580" s="94"/>
      <c r="D580" s="94"/>
      <c r="E580" s="94"/>
      <c r="F580" s="94"/>
      <c r="G580" s="94"/>
      <c r="H580" s="94"/>
      <c r="I580" s="94"/>
      <c r="J580" s="94"/>
      <c r="K580" s="94"/>
      <c r="L580" s="94"/>
      <c r="M580" s="94"/>
      <c r="N580" s="94"/>
      <c r="O580" s="94"/>
      <c r="P580" s="94"/>
      <c r="Q580" s="94"/>
      <c r="R580" s="94"/>
      <c r="S580" s="94"/>
      <c r="T580" s="94"/>
    </row>
    <row r="581" spans="1:20" ht="20.100000000000001" customHeight="1" x14ac:dyDescent="0.25">
      <c r="A581" s="94" t="s">
        <v>356</v>
      </c>
      <c r="B581" s="94"/>
      <c r="C581" s="94"/>
      <c r="D581" s="94"/>
      <c r="E581" s="94"/>
      <c r="F581" s="94"/>
      <c r="G581" s="94"/>
      <c r="H581" s="94"/>
      <c r="I581" s="94"/>
      <c r="J581" s="94"/>
      <c r="K581" s="94"/>
      <c r="L581" s="94"/>
      <c r="M581" s="94"/>
      <c r="N581" s="94"/>
      <c r="O581" s="94"/>
      <c r="P581" s="94"/>
      <c r="Q581" s="94"/>
      <c r="R581" s="94"/>
      <c r="S581" s="94"/>
      <c r="T581" s="94"/>
    </row>
    <row r="582" spans="1:20" ht="20.100000000000001" customHeight="1" x14ac:dyDescent="0.25">
      <c r="A582" s="94" t="s">
        <v>361</v>
      </c>
      <c r="B582" s="94"/>
      <c r="C582" s="94"/>
      <c r="D582" s="94"/>
      <c r="E582" s="94"/>
      <c r="F582" s="94"/>
      <c r="G582" s="94"/>
      <c r="H582" s="94"/>
      <c r="I582" s="94"/>
      <c r="J582" s="94"/>
      <c r="K582" s="94"/>
      <c r="L582" s="94"/>
      <c r="M582" s="94"/>
      <c r="N582" s="94"/>
      <c r="O582" s="94"/>
      <c r="P582" s="94"/>
      <c r="Q582" s="94"/>
      <c r="R582" s="94"/>
      <c r="S582" s="94"/>
      <c r="T582" s="94"/>
    </row>
  </sheetData>
  <sheetProtection formatCells="0"/>
  <mergeCells count="1071">
    <mergeCell ref="B22:F22"/>
    <mergeCell ref="G22:N22"/>
    <mergeCell ref="O22:Q22"/>
    <mergeCell ref="R22:T22"/>
    <mergeCell ref="B23:F23"/>
    <mergeCell ref="G23:N23"/>
    <mergeCell ref="O23:Q23"/>
    <mergeCell ref="R23:T23"/>
    <mergeCell ref="B24:F24"/>
    <mergeCell ref="G24:N24"/>
    <mergeCell ref="O24:Q24"/>
    <mergeCell ref="R24:T24"/>
    <mergeCell ref="B25:F25"/>
    <mergeCell ref="G25:N25"/>
    <mergeCell ref="O25:Q25"/>
    <mergeCell ref="R25:T25"/>
    <mergeCell ref="B26:F26"/>
    <mergeCell ref="G26:N26"/>
    <mergeCell ref="O26:Q26"/>
    <mergeCell ref="R26:T26"/>
    <mergeCell ref="B19:F19"/>
    <mergeCell ref="O19:Q19"/>
    <mergeCell ref="R19:T19"/>
    <mergeCell ref="G14:N14"/>
    <mergeCell ref="G15:N15"/>
    <mergeCell ref="G16:N16"/>
    <mergeCell ref="G17:N17"/>
    <mergeCell ref="G18:N18"/>
    <mergeCell ref="G19:N19"/>
    <mergeCell ref="B20:F20"/>
    <mergeCell ref="G20:N20"/>
    <mergeCell ref="O20:Q20"/>
    <mergeCell ref="R20:T20"/>
    <mergeCell ref="B21:F21"/>
    <mergeCell ref="G21:N21"/>
    <mergeCell ref="O21:Q21"/>
    <mergeCell ref="R21:T21"/>
    <mergeCell ref="B14:F14"/>
    <mergeCell ref="O14:Q14"/>
    <mergeCell ref="R14:T14"/>
    <mergeCell ref="B15:F15"/>
    <mergeCell ref="O15:Q15"/>
    <mergeCell ref="R15:T15"/>
    <mergeCell ref="B16:F16"/>
    <mergeCell ref="O16:Q16"/>
    <mergeCell ref="R16:T16"/>
    <mergeCell ref="B17:F17"/>
    <mergeCell ref="O17:Q17"/>
    <mergeCell ref="R17:T17"/>
    <mergeCell ref="B18:F18"/>
    <mergeCell ref="O18:Q18"/>
    <mergeCell ref="R18:T18"/>
    <mergeCell ref="A34:B34"/>
    <mergeCell ref="D34:F34"/>
    <mergeCell ref="G34:I34"/>
    <mergeCell ref="J34:L34"/>
    <mergeCell ref="M34:O34"/>
    <mergeCell ref="P34:Q34"/>
    <mergeCell ref="Q54:T54"/>
    <mergeCell ref="R180:T180"/>
    <mergeCell ref="A183:B183"/>
    <mergeCell ref="D183:F183"/>
    <mergeCell ref="Q55:T55"/>
    <mergeCell ref="Q56:T56"/>
    <mergeCell ref="A7:T7"/>
    <mergeCell ref="A29:T29"/>
    <mergeCell ref="G32:I32"/>
    <mergeCell ref="J32:L32"/>
    <mergeCell ref="G43:I43"/>
    <mergeCell ref="J43:L43"/>
    <mergeCell ref="D32:F32"/>
    <mergeCell ref="D33:F33"/>
    <mergeCell ref="D43:F43"/>
    <mergeCell ref="R31:T31"/>
    <mergeCell ref="R12:T12"/>
    <mergeCell ref="O12:Q12"/>
    <mergeCell ref="L12:N12"/>
    <mergeCell ref="R33:T33"/>
    <mergeCell ref="G33:I33"/>
    <mergeCell ref="J33:L33"/>
    <mergeCell ref="A10:D10"/>
    <mergeCell ref="E10:K10"/>
    <mergeCell ref="R32:T32"/>
    <mergeCell ref="L10:T10"/>
    <mergeCell ref="A9:T9"/>
    <mergeCell ref="A11:D12"/>
    <mergeCell ref="L11:N11"/>
    <mergeCell ref="O11:Q11"/>
    <mergeCell ref="A31:B31"/>
    <mergeCell ref="A32:B32"/>
    <mergeCell ref="S286:T286"/>
    <mergeCell ref="N294:Q294"/>
    <mergeCell ref="R294:T294"/>
    <mergeCell ref="N293:Q293"/>
    <mergeCell ref="N262:Q262"/>
    <mergeCell ref="R262:T262"/>
    <mergeCell ref="A281:T281"/>
    <mergeCell ref="D283:H283"/>
    <mergeCell ref="N258:O258"/>
    <mergeCell ref="P258:Q258"/>
    <mergeCell ref="R258:T258"/>
    <mergeCell ref="N284:R284"/>
    <mergeCell ref="S284:T284"/>
    <mergeCell ref="D285:H285"/>
    <mergeCell ref="N285:R285"/>
    <mergeCell ref="S285:T285"/>
    <mergeCell ref="S247:T247"/>
    <mergeCell ref="N256:Q256"/>
    <mergeCell ref="D250:H250"/>
    <mergeCell ref="A251:B251"/>
    <mergeCell ref="N289:Q289"/>
    <mergeCell ref="A190:B190"/>
    <mergeCell ref="N72:O72"/>
    <mergeCell ref="P72:Q72"/>
    <mergeCell ref="A162:J162"/>
    <mergeCell ref="A163:J163"/>
    <mergeCell ref="U247:W247"/>
    <mergeCell ref="J31:L31"/>
    <mergeCell ref="R256:T256"/>
    <mergeCell ref="A347:T348"/>
    <mergeCell ref="A340:F340"/>
    <mergeCell ref="G340:J340"/>
    <mergeCell ref="M320:P320"/>
    <mergeCell ref="M319:P319"/>
    <mergeCell ref="M322:P322"/>
    <mergeCell ref="I322:L322"/>
    <mergeCell ref="I320:L320"/>
    <mergeCell ref="I319:L319"/>
    <mergeCell ref="A327:H327"/>
    <mergeCell ref="I327:N327"/>
    <mergeCell ref="A336:F336"/>
    <mergeCell ref="A337:F337"/>
    <mergeCell ref="G334:J334"/>
    <mergeCell ref="G335:J335"/>
    <mergeCell ref="G336:J336"/>
    <mergeCell ref="G337:J337"/>
    <mergeCell ref="A338:F338"/>
    <mergeCell ref="A343:F343"/>
    <mergeCell ref="G343:J343"/>
    <mergeCell ref="M343:P343"/>
    <mergeCell ref="M344:P344"/>
    <mergeCell ref="Q344:T344"/>
    <mergeCell ref="M345:P345"/>
    <mergeCell ref="Q345:T345"/>
    <mergeCell ref="A319:H319"/>
    <mergeCell ref="Q321:T321"/>
    <mergeCell ref="Q322:T322"/>
    <mergeCell ref="Q343:T343"/>
    <mergeCell ref="V31:W31"/>
    <mergeCell ref="A330:T330"/>
    <mergeCell ref="A334:F334"/>
    <mergeCell ref="A335:F335"/>
    <mergeCell ref="D31:F31"/>
    <mergeCell ref="G31:I31"/>
    <mergeCell ref="L167:N167"/>
    <mergeCell ref="M31:O31"/>
    <mergeCell ref="M32:O32"/>
    <mergeCell ref="M33:O33"/>
    <mergeCell ref="M43:O43"/>
    <mergeCell ref="A159:J159"/>
    <mergeCell ref="R80:T80"/>
    <mergeCell ref="N81:Q81"/>
    <mergeCell ref="R81:T81"/>
    <mergeCell ref="N82:Q82"/>
    <mergeCell ref="R66:T66"/>
    <mergeCell ref="D67:F67"/>
    <mergeCell ref="P67:Q67"/>
    <mergeCell ref="R67:T67"/>
    <mergeCell ref="A175:T177"/>
    <mergeCell ref="R173:T173"/>
    <mergeCell ref="R191:T191"/>
    <mergeCell ref="D284:H284"/>
    <mergeCell ref="P31:Q31"/>
    <mergeCell ref="P32:Q32"/>
    <mergeCell ref="P33:Q33"/>
    <mergeCell ref="P43:Q43"/>
    <mergeCell ref="U283:W283"/>
    <mergeCell ref="A171:F173"/>
    <mergeCell ref="A160:J160"/>
    <mergeCell ref="A161:J161"/>
    <mergeCell ref="Q57:T57"/>
    <mergeCell ref="Q58:T58"/>
    <mergeCell ref="Q59:T59"/>
    <mergeCell ref="A156:T156"/>
    <mergeCell ref="D76:F76"/>
    <mergeCell ref="A73:B73"/>
    <mergeCell ref="D73:F73"/>
    <mergeCell ref="R72:T72"/>
    <mergeCell ref="L76:M76"/>
    <mergeCell ref="L73:M73"/>
    <mergeCell ref="A67:B67"/>
    <mergeCell ref="A68:B68"/>
    <mergeCell ref="A78:B78"/>
    <mergeCell ref="P70:Q70"/>
    <mergeCell ref="R70:T70"/>
    <mergeCell ref="N68:O68"/>
    <mergeCell ref="N78:O78"/>
    <mergeCell ref="P78:Q78"/>
    <mergeCell ref="R78:T78"/>
    <mergeCell ref="N73:O73"/>
    <mergeCell ref="P73:Q73"/>
    <mergeCell ref="R73:T73"/>
    <mergeCell ref="L69:M69"/>
    <mergeCell ref="A72:B72"/>
    <mergeCell ref="D72:F72"/>
    <mergeCell ref="L72:M72"/>
    <mergeCell ref="A74:B74"/>
    <mergeCell ref="D74:F74"/>
    <mergeCell ref="L74:M74"/>
    <mergeCell ref="A76:B76"/>
    <mergeCell ref="D70:F70"/>
    <mergeCell ref="N76:O76"/>
    <mergeCell ref="J193:L193"/>
    <mergeCell ref="G193:I193"/>
    <mergeCell ref="J194:L194"/>
    <mergeCell ref="G194:I194"/>
    <mergeCell ref="P193:T193"/>
    <mergeCell ref="R181:T181"/>
    <mergeCell ref="R82:T82"/>
    <mergeCell ref="R158:T158"/>
    <mergeCell ref="O162:Q162"/>
    <mergeCell ref="O163:Q163"/>
    <mergeCell ref="L164:N164"/>
    <mergeCell ref="L165:N165"/>
    <mergeCell ref="R159:T159"/>
    <mergeCell ref="R160:T160"/>
    <mergeCell ref="P194:T194"/>
    <mergeCell ref="D193:F193"/>
    <mergeCell ref="D194:F194"/>
    <mergeCell ref="M193:O193"/>
    <mergeCell ref="R183:T183"/>
    <mergeCell ref="D179:F179"/>
    <mergeCell ref="A164:J164"/>
    <mergeCell ref="A168:Q169"/>
    <mergeCell ref="R169:T169"/>
    <mergeCell ref="R161:T161"/>
    <mergeCell ref="D190:F190"/>
    <mergeCell ref="R190:T190"/>
    <mergeCell ref="M194:O194"/>
    <mergeCell ref="O167:Q167"/>
    <mergeCell ref="O158:Q158"/>
    <mergeCell ref="O159:Q159"/>
    <mergeCell ref="O160:Q160"/>
    <mergeCell ref="O161:Q161"/>
    <mergeCell ref="D180:F180"/>
    <mergeCell ref="D191:F191"/>
    <mergeCell ref="R171:T172"/>
    <mergeCell ref="G171:Q171"/>
    <mergeCell ref="R250:T250"/>
    <mergeCell ref="N223:Q223"/>
    <mergeCell ref="R223:T223"/>
    <mergeCell ref="N225:Q225"/>
    <mergeCell ref="N226:Q226"/>
    <mergeCell ref="N248:R248"/>
    <mergeCell ref="R221:T221"/>
    <mergeCell ref="R208:T208"/>
    <mergeCell ref="N209:Q209"/>
    <mergeCell ref="R209:T209"/>
    <mergeCell ref="R222:T222"/>
    <mergeCell ref="G202:I202"/>
    <mergeCell ref="J202:L202"/>
    <mergeCell ref="M202:O202"/>
    <mergeCell ref="P202:T202"/>
    <mergeCell ref="R218:T218"/>
    <mergeCell ref="R219:T219"/>
    <mergeCell ref="R225:T225"/>
    <mergeCell ref="R226:T226"/>
    <mergeCell ref="D224:H224"/>
    <mergeCell ref="P195:T195"/>
    <mergeCell ref="P205:T205"/>
    <mergeCell ref="D181:F181"/>
    <mergeCell ref="J201:L201"/>
    <mergeCell ref="M201:O201"/>
    <mergeCell ref="D198:F198"/>
    <mergeCell ref="G198:I198"/>
    <mergeCell ref="J198:L198"/>
    <mergeCell ref="A202:B202"/>
    <mergeCell ref="D202:F202"/>
    <mergeCell ref="A196:B196"/>
    <mergeCell ref="D196:F196"/>
    <mergeCell ref="G196:I196"/>
    <mergeCell ref="J196:L196"/>
    <mergeCell ref="M196:O196"/>
    <mergeCell ref="P196:T196"/>
    <mergeCell ref="N207:Q207"/>
    <mergeCell ref="R207:T207"/>
    <mergeCell ref="N208:Q208"/>
    <mergeCell ref="A203:B203"/>
    <mergeCell ref="D203:F203"/>
    <mergeCell ref="G203:I203"/>
    <mergeCell ref="D195:F195"/>
    <mergeCell ref="D205:F205"/>
    <mergeCell ref="A249:B249"/>
    <mergeCell ref="A198:B198"/>
    <mergeCell ref="P198:T198"/>
    <mergeCell ref="D200:F200"/>
    <mergeCell ref="G200:I200"/>
    <mergeCell ref="J200:L200"/>
    <mergeCell ref="J195:L195"/>
    <mergeCell ref="G195:I195"/>
    <mergeCell ref="M195:O195"/>
    <mergeCell ref="N247:R247"/>
    <mergeCell ref="D226:H226"/>
    <mergeCell ref="A197:B197"/>
    <mergeCell ref="D201:F201"/>
    <mergeCell ref="G201:I201"/>
    <mergeCell ref="D251:H251"/>
    <mergeCell ref="A219:B219"/>
    <mergeCell ref="D219:H219"/>
    <mergeCell ref="A220:B220"/>
    <mergeCell ref="D220:H220"/>
    <mergeCell ref="A221:B221"/>
    <mergeCell ref="D221:H221"/>
    <mergeCell ref="A222:B222"/>
    <mergeCell ref="D222:H222"/>
    <mergeCell ref="D247:H247"/>
    <mergeCell ref="A252:B252"/>
    <mergeCell ref="D252:H252"/>
    <mergeCell ref="A226:B226"/>
    <mergeCell ref="A247:B247"/>
    <mergeCell ref="A248:B248"/>
    <mergeCell ref="N221:Q221"/>
    <mergeCell ref="A245:T245"/>
    <mergeCell ref="A225:B225"/>
    <mergeCell ref="D225:H225"/>
    <mergeCell ref="D248:H248"/>
    <mergeCell ref="D249:H249"/>
    <mergeCell ref="A223:B223"/>
    <mergeCell ref="D223:H223"/>
    <mergeCell ref="A224:B224"/>
    <mergeCell ref="A250:B250"/>
    <mergeCell ref="N250:Q250"/>
    <mergeCell ref="A5:T5"/>
    <mergeCell ref="A322:H322"/>
    <mergeCell ref="I324:N324"/>
    <mergeCell ref="I325:N325"/>
    <mergeCell ref="I326:N326"/>
    <mergeCell ref="A324:H324"/>
    <mergeCell ref="I321:L321"/>
    <mergeCell ref="M321:P321"/>
    <mergeCell ref="J54:K54"/>
    <mergeCell ref="J55:K55"/>
    <mergeCell ref="J56:K56"/>
    <mergeCell ref="J57:K57"/>
    <mergeCell ref="J58:K58"/>
    <mergeCell ref="J59:K59"/>
    <mergeCell ref="N299:Q299"/>
    <mergeCell ref="R299:T299"/>
    <mergeCell ref="S214:T214"/>
    <mergeCell ref="N251:Q251"/>
    <mergeCell ref="R251:T251"/>
    <mergeCell ref="S248:T248"/>
    <mergeCell ref="N222:O222"/>
    <mergeCell ref="P222:Q222"/>
    <mergeCell ref="R293:T293"/>
    <mergeCell ref="D295:H295"/>
    <mergeCell ref="N288:Q288"/>
    <mergeCell ref="R288:T288"/>
    <mergeCell ref="R300:T300"/>
    <mergeCell ref="J205:L205"/>
    <mergeCell ref="G205:I205"/>
    <mergeCell ref="N253:Q253"/>
    <mergeCell ref="R253:T253"/>
    <mergeCell ref="D290:H290"/>
    <mergeCell ref="N283:R283"/>
    <mergeCell ref="A352:T353"/>
    <mergeCell ref="I355:L355"/>
    <mergeCell ref="N254:Q254"/>
    <mergeCell ref="R254:T254"/>
    <mergeCell ref="N259:Q259"/>
    <mergeCell ref="R259:T259"/>
    <mergeCell ref="N261:Q261"/>
    <mergeCell ref="R261:T261"/>
    <mergeCell ref="N255:Q255"/>
    <mergeCell ref="R255:T255"/>
    <mergeCell ref="A283:B283"/>
    <mergeCell ref="A341:T341"/>
    <mergeCell ref="A344:F344"/>
    <mergeCell ref="G344:J344"/>
    <mergeCell ref="A350:T351"/>
    <mergeCell ref="A325:H325"/>
    <mergeCell ref="A326:H326"/>
    <mergeCell ref="Y352:BP352"/>
    <mergeCell ref="Y353:BP353"/>
    <mergeCell ref="Y354:BP354"/>
    <mergeCell ref="Y355:BP355"/>
    <mergeCell ref="A360:T360"/>
    <mergeCell ref="A362:N362"/>
    <mergeCell ref="O362:T362"/>
    <mergeCell ref="I356:L357"/>
    <mergeCell ref="M356:P357"/>
    <mergeCell ref="Q356:T357"/>
    <mergeCell ref="A356:H357"/>
    <mergeCell ref="U336:W336"/>
    <mergeCell ref="A332:T332"/>
    <mergeCell ref="G338:J338"/>
    <mergeCell ref="A339:F339"/>
    <mergeCell ref="G339:J339"/>
    <mergeCell ref="R296:T296"/>
    <mergeCell ref="R297:T297"/>
    <mergeCell ref="Q319:T319"/>
    <mergeCell ref="Q320:T320"/>
    <mergeCell ref="A43:B43"/>
    <mergeCell ref="A66:B66"/>
    <mergeCell ref="A56:I56"/>
    <mergeCell ref="A284:B284"/>
    <mergeCell ref="A285:B285"/>
    <mergeCell ref="A295:B295"/>
    <mergeCell ref="A367:T367"/>
    <mergeCell ref="A369:T372"/>
    <mergeCell ref="A194:B194"/>
    <mergeCell ref="A195:B195"/>
    <mergeCell ref="A205:B205"/>
    <mergeCell ref="A214:B214"/>
    <mergeCell ref="A253:B253"/>
    <mergeCell ref="D253:H253"/>
    <mergeCell ref="A320:H320"/>
    <mergeCell ref="A321:H321"/>
    <mergeCell ref="S283:T283"/>
    <mergeCell ref="R289:T289"/>
    <mergeCell ref="N286:R286"/>
    <mergeCell ref="A288:B288"/>
    <mergeCell ref="D288:H288"/>
    <mergeCell ref="A289:B289"/>
    <mergeCell ref="D289:H289"/>
    <mergeCell ref="A290:B290"/>
    <mergeCell ref="A291:B291"/>
    <mergeCell ref="D291:H291"/>
    <mergeCell ref="A292:B292"/>
    <mergeCell ref="D292:H292"/>
    <mergeCell ref="A254:B254"/>
    <mergeCell ref="D254:H254"/>
    <mergeCell ref="A255:B255"/>
    <mergeCell ref="D255:H255"/>
    <mergeCell ref="A412:F412"/>
    <mergeCell ref="G412:J412"/>
    <mergeCell ref="A410:T410"/>
    <mergeCell ref="A413:F413"/>
    <mergeCell ref="G413:J413"/>
    <mergeCell ref="A414:F414"/>
    <mergeCell ref="G414:J414"/>
    <mergeCell ref="B399:L399"/>
    <mergeCell ref="B400:L400"/>
    <mergeCell ref="B401:L401"/>
    <mergeCell ref="C437:R437"/>
    <mergeCell ref="C438:R438"/>
    <mergeCell ref="M397:N397"/>
    <mergeCell ref="O397:P397"/>
    <mergeCell ref="R11:T11"/>
    <mergeCell ref="E11:K12"/>
    <mergeCell ref="A167:K167"/>
    <mergeCell ref="L158:N158"/>
    <mergeCell ref="L159:N159"/>
    <mergeCell ref="L160:N160"/>
    <mergeCell ref="L161:N161"/>
    <mergeCell ref="L162:N162"/>
    <mergeCell ref="L163:N163"/>
    <mergeCell ref="A52:T52"/>
    <mergeCell ref="A54:I54"/>
    <mergeCell ref="A165:J165"/>
    <mergeCell ref="P66:Q66"/>
    <mergeCell ref="A57:I57"/>
    <mergeCell ref="M355:P355"/>
    <mergeCell ref="Q355:T355"/>
    <mergeCell ref="S397:T397"/>
    <mergeCell ref="A33:B33"/>
    <mergeCell ref="A374:E374"/>
    <mergeCell ref="F374:K374"/>
    <mergeCell ref="Q374:T374"/>
    <mergeCell ref="M398:N398"/>
    <mergeCell ref="O398:P398"/>
    <mergeCell ref="Q398:R398"/>
    <mergeCell ref="S398:T398"/>
    <mergeCell ref="Q389:R389"/>
    <mergeCell ref="S389:T389"/>
    <mergeCell ref="M390:N390"/>
    <mergeCell ref="O390:P390"/>
    <mergeCell ref="Q390:R390"/>
    <mergeCell ref="Q399:R399"/>
    <mergeCell ref="O400:P400"/>
    <mergeCell ref="M401:N401"/>
    <mergeCell ref="O401:P401"/>
    <mergeCell ref="M399:N399"/>
    <mergeCell ref="O399:P399"/>
    <mergeCell ref="Q395:R395"/>
    <mergeCell ref="M395:N395"/>
    <mergeCell ref="L374:P374"/>
    <mergeCell ref="O392:P392"/>
    <mergeCell ref="Q392:R392"/>
    <mergeCell ref="A363:N363"/>
    <mergeCell ref="O363:T363"/>
    <mergeCell ref="A354:H355"/>
    <mergeCell ref="I354:T354"/>
    <mergeCell ref="N296:O296"/>
    <mergeCell ref="P296:Q296"/>
    <mergeCell ref="O395:P395"/>
    <mergeCell ref="A405:N405"/>
    <mergeCell ref="O458:Q458"/>
    <mergeCell ref="F375:K375"/>
    <mergeCell ref="Q375:T375"/>
    <mergeCell ref="A378:T378"/>
    <mergeCell ref="B386:L386"/>
    <mergeCell ref="B387:L387"/>
    <mergeCell ref="O389:P389"/>
    <mergeCell ref="S399:T399"/>
    <mergeCell ref="M400:N400"/>
    <mergeCell ref="A416:T416"/>
    <mergeCell ref="A431:B431"/>
    <mergeCell ref="A432:B433"/>
    <mergeCell ref="A434:B434"/>
    <mergeCell ref="A435:B435"/>
    <mergeCell ref="A448:B448"/>
    <mergeCell ref="A449:B449"/>
    <mergeCell ref="A447:B447"/>
    <mergeCell ref="A440:B441"/>
    <mergeCell ref="S443:T443"/>
    <mergeCell ref="A442:B442"/>
    <mergeCell ref="A436:B436"/>
    <mergeCell ref="O393:P393"/>
    <mergeCell ref="Q393:R393"/>
    <mergeCell ref="S393:T393"/>
    <mergeCell ref="O406:T406"/>
    <mergeCell ref="O407:T407"/>
    <mergeCell ref="A406:N406"/>
    <mergeCell ref="A407:N407"/>
    <mergeCell ref="S395:T395"/>
    <mergeCell ref="M396:N396"/>
    <mergeCell ref="O396:P396"/>
    <mergeCell ref="Q396:R396"/>
    <mergeCell ref="S396:T396"/>
    <mergeCell ref="O405:T405"/>
    <mergeCell ref="S394:T394"/>
    <mergeCell ref="Q397:R397"/>
    <mergeCell ref="C455:R455"/>
    <mergeCell ref="C453:R454"/>
    <mergeCell ref="C432:R433"/>
    <mergeCell ref="S444:T444"/>
    <mergeCell ref="M393:N393"/>
    <mergeCell ref="A437:B437"/>
    <mergeCell ref="A438:B438"/>
    <mergeCell ref="A439:B439"/>
    <mergeCell ref="A443:B443"/>
    <mergeCell ref="A444:B444"/>
    <mergeCell ref="A445:B445"/>
    <mergeCell ref="A446:B446"/>
    <mergeCell ref="S435:T435"/>
    <mergeCell ref="S400:T400"/>
    <mergeCell ref="S445:T445"/>
    <mergeCell ref="S446:T446"/>
    <mergeCell ref="S447:T447"/>
    <mergeCell ref="B390:L390"/>
    <mergeCell ref="B391:L391"/>
    <mergeCell ref="B392:L392"/>
    <mergeCell ref="B393:L393"/>
    <mergeCell ref="B394:L394"/>
    <mergeCell ref="B395:L395"/>
    <mergeCell ref="B396:L396"/>
    <mergeCell ref="B397:L397"/>
    <mergeCell ref="B398:L398"/>
    <mergeCell ref="A179:B179"/>
    <mergeCell ref="A180:B180"/>
    <mergeCell ref="A181:B181"/>
    <mergeCell ref="A191:B191"/>
    <mergeCell ref="A193:B193"/>
    <mergeCell ref="A364:N364"/>
    <mergeCell ref="O364:T364"/>
    <mergeCell ref="N300:Q300"/>
    <mergeCell ref="P200:T200"/>
    <mergeCell ref="A201:B201"/>
    <mergeCell ref="Q376:T376"/>
    <mergeCell ref="A375:E375"/>
    <mergeCell ref="S392:T392"/>
    <mergeCell ref="N297:Q297"/>
    <mergeCell ref="M392:N392"/>
    <mergeCell ref="N292:Q292"/>
    <mergeCell ref="R292:T292"/>
    <mergeCell ref="N291:Q291"/>
    <mergeCell ref="R291:T291"/>
    <mergeCell ref="A293:B293"/>
    <mergeCell ref="D293:H293"/>
    <mergeCell ref="A294:B294"/>
    <mergeCell ref="D294:H294"/>
    <mergeCell ref="A470:B470"/>
    <mergeCell ref="A471:B471"/>
    <mergeCell ref="E472:F472"/>
    <mergeCell ref="A468:B468"/>
    <mergeCell ref="A469:B469"/>
    <mergeCell ref="R472:T472"/>
    <mergeCell ref="E473:F473"/>
    <mergeCell ref="C465:D465"/>
    <mergeCell ref="C466:D466"/>
    <mergeCell ref="C467:D467"/>
    <mergeCell ref="C468:D468"/>
    <mergeCell ref="C469:D469"/>
    <mergeCell ref="C470:D470"/>
    <mergeCell ref="C471:D471"/>
    <mergeCell ref="G469:N469"/>
    <mergeCell ref="G470:N470"/>
    <mergeCell ref="G471:N471"/>
    <mergeCell ref="G472:N472"/>
    <mergeCell ref="G473:N473"/>
    <mergeCell ref="O473:Q473"/>
    <mergeCell ref="R473:T473"/>
    <mergeCell ref="E469:F469"/>
    <mergeCell ref="O469:Q469"/>
    <mergeCell ref="R469:T469"/>
    <mergeCell ref="E470:F470"/>
    <mergeCell ref="O470:Q470"/>
    <mergeCell ref="R470:T470"/>
    <mergeCell ref="E471:F471"/>
    <mergeCell ref="O471:Q471"/>
    <mergeCell ref="R471:T471"/>
    <mergeCell ref="A467:B467"/>
    <mergeCell ref="A463:B463"/>
    <mergeCell ref="A464:B464"/>
    <mergeCell ref="A465:B465"/>
    <mergeCell ref="A466:B466"/>
    <mergeCell ref="C434:R434"/>
    <mergeCell ref="C435:R435"/>
    <mergeCell ref="C436:R436"/>
    <mergeCell ref="G458:N458"/>
    <mergeCell ref="C458:D458"/>
    <mergeCell ref="C459:D459"/>
    <mergeCell ref="C460:D460"/>
    <mergeCell ref="C461:D461"/>
    <mergeCell ref="C462:D462"/>
    <mergeCell ref="C443:R443"/>
    <mergeCell ref="C444:R444"/>
    <mergeCell ref="C445:R445"/>
    <mergeCell ref="C446:R446"/>
    <mergeCell ref="C447:R447"/>
    <mergeCell ref="C448:R448"/>
    <mergeCell ref="C449:R449"/>
    <mergeCell ref="C450:R450"/>
    <mergeCell ref="E461:F461"/>
    <mergeCell ref="O459:Q459"/>
    <mergeCell ref="R459:T459"/>
    <mergeCell ref="C451:R451"/>
    <mergeCell ref="C452:R452"/>
    <mergeCell ref="C440:R441"/>
    <mergeCell ref="A459:B459"/>
    <mergeCell ref="R458:T458"/>
    <mergeCell ref="E459:F459"/>
    <mergeCell ref="A460:B460"/>
    <mergeCell ref="S449:T449"/>
    <mergeCell ref="A525:N525"/>
    <mergeCell ref="O525:T525"/>
    <mergeCell ref="A527:N527"/>
    <mergeCell ref="O527:T527"/>
    <mergeCell ref="A530:T530"/>
    <mergeCell ref="A516:T516"/>
    <mergeCell ref="A518:F518"/>
    <mergeCell ref="N518:T518"/>
    <mergeCell ref="A519:F519"/>
    <mergeCell ref="R474:T474"/>
    <mergeCell ref="E475:F475"/>
    <mergeCell ref="E478:F478"/>
    <mergeCell ref="O478:Q478"/>
    <mergeCell ref="R478:T478"/>
    <mergeCell ref="E479:F479"/>
    <mergeCell ref="O479:Q479"/>
    <mergeCell ref="R479:T479"/>
    <mergeCell ref="A478:B478"/>
    <mergeCell ref="A479:B479"/>
    <mergeCell ref="C478:D478"/>
    <mergeCell ref="C479:D479"/>
    <mergeCell ref="G478:N478"/>
    <mergeCell ref="G479:N479"/>
    <mergeCell ref="A476:B476"/>
    <mergeCell ref="A477:B477"/>
    <mergeCell ref="E474:F474"/>
    <mergeCell ref="O474:Q474"/>
    <mergeCell ref="O475:Q475"/>
    <mergeCell ref="R475:T475"/>
    <mergeCell ref="A474:B474"/>
    <mergeCell ref="A475:B475"/>
    <mergeCell ref="E476:F476"/>
    <mergeCell ref="R34:T34"/>
    <mergeCell ref="A35:B35"/>
    <mergeCell ref="D35:F35"/>
    <mergeCell ref="G35:I35"/>
    <mergeCell ref="J35:L35"/>
    <mergeCell ref="M35:O35"/>
    <mergeCell ref="P35:Q35"/>
    <mergeCell ref="R35:T35"/>
    <mergeCell ref="A182:B182"/>
    <mergeCell ref="D182:F182"/>
    <mergeCell ref="R182:T182"/>
    <mergeCell ref="R165:T165"/>
    <mergeCell ref="A85:T85"/>
    <mergeCell ref="A119:T119"/>
    <mergeCell ref="A137:T137"/>
    <mergeCell ref="D68:F68"/>
    <mergeCell ref="P68:Q68"/>
    <mergeCell ref="R68:T68"/>
    <mergeCell ref="N80:Q80"/>
    <mergeCell ref="A158:J158"/>
    <mergeCell ref="D78:F78"/>
    <mergeCell ref="L66:M66"/>
    <mergeCell ref="L67:M67"/>
    <mergeCell ref="L68:M68"/>
    <mergeCell ref="L78:M78"/>
    <mergeCell ref="A69:B69"/>
    <mergeCell ref="A36:B36"/>
    <mergeCell ref="D36:F36"/>
    <mergeCell ref="G36:I36"/>
    <mergeCell ref="J36:L36"/>
    <mergeCell ref="M36:O36"/>
    <mergeCell ref="P36:Q36"/>
    <mergeCell ref="U545:V545"/>
    <mergeCell ref="A546:N546"/>
    <mergeCell ref="O546:T546"/>
    <mergeCell ref="E466:F466"/>
    <mergeCell ref="O466:Q466"/>
    <mergeCell ref="R466:T466"/>
    <mergeCell ref="E467:F467"/>
    <mergeCell ref="O467:Q467"/>
    <mergeCell ref="R467:T467"/>
    <mergeCell ref="E464:F464"/>
    <mergeCell ref="O464:Q464"/>
    <mergeCell ref="R464:T464"/>
    <mergeCell ref="A508:M508"/>
    <mergeCell ref="Q508:T508"/>
    <mergeCell ref="A510:N510"/>
    <mergeCell ref="O510:T510"/>
    <mergeCell ref="A511:N511"/>
    <mergeCell ref="O511:T511"/>
    <mergeCell ref="A513:N513"/>
    <mergeCell ref="O513:T513"/>
    <mergeCell ref="R477:T477"/>
    <mergeCell ref="A485:R486"/>
    <mergeCell ref="S485:T486"/>
    <mergeCell ref="D483:E483"/>
    <mergeCell ref="A483:B483"/>
    <mergeCell ref="L483:Q483"/>
    <mergeCell ref="E491:M500"/>
    <mergeCell ref="Q501:T502"/>
    <mergeCell ref="A507:M507"/>
    <mergeCell ref="Q507:T507"/>
    <mergeCell ref="R483:T483"/>
    <mergeCell ref="C475:D475"/>
    <mergeCell ref="R36:T36"/>
    <mergeCell ref="A37:B37"/>
    <mergeCell ref="D37:F37"/>
    <mergeCell ref="G37:I37"/>
    <mergeCell ref="J37:L37"/>
    <mergeCell ref="M37:O37"/>
    <mergeCell ref="P37:Q37"/>
    <mergeCell ref="R37:T37"/>
    <mergeCell ref="A40:B40"/>
    <mergeCell ref="D40:F40"/>
    <mergeCell ref="G40:I40"/>
    <mergeCell ref="R41:T41"/>
    <mergeCell ref="A38:B38"/>
    <mergeCell ref="D38:F38"/>
    <mergeCell ref="G38:I38"/>
    <mergeCell ref="J38:L38"/>
    <mergeCell ref="M38:O38"/>
    <mergeCell ref="P38:Q38"/>
    <mergeCell ref="R38:T38"/>
    <mergeCell ref="A39:B39"/>
    <mergeCell ref="D39:F39"/>
    <mergeCell ref="G39:I39"/>
    <mergeCell ref="J39:L39"/>
    <mergeCell ref="M39:O39"/>
    <mergeCell ref="P39:Q39"/>
    <mergeCell ref="R39:T39"/>
    <mergeCell ref="J40:L40"/>
    <mergeCell ref="M40:O40"/>
    <mergeCell ref="P40:Q40"/>
    <mergeCell ref="R40:T40"/>
    <mergeCell ref="A41:B41"/>
    <mergeCell ref="D41:F41"/>
    <mergeCell ref="G41:I41"/>
    <mergeCell ref="J41:L41"/>
    <mergeCell ref="M41:O41"/>
    <mergeCell ref="P41:Q41"/>
    <mergeCell ref="L64:M64"/>
    <mergeCell ref="A62:F63"/>
    <mergeCell ref="L62:M63"/>
    <mergeCell ref="N45:Q45"/>
    <mergeCell ref="N46:Q46"/>
    <mergeCell ref="A42:B42"/>
    <mergeCell ref="D42:F42"/>
    <mergeCell ref="G42:I42"/>
    <mergeCell ref="J42:L42"/>
    <mergeCell ref="M42:O42"/>
    <mergeCell ref="P42:Q42"/>
    <mergeCell ref="R42:T42"/>
    <mergeCell ref="L70:M70"/>
    <mergeCell ref="N70:O70"/>
    <mergeCell ref="N47:Q47"/>
    <mergeCell ref="R45:T45"/>
    <mergeCell ref="R46:T46"/>
    <mergeCell ref="R47:T47"/>
    <mergeCell ref="N66:O66"/>
    <mergeCell ref="L54:P54"/>
    <mergeCell ref="L55:P55"/>
    <mergeCell ref="L56:P56"/>
    <mergeCell ref="L57:P57"/>
    <mergeCell ref="L58:P58"/>
    <mergeCell ref="L59:P59"/>
    <mergeCell ref="N67:O67"/>
    <mergeCell ref="A55:I55"/>
    <mergeCell ref="R43:T43"/>
    <mergeCell ref="P76:Q76"/>
    <mergeCell ref="A77:B77"/>
    <mergeCell ref="D77:F77"/>
    <mergeCell ref="L77:M77"/>
    <mergeCell ref="N77:O77"/>
    <mergeCell ref="P77:Q77"/>
    <mergeCell ref="R76:T76"/>
    <mergeCell ref="R77:T77"/>
    <mergeCell ref="N74:O74"/>
    <mergeCell ref="P74:Q74"/>
    <mergeCell ref="A75:B75"/>
    <mergeCell ref="D75:F75"/>
    <mergeCell ref="L75:M75"/>
    <mergeCell ref="N75:O75"/>
    <mergeCell ref="P75:Q75"/>
    <mergeCell ref="R74:T74"/>
    <mergeCell ref="R75:T75"/>
    <mergeCell ref="A71:B71"/>
    <mergeCell ref="D71:F71"/>
    <mergeCell ref="L71:M71"/>
    <mergeCell ref="N71:O71"/>
    <mergeCell ref="R162:T162"/>
    <mergeCell ref="R163:T163"/>
    <mergeCell ref="R164:T164"/>
    <mergeCell ref="O164:Q164"/>
    <mergeCell ref="O165:Q165"/>
    <mergeCell ref="R179:T179"/>
    <mergeCell ref="M197:O197"/>
    <mergeCell ref="P197:T197"/>
    <mergeCell ref="P71:Q71"/>
    <mergeCell ref="R71:T71"/>
    <mergeCell ref="N69:O69"/>
    <mergeCell ref="A50:T50"/>
    <mergeCell ref="D66:F66"/>
    <mergeCell ref="A58:I58"/>
    <mergeCell ref="A59:I59"/>
    <mergeCell ref="G62:K62"/>
    <mergeCell ref="A187:B187"/>
    <mergeCell ref="D187:F187"/>
    <mergeCell ref="R187:T187"/>
    <mergeCell ref="A188:B188"/>
    <mergeCell ref="D188:F188"/>
    <mergeCell ref="R188:T188"/>
    <mergeCell ref="A189:B189"/>
    <mergeCell ref="D189:F189"/>
    <mergeCell ref="R189:T189"/>
    <mergeCell ref="A184:B184"/>
    <mergeCell ref="D184:F184"/>
    <mergeCell ref="R184:T184"/>
    <mergeCell ref="A185:B185"/>
    <mergeCell ref="D185:F185"/>
    <mergeCell ref="R185:T185"/>
    <mergeCell ref="A186:B186"/>
    <mergeCell ref="D186:F186"/>
    <mergeCell ref="R186:T186"/>
    <mergeCell ref="D69:F69"/>
    <mergeCell ref="P69:Q69"/>
    <mergeCell ref="R69:T69"/>
    <mergeCell ref="A70:B70"/>
    <mergeCell ref="M205:O205"/>
    <mergeCell ref="R220:T220"/>
    <mergeCell ref="D215:H215"/>
    <mergeCell ref="D216:H216"/>
    <mergeCell ref="N216:Q216"/>
    <mergeCell ref="N217:Q217"/>
    <mergeCell ref="R217:T217"/>
    <mergeCell ref="R216:T216"/>
    <mergeCell ref="N218:Q218"/>
    <mergeCell ref="N219:Q219"/>
    <mergeCell ref="A215:B215"/>
    <mergeCell ref="A216:B216"/>
    <mergeCell ref="D197:F197"/>
    <mergeCell ref="G197:I197"/>
    <mergeCell ref="J197:L197"/>
    <mergeCell ref="A199:B199"/>
    <mergeCell ref="D199:F199"/>
    <mergeCell ref="G199:I199"/>
    <mergeCell ref="J199:L199"/>
    <mergeCell ref="M199:O199"/>
    <mergeCell ref="P199:T199"/>
    <mergeCell ref="A200:B200"/>
    <mergeCell ref="M198:O198"/>
    <mergeCell ref="M200:O200"/>
    <mergeCell ref="P201:T201"/>
    <mergeCell ref="Q400:R400"/>
    <mergeCell ref="M394:N394"/>
    <mergeCell ref="O394:P394"/>
    <mergeCell ref="Q394:R394"/>
    <mergeCell ref="M386:N386"/>
    <mergeCell ref="O386:P386"/>
    <mergeCell ref="Q386:R386"/>
    <mergeCell ref="S386:T386"/>
    <mergeCell ref="M387:N387"/>
    <mergeCell ref="O387:P387"/>
    <mergeCell ref="Q387:R387"/>
    <mergeCell ref="S387:T387"/>
    <mergeCell ref="C442:R442"/>
    <mergeCell ref="B388:L388"/>
    <mergeCell ref="B389:L389"/>
    <mergeCell ref="J203:L203"/>
    <mergeCell ref="M203:O203"/>
    <mergeCell ref="P203:T203"/>
    <mergeCell ref="A204:B204"/>
    <mergeCell ref="D204:F204"/>
    <mergeCell ref="G204:I204"/>
    <mergeCell ref="J204:L204"/>
    <mergeCell ref="M204:O204"/>
    <mergeCell ref="P204:T204"/>
    <mergeCell ref="A217:B217"/>
    <mergeCell ref="D217:H217"/>
    <mergeCell ref="A218:B218"/>
    <mergeCell ref="D218:H218"/>
    <mergeCell ref="N220:Q220"/>
    <mergeCell ref="A212:T212"/>
    <mergeCell ref="D214:H214"/>
    <mergeCell ref="N214:R214"/>
    <mergeCell ref="A560:T560"/>
    <mergeCell ref="A557:T557"/>
    <mergeCell ref="A558:T558"/>
    <mergeCell ref="O461:Q461"/>
    <mergeCell ref="R461:T461"/>
    <mergeCell ref="O465:Q465"/>
    <mergeCell ref="R465:T465"/>
    <mergeCell ref="E462:F462"/>
    <mergeCell ref="O462:Q462"/>
    <mergeCell ref="R462:T462"/>
    <mergeCell ref="E463:F463"/>
    <mergeCell ref="S451:T451"/>
    <mergeCell ref="S452:T452"/>
    <mergeCell ref="S453:T454"/>
    <mergeCell ref="A450:B450"/>
    <mergeCell ref="A554:T554"/>
    <mergeCell ref="L375:P375"/>
    <mergeCell ref="A376:P376"/>
    <mergeCell ref="M391:N391"/>
    <mergeCell ref="O391:P391"/>
    <mergeCell ref="Q391:R391"/>
    <mergeCell ref="S391:T391"/>
    <mergeCell ref="M388:N388"/>
    <mergeCell ref="O388:P388"/>
    <mergeCell ref="Q388:R388"/>
    <mergeCell ref="S388:T388"/>
    <mergeCell ref="M389:N389"/>
    <mergeCell ref="A379:T384"/>
    <mergeCell ref="S390:T390"/>
    <mergeCell ref="A524:N524"/>
    <mergeCell ref="C463:D463"/>
    <mergeCell ref="C464:D464"/>
    <mergeCell ref="E468:F468"/>
    <mergeCell ref="S450:T450"/>
    <mergeCell ref="A452:B452"/>
    <mergeCell ref="A453:B454"/>
    <mergeCell ref="O524:T524"/>
    <mergeCell ref="A418:T420"/>
    <mergeCell ref="I422:K422"/>
    <mergeCell ref="L422:N422"/>
    <mergeCell ref="A428:T430"/>
    <mergeCell ref="S431:T431"/>
    <mergeCell ref="S432:T433"/>
    <mergeCell ref="S434:T434"/>
    <mergeCell ref="S436:T436"/>
    <mergeCell ref="S437:T437"/>
    <mergeCell ref="S438:T438"/>
    <mergeCell ref="S439:T439"/>
    <mergeCell ref="S440:T441"/>
    <mergeCell ref="S442:T442"/>
    <mergeCell ref="C431:R431"/>
    <mergeCell ref="C439:R439"/>
    <mergeCell ref="O468:Q468"/>
    <mergeCell ref="R468:T468"/>
    <mergeCell ref="A504:J504"/>
    <mergeCell ref="N504:T504"/>
    <mergeCell ref="A506:M506"/>
    <mergeCell ref="Q506:T506"/>
    <mergeCell ref="R476:T476"/>
    <mergeCell ref="E477:F477"/>
    <mergeCell ref="O477:Q477"/>
    <mergeCell ref="O521:T521"/>
    <mergeCell ref="A522:N522"/>
    <mergeCell ref="O522:T522"/>
    <mergeCell ref="A489:T489"/>
    <mergeCell ref="A502:P502"/>
    <mergeCell ref="A451:B451"/>
    <mergeCell ref="E458:F458"/>
    <mergeCell ref="G459:N459"/>
    <mergeCell ref="G460:N460"/>
    <mergeCell ref="G461:N461"/>
    <mergeCell ref="G462:N462"/>
    <mergeCell ref="G463:N463"/>
    <mergeCell ref="G464:N464"/>
    <mergeCell ref="G465:N465"/>
    <mergeCell ref="G466:N466"/>
    <mergeCell ref="G467:N467"/>
    <mergeCell ref="G468:N468"/>
    <mergeCell ref="C472:D472"/>
    <mergeCell ref="C473:D473"/>
    <mergeCell ref="O472:Q472"/>
    <mergeCell ref="A472:B472"/>
    <mergeCell ref="A473:B473"/>
    <mergeCell ref="O476:Q476"/>
    <mergeCell ref="C477:D477"/>
    <mergeCell ref="G476:N476"/>
    <mergeCell ref="G477:N477"/>
    <mergeCell ref="C476:D476"/>
    <mergeCell ref="S455:T455"/>
    <mergeCell ref="A455:B455"/>
    <mergeCell ref="A458:B458"/>
    <mergeCell ref="A461:B461"/>
    <mergeCell ref="A462:B462"/>
    <mergeCell ref="A578:T578"/>
    <mergeCell ref="A579:T579"/>
    <mergeCell ref="A580:T580"/>
    <mergeCell ref="A581:T581"/>
    <mergeCell ref="A582:T582"/>
    <mergeCell ref="A562:T562"/>
    <mergeCell ref="A563:T564"/>
    <mergeCell ref="A565:T565"/>
    <mergeCell ref="A566:T566"/>
    <mergeCell ref="A567:T568"/>
    <mergeCell ref="A569:T570"/>
    <mergeCell ref="A572:T573"/>
    <mergeCell ref="A574:T575"/>
    <mergeCell ref="A576:T577"/>
    <mergeCell ref="A561:T561"/>
    <mergeCell ref="A544:N544"/>
    <mergeCell ref="O544:T544"/>
    <mergeCell ref="A545:N545"/>
    <mergeCell ref="O545:T545"/>
    <mergeCell ref="A571:T571"/>
    <mergeCell ref="A559:T559"/>
    <mergeCell ref="A547:N547"/>
    <mergeCell ref="O547:T547"/>
    <mergeCell ref="A549:N549"/>
    <mergeCell ref="O549:T549"/>
    <mergeCell ref="Q401:R401"/>
    <mergeCell ref="S401:T401"/>
    <mergeCell ref="M403:N403"/>
    <mergeCell ref="P403:R403"/>
    <mergeCell ref="S403:T403"/>
    <mergeCell ref="B403:L403"/>
    <mergeCell ref="A552:T552"/>
    <mergeCell ref="A553:T553"/>
    <mergeCell ref="E465:F465"/>
    <mergeCell ref="A256:B256"/>
    <mergeCell ref="D256:H256"/>
    <mergeCell ref="A257:B257"/>
    <mergeCell ref="D257:H257"/>
    <mergeCell ref="A258:B258"/>
    <mergeCell ref="D258:H258"/>
    <mergeCell ref="D259:H259"/>
    <mergeCell ref="A286:B286"/>
    <mergeCell ref="D286:H286"/>
    <mergeCell ref="A287:B287"/>
    <mergeCell ref="D287:H287"/>
    <mergeCell ref="A259:B259"/>
    <mergeCell ref="O463:Q463"/>
    <mergeCell ref="R463:T463"/>
    <mergeCell ref="E460:F460"/>
    <mergeCell ref="O460:Q460"/>
    <mergeCell ref="R460:T460"/>
    <mergeCell ref="S448:T448"/>
    <mergeCell ref="A481:T481"/>
    <mergeCell ref="G474:N474"/>
    <mergeCell ref="G475:N475"/>
    <mergeCell ref="C474:D474"/>
    <mergeCell ref="A521:N521"/>
  </mergeCells>
  <conditionalFormatting sqref="A434:A440">
    <cfRule type="cellIs" dxfId="24" priority="5" operator="lessThan">
      <formula>0</formula>
    </cfRule>
  </conditionalFormatting>
  <conditionalFormatting sqref="A442:A453">
    <cfRule type="cellIs" dxfId="23" priority="4" operator="lessThan">
      <formula>0</formula>
    </cfRule>
  </conditionalFormatting>
  <conditionalFormatting sqref="A455">
    <cfRule type="cellIs" dxfId="22" priority="6" operator="lessThan">
      <formula>0</formula>
    </cfRule>
  </conditionalFormatting>
  <conditionalFormatting sqref="A459:A479">
    <cfRule type="cellIs" dxfId="21" priority="3" operator="lessThan">
      <formula>0</formula>
    </cfRule>
  </conditionalFormatting>
  <conditionalFormatting sqref="A386:C386 M386 O386 Q386 S386 A402 M403 P403 S403">
    <cfRule type="cellIs" dxfId="20" priority="16" operator="equal">
      <formula>"Observações"</formula>
    </cfRule>
    <cfRule type="cellIs" dxfId="19" priority="17" operator="equal">
      <formula>"Observação"</formula>
    </cfRule>
    <cfRule type="cellIs" dxfId="18" priority="18" operator="lessThan">
      <formula>0</formula>
    </cfRule>
  </conditionalFormatting>
  <conditionalFormatting sqref="A484:E484">
    <cfRule type="cellIs" dxfId="17" priority="13" operator="lessThan">
      <formula>0</formula>
    </cfRule>
  </conditionalFormatting>
  <conditionalFormatting sqref="A378:I378 A379:A380">
    <cfRule type="cellIs" dxfId="16" priority="19" operator="equal">
      <formula>"Observações"</formula>
    </cfRule>
    <cfRule type="cellIs" dxfId="15" priority="20" operator="equal">
      <formula>"Observação"</formula>
    </cfRule>
    <cfRule type="cellIs" dxfId="14" priority="21" operator="lessThan">
      <formula>0</formula>
    </cfRule>
  </conditionalFormatting>
  <conditionalFormatting sqref="C431:C432">
    <cfRule type="cellIs" dxfId="13" priority="11" operator="lessThan">
      <formula>0</formula>
    </cfRule>
  </conditionalFormatting>
  <conditionalFormatting sqref="C434:C440">
    <cfRule type="cellIs" dxfId="12" priority="10" operator="lessThan">
      <formula>0</formula>
    </cfRule>
  </conditionalFormatting>
  <conditionalFormatting sqref="C442:C453">
    <cfRule type="cellIs" dxfId="11" priority="1" operator="lessThan">
      <formula>0</formula>
    </cfRule>
  </conditionalFormatting>
  <conditionalFormatting sqref="C455">
    <cfRule type="cellIs" dxfId="10" priority="9" operator="lessThan">
      <formula>0</formula>
    </cfRule>
  </conditionalFormatting>
  <conditionalFormatting sqref="O547:T547">
    <cfRule type="cellIs" dxfId="9" priority="15" operator="greaterThan">
      <formula>0.01</formula>
    </cfRule>
  </conditionalFormatting>
  <conditionalFormatting sqref="Q345:T345">
    <cfRule type="cellIs" dxfId="8" priority="40" operator="greaterThan">
      <formula>0.5</formula>
    </cfRule>
  </conditionalFormatting>
  <conditionalFormatting sqref="R223:T223">
    <cfRule type="cellIs" dxfId="7" priority="37" operator="equal">
      <formula>"Encerrar"</formula>
    </cfRule>
    <cfRule type="cellIs" dxfId="6" priority="38" operator="equal">
      <formula>"Continuar"</formula>
    </cfRule>
  </conditionalFormatting>
  <conditionalFormatting sqref="R259:T259">
    <cfRule type="cellIs" dxfId="5" priority="26" operator="equal">
      <formula>"Encerrar"</formula>
    </cfRule>
    <cfRule type="cellIs" dxfId="4" priority="27" operator="equal">
      <formula>"Continuar"</formula>
    </cfRule>
  </conditionalFormatting>
  <conditionalFormatting sqref="R297:T297">
    <cfRule type="cellIs" dxfId="3" priority="24" operator="equal">
      <formula>"Encerrar"</formula>
    </cfRule>
    <cfRule type="cellIs" dxfId="2" priority="25" operator="equal">
      <formula>"Continuar"</formula>
    </cfRule>
  </conditionalFormatting>
  <conditionalFormatting sqref="S431:S432 A432 S434:S440 S442:S453 S455 C458:C479 O458:O479 E459:E479 G459:G479 R459:R479 A481:C481 A483 D483 K483:L483 A485:C485">
    <cfRule type="cellIs" dxfId="1" priority="12" operator="lessThan">
      <formula>0</formula>
    </cfRule>
  </conditionalFormatting>
  <conditionalFormatting sqref="U545">
    <cfRule type="containsText" dxfId="0" priority="14" operator="containsText" text="Reduzir o número de casas decimais">
      <formula>NOT(ISERROR(SEARCH("Reduzir o número de casas decimais",U545)))</formula>
    </cfRule>
  </conditionalFormatting>
  <dataValidations count="5">
    <dataValidation type="list" allowBlank="1" showInputMessage="1" showErrorMessage="1" sqref="F374:K374" xr:uid="{16BA2861-BB4D-4547-B36D-9B65721AAE3C}">
      <formula1>$AK$371:$AK$374</formula1>
    </dataValidation>
    <dataValidation type="list" allowBlank="1" showInputMessage="1" showErrorMessage="1" sqref="Q374:T374" xr:uid="{F36208C9-7AC5-49C3-82E9-188C9A389661}">
      <formula1>$AK$367:$AK$369</formula1>
    </dataValidation>
    <dataValidation type="list" allowBlank="1" showInputMessage="1" showErrorMessage="1" sqref="E459:F479" xr:uid="{274F81E6-408B-435F-AEFE-EB4C464D5413}">
      <formula1>$V$461:$V$469</formula1>
    </dataValidation>
    <dataValidation type="list" allowBlank="1" showInputMessage="1" showErrorMessage="1" sqref="M32:M43" xr:uid="{5C2DD489-0C83-42A1-A5AC-6D8E4F2B2F12}">
      <formula1>$V$33:$V$34</formula1>
    </dataValidation>
    <dataValidation type="list" allowBlank="1" showInputMessage="1" showErrorMessage="1" sqref="F375:K375" xr:uid="{BC7723A1-F713-4D77-A225-4755655D3AAE}">
      <formula1>$AJ$367:$AJ$376</formula1>
    </dataValidation>
  </dataValidations>
  <printOptions horizontalCentered="1"/>
  <pageMargins left="0.25" right="0.25" top="0.75" bottom="0.75" header="0.3" footer="0.3"/>
  <pageSetup paperSize="9" scale="79" fitToHeight="0" orientation="portrait" r:id="rId1"/>
  <ignoredErrors>
    <ignoredError sqref="O5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N518:T518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39" customWidth="1"/>
    <col min="19" max="16384" width="20.625" style="32"/>
  </cols>
  <sheetData>
    <row r="1" spans="1:42" ht="20.100000000000001" customHeight="1" thickBot="1" x14ac:dyDescent="0.3">
      <c r="A1" s="223" t="s">
        <v>103</v>
      </c>
      <c r="B1" s="223"/>
      <c r="C1" s="223"/>
      <c r="D1" s="223"/>
      <c r="E1" s="223"/>
      <c r="F1" s="223"/>
      <c r="G1" s="223"/>
      <c r="H1" s="223"/>
      <c r="I1" s="223"/>
      <c r="J1" s="223"/>
      <c r="K1" s="223"/>
      <c r="L1" s="223"/>
      <c r="M1" s="223"/>
      <c r="N1" s="223"/>
      <c r="O1" s="223"/>
      <c r="P1" s="223"/>
      <c r="Q1" s="223"/>
      <c r="R1" s="223"/>
    </row>
    <row r="2" spans="1:42" x14ac:dyDescent="0.25">
      <c r="A2" s="4"/>
      <c r="B2" s="4"/>
      <c r="C2" s="4"/>
      <c r="D2" s="4"/>
      <c r="E2" s="4"/>
      <c r="F2" s="4"/>
      <c r="G2" s="4"/>
      <c r="H2" s="4"/>
      <c r="I2" s="4"/>
      <c r="J2" s="4"/>
      <c r="K2" s="4"/>
      <c r="L2" s="4"/>
      <c r="M2" s="4"/>
      <c r="N2" s="4"/>
      <c r="O2" s="4"/>
      <c r="P2" s="4"/>
      <c r="Q2" s="4"/>
      <c r="R2" s="4"/>
    </row>
    <row r="3" spans="1:42" ht="20.100000000000001" customHeight="1" x14ac:dyDescent="0.25">
      <c r="A3" s="224" t="s">
        <v>104</v>
      </c>
      <c r="B3" s="224"/>
      <c r="C3" s="224"/>
      <c r="D3" s="224"/>
      <c r="E3" s="224"/>
      <c r="F3" s="224"/>
      <c r="G3" s="224"/>
      <c r="H3" s="224"/>
      <c r="I3" s="224"/>
      <c r="J3" s="224"/>
      <c r="K3" s="224"/>
      <c r="L3" s="224"/>
      <c r="M3" s="224"/>
      <c r="N3" s="224"/>
      <c r="O3" s="224"/>
      <c r="P3" s="224"/>
      <c r="Q3" s="224"/>
      <c r="R3" s="224"/>
    </row>
    <row r="4" spans="1:42" ht="20.100000000000001" customHeight="1" x14ac:dyDescent="0.25">
      <c r="A4" s="224"/>
      <c r="B4" s="224"/>
      <c r="C4" s="224"/>
      <c r="D4" s="224"/>
      <c r="E4" s="224"/>
      <c r="F4" s="224"/>
      <c r="G4" s="224"/>
      <c r="H4" s="224"/>
      <c r="I4" s="224"/>
      <c r="J4" s="224"/>
      <c r="K4" s="224"/>
      <c r="L4" s="224"/>
      <c r="M4" s="224"/>
      <c r="N4" s="224"/>
      <c r="O4" s="224"/>
      <c r="P4" s="224"/>
      <c r="Q4" s="224"/>
      <c r="R4" s="224"/>
    </row>
    <row r="5" spans="1:42" ht="20.100000000000001" customHeight="1" x14ac:dyDescent="0.25">
      <c r="A5" s="221" t="s">
        <v>105</v>
      </c>
      <c r="B5" s="221"/>
      <c r="C5" s="221"/>
      <c r="D5" s="221"/>
      <c r="E5" s="221"/>
      <c r="F5" s="221"/>
      <c r="G5" s="221"/>
      <c r="H5" s="221"/>
      <c r="I5" s="221"/>
      <c r="J5" s="221"/>
      <c r="K5" s="221"/>
      <c r="L5" s="221"/>
      <c r="M5" s="221"/>
      <c r="N5" s="221"/>
      <c r="O5" s="221"/>
      <c r="P5" s="221"/>
      <c r="Q5" s="221"/>
      <c r="R5" s="221"/>
    </row>
    <row r="6" spans="1:42" ht="20.100000000000001" customHeight="1" x14ac:dyDescent="0.25">
      <c r="A6" s="225" t="s">
        <v>106</v>
      </c>
      <c r="B6" s="225"/>
      <c r="C6" s="225"/>
      <c r="D6" s="225"/>
      <c r="E6" s="225" t="s">
        <v>107</v>
      </c>
      <c r="F6" s="225"/>
      <c r="G6" s="225" t="s">
        <v>108</v>
      </c>
      <c r="H6" s="225"/>
      <c r="I6" s="225"/>
      <c r="J6" s="225"/>
      <c r="K6" s="225" t="s">
        <v>109</v>
      </c>
      <c r="L6" s="225"/>
      <c r="M6" s="225"/>
      <c r="N6" s="225"/>
      <c r="O6" s="225" t="s">
        <v>110</v>
      </c>
      <c r="P6" s="225"/>
      <c r="Q6" s="225"/>
      <c r="R6" s="225"/>
    </row>
    <row r="7" spans="1:42" ht="20.100000000000001" customHeight="1" x14ac:dyDescent="0.25">
      <c r="A7" s="217" t="s">
        <v>111</v>
      </c>
      <c r="B7" s="217"/>
      <c r="C7" s="217"/>
      <c r="D7" s="217"/>
      <c r="E7" s="216">
        <v>0.25</v>
      </c>
      <c r="F7" s="216"/>
      <c r="G7" s="216">
        <v>0.25</v>
      </c>
      <c r="H7" s="216"/>
      <c r="I7" s="216">
        <v>0.21</v>
      </c>
      <c r="J7" s="216"/>
      <c r="K7" s="216">
        <v>0.21</v>
      </c>
      <c r="L7" s="216"/>
      <c r="M7" s="216">
        <v>0.13</v>
      </c>
      <c r="N7" s="216"/>
      <c r="O7" s="216">
        <v>0.13</v>
      </c>
      <c r="P7" s="216"/>
      <c r="Q7" s="216">
        <v>0</v>
      </c>
      <c r="R7" s="216"/>
    </row>
    <row r="8" spans="1:42" ht="20.100000000000001" customHeight="1" x14ac:dyDescent="0.25">
      <c r="A8" s="217"/>
      <c r="B8" s="217"/>
      <c r="C8" s="217"/>
      <c r="D8" s="217"/>
      <c r="E8" s="216"/>
      <c r="F8" s="216"/>
      <c r="G8" s="216"/>
      <c r="H8" s="216"/>
      <c r="I8" s="216"/>
      <c r="J8" s="216"/>
      <c r="K8" s="216"/>
      <c r="L8" s="216"/>
      <c r="M8" s="216"/>
      <c r="N8" s="216"/>
      <c r="O8" s="216"/>
      <c r="P8" s="216"/>
      <c r="Q8" s="216"/>
      <c r="R8" s="216"/>
    </row>
    <row r="9" spans="1:42" ht="20.100000000000001" customHeight="1" x14ac:dyDescent="0.25">
      <c r="A9" s="217" t="s">
        <v>112</v>
      </c>
      <c r="B9" s="217"/>
      <c r="C9" s="217"/>
      <c r="D9" s="217"/>
      <c r="E9" s="216">
        <v>0.15</v>
      </c>
      <c r="F9" s="216"/>
      <c r="G9" s="216">
        <v>0.15</v>
      </c>
      <c r="H9" s="216"/>
      <c r="I9" s="216">
        <v>0.125</v>
      </c>
      <c r="J9" s="216"/>
      <c r="K9" s="216">
        <v>0.125</v>
      </c>
      <c r="L9" s="216"/>
      <c r="M9" s="216">
        <v>7.8E-2</v>
      </c>
      <c r="N9" s="216"/>
      <c r="O9" s="216">
        <v>7.8E-2</v>
      </c>
      <c r="P9" s="216"/>
      <c r="Q9" s="216">
        <v>0</v>
      </c>
      <c r="R9" s="216"/>
    </row>
    <row r="10" spans="1:42" ht="20.100000000000001" customHeight="1" x14ac:dyDescent="0.25">
      <c r="A10" s="217"/>
      <c r="B10" s="217"/>
      <c r="C10" s="217"/>
      <c r="D10" s="217"/>
      <c r="E10" s="216"/>
      <c r="F10" s="216"/>
      <c r="G10" s="216"/>
      <c r="H10" s="216"/>
      <c r="I10" s="216"/>
      <c r="J10" s="216"/>
      <c r="K10" s="216"/>
      <c r="L10" s="216"/>
      <c r="M10" s="216"/>
      <c r="N10" s="216"/>
      <c r="O10" s="216"/>
      <c r="P10" s="216"/>
      <c r="Q10" s="216"/>
      <c r="R10" s="216"/>
    </row>
    <row r="11" spans="1:42" ht="20.100000000000001" customHeight="1" x14ac:dyDescent="0.25">
      <c r="A11" s="217" t="s">
        <v>113</v>
      </c>
      <c r="B11" s="217"/>
      <c r="C11" s="217"/>
      <c r="D11" s="217"/>
      <c r="E11" s="216">
        <v>0.1</v>
      </c>
      <c r="F11" s="216"/>
      <c r="G11" s="216">
        <v>0.1</v>
      </c>
      <c r="H11" s="216"/>
      <c r="I11" s="216">
        <v>8.4000000000000005E-2</v>
      </c>
      <c r="J11" s="216"/>
      <c r="K11" s="216">
        <v>8.4000000000000005E-2</v>
      </c>
      <c r="L11" s="216"/>
      <c r="M11" s="216">
        <v>5.1999999999999998E-2</v>
      </c>
      <c r="N11" s="216"/>
      <c r="O11" s="216">
        <v>5.1999999999999998E-2</v>
      </c>
      <c r="P11" s="216"/>
      <c r="Q11" s="216">
        <v>0</v>
      </c>
      <c r="R11" s="216"/>
      <c r="U11" s="33" t="s">
        <v>114</v>
      </c>
      <c r="V11" s="33" t="s">
        <v>111</v>
      </c>
      <c r="W11" s="33" t="s">
        <v>112</v>
      </c>
      <c r="X11" s="33" t="s">
        <v>113</v>
      </c>
      <c r="Y11" s="33" t="s">
        <v>115</v>
      </c>
      <c r="AA11" s="218" t="s">
        <v>116</v>
      </c>
      <c r="AB11" s="218"/>
      <c r="AC11" s="218"/>
      <c r="AD11" s="218"/>
      <c r="AE11" s="218"/>
      <c r="AF11" s="218"/>
      <c r="AG11" s="218"/>
      <c r="AH11" s="218"/>
      <c r="AI11" s="218"/>
      <c r="AJ11" s="218"/>
    </row>
    <row r="12" spans="1:42" ht="20.100000000000001" customHeight="1" x14ac:dyDescent="0.25">
      <c r="A12" s="217"/>
      <c r="B12" s="217"/>
      <c r="C12" s="217"/>
      <c r="D12" s="217"/>
      <c r="E12" s="216"/>
      <c r="F12" s="216"/>
      <c r="G12" s="216"/>
      <c r="H12" s="216"/>
      <c r="I12" s="216"/>
      <c r="J12" s="216"/>
      <c r="K12" s="216"/>
      <c r="L12" s="216"/>
      <c r="M12" s="216"/>
      <c r="N12" s="216"/>
      <c r="O12" s="216"/>
      <c r="P12" s="216"/>
      <c r="Q12" s="216"/>
      <c r="R12" s="216"/>
      <c r="U12" s="34">
        <f t="shared" ref="U12:U41" si="0">AB12</f>
        <v>1</v>
      </c>
      <c r="V12" s="35">
        <f t="shared" ref="V12:V41" si="1">AD12/100</f>
        <v>0.24600000000000002</v>
      </c>
      <c r="W12" s="35">
        <f t="shared" ref="W12:W41" si="2">AF12/100</f>
        <v>0.14749999999999999</v>
      </c>
      <c r="X12" s="35">
        <f t="shared" ref="X12:X41" si="3">AH12/100</f>
        <v>9.8400000000000001E-2</v>
      </c>
      <c r="Y12" s="35">
        <f t="shared" ref="Y12:Y41" si="4">AJ12/100</f>
        <v>4.9200000000000001E-2</v>
      </c>
      <c r="AA12" s="219"/>
      <c r="AB12" s="36">
        <v>1</v>
      </c>
      <c r="AC12" s="219"/>
      <c r="AD12" s="37">
        <f t="shared" ref="AD12:AD21" si="5">25-AB12*4/10</f>
        <v>24.6</v>
      </c>
      <c r="AE12" s="219"/>
      <c r="AF12" s="37">
        <f t="shared" ref="AF12:AF21" si="6">15-(AB12*2.5/10)</f>
        <v>14.75</v>
      </c>
      <c r="AG12" s="219"/>
      <c r="AH12" s="37">
        <f t="shared" ref="AH12:AH21" si="7">10-AB12*1.6/10</f>
        <v>9.84</v>
      </c>
      <c r="AI12" s="219"/>
      <c r="AJ12" s="37">
        <f t="shared" ref="AJ12:AJ21" si="8">5-AB12*0.8/10</f>
        <v>4.92</v>
      </c>
      <c r="AM12" s="38"/>
      <c r="AN12" s="38"/>
      <c r="AO12" s="38"/>
      <c r="AP12" s="38"/>
    </row>
    <row r="13" spans="1:42" ht="20.100000000000001" customHeight="1" x14ac:dyDescent="0.25">
      <c r="A13" s="217" t="s">
        <v>115</v>
      </c>
      <c r="B13" s="217"/>
      <c r="C13" s="217"/>
      <c r="D13" s="217"/>
      <c r="E13" s="216">
        <v>0.05</v>
      </c>
      <c r="F13" s="216"/>
      <c r="G13" s="216">
        <v>0.05</v>
      </c>
      <c r="H13" s="216"/>
      <c r="I13" s="216">
        <v>4.2000000000000003E-2</v>
      </c>
      <c r="J13" s="216"/>
      <c r="K13" s="216">
        <v>4.2000000000000003E-2</v>
      </c>
      <c r="L13" s="216"/>
      <c r="M13" s="216">
        <v>2.5999999999999999E-2</v>
      </c>
      <c r="N13" s="216"/>
      <c r="O13" s="216">
        <v>2.5999999999999999E-2</v>
      </c>
      <c r="P13" s="216"/>
      <c r="Q13" s="216">
        <v>0</v>
      </c>
      <c r="R13" s="216"/>
      <c r="U13" s="34">
        <f t="shared" si="0"/>
        <v>2</v>
      </c>
      <c r="V13" s="35">
        <f t="shared" si="1"/>
        <v>0.24199999999999999</v>
      </c>
      <c r="W13" s="35">
        <f t="shared" si="2"/>
        <v>0.14499999999999999</v>
      </c>
      <c r="X13" s="35">
        <f t="shared" si="3"/>
        <v>9.6799999999999997E-2</v>
      </c>
      <c r="Y13" s="35">
        <f t="shared" si="4"/>
        <v>4.8399999999999999E-2</v>
      </c>
      <c r="AA13" s="219"/>
      <c r="AB13" s="36">
        <v>2</v>
      </c>
      <c r="AC13" s="219"/>
      <c r="AD13" s="37">
        <f t="shared" si="5"/>
        <v>24.2</v>
      </c>
      <c r="AE13" s="219"/>
      <c r="AF13" s="37">
        <f t="shared" si="6"/>
        <v>14.5</v>
      </c>
      <c r="AG13" s="219"/>
      <c r="AH13" s="37">
        <f t="shared" si="7"/>
        <v>9.68</v>
      </c>
      <c r="AI13" s="219"/>
      <c r="AJ13" s="37">
        <f t="shared" si="8"/>
        <v>4.84</v>
      </c>
      <c r="AM13" s="38"/>
      <c r="AN13" s="38"/>
      <c r="AO13" s="38"/>
      <c r="AP13" s="38"/>
    </row>
    <row r="14" spans="1:42" ht="20.100000000000001" customHeight="1" x14ac:dyDescent="0.25">
      <c r="A14" s="217"/>
      <c r="B14" s="217"/>
      <c r="C14" s="217"/>
      <c r="D14" s="217"/>
      <c r="E14" s="216"/>
      <c r="F14" s="216"/>
      <c r="G14" s="216"/>
      <c r="H14" s="216"/>
      <c r="I14" s="216"/>
      <c r="J14" s="216"/>
      <c r="K14" s="216"/>
      <c r="L14" s="216"/>
      <c r="M14" s="216"/>
      <c r="N14" s="216"/>
      <c r="O14" s="216"/>
      <c r="P14" s="216"/>
      <c r="Q14" s="216"/>
      <c r="R14" s="216"/>
      <c r="U14" s="34">
        <f t="shared" si="0"/>
        <v>3</v>
      </c>
      <c r="V14" s="35">
        <f t="shared" si="1"/>
        <v>0.23800000000000002</v>
      </c>
      <c r="W14" s="35">
        <f t="shared" si="2"/>
        <v>0.14249999999999999</v>
      </c>
      <c r="X14" s="35">
        <f t="shared" si="3"/>
        <v>9.5199999999999993E-2</v>
      </c>
      <c r="Y14" s="35">
        <f t="shared" si="4"/>
        <v>4.7599999999999996E-2</v>
      </c>
      <c r="AA14" s="219"/>
      <c r="AB14" s="36">
        <v>3</v>
      </c>
      <c r="AC14" s="219"/>
      <c r="AD14" s="37">
        <f t="shared" si="5"/>
        <v>23.8</v>
      </c>
      <c r="AE14" s="219"/>
      <c r="AF14" s="37">
        <f t="shared" si="6"/>
        <v>14.25</v>
      </c>
      <c r="AG14" s="219"/>
      <c r="AH14" s="37">
        <f t="shared" si="7"/>
        <v>9.52</v>
      </c>
      <c r="AI14" s="219"/>
      <c r="AJ14" s="37">
        <f t="shared" si="8"/>
        <v>4.76</v>
      </c>
      <c r="AM14" s="38"/>
      <c r="AN14" s="38"/>
      <c r="AO14" s="38"/>
      <c r="AP14" s="38"/>
    </row>
    <row r="15" spans="1:42" ht="20.100000000000001" customHeight="1" x14ac:dyDescent="0.25">
      <c r="A15" s="221" t="s">
        <v>117</v>
      </c>
      <c r="B15" s="221"/>
      <c r="C15" s="221"/>
      <c r="D15" s="221"/>
      <c r="E15" s="221"/>
      <c r="F15" s="221"/>
      <c r="G15" s="221"/>
      <c r="H15" s="221"/>
      <c r="I15" s="221"/>
      <c r="J15" s="221"/>
      <c r="K15" s="221"/>
      <c r="L15" s="221"/>
      <c r="M15" s="221"/>
      <c r="N15" s="221"/>
      <c r="O15" s="221"/>
      <c r="P15" s="221"/>
      <c r="Q15" s="221"/>
      <c r="R15" s="221"/>
      <c r="U15" s="34">
        <f t="shared" si="0"/>
        <v>4</v>
      </c>
      <c r="V15" s="35">
        <f t="shared" si="1"/>
        <v>0.23399999999999999</v>
      </c>
      <c r="W15" s="35">
        <f t="shared" si="2"/>
        <v>0.14000000000000001</v>
      </c>
      <c r="X15" s="35">
        <f t="shared" si="3"/>
        <v>9.3599999999999989E-2</v>
      </c>
      <c r="Y15" s="35">
        <f t="shared" si="4"/>
        <v>4.6799999999999994E-2</v>
      </c>
      <c r="AA15" s="219"/>
      <c r="AB15" s="36">
        <v>4</v>
      </c>
      <c r="AC15" s="219"/>
      <c r="AD15" s="37">
        <f t="shared" si="5"/>
        <v>23.4</v>
      </c>
      <c r="AE15" s="219"/>
      <c r="AF15" s="37">
        <f t="shared" si="6"/>
        <v>14</v>
      </c>
      <c r="AG15" s="219"/>
      <c r="AH15" s="37">
        <f t="shared" si="7"/>
        <v>9.36</v>
      </c>
      <c r="AI15" s="219"/>
      <c r="AJ15" s="37">
        <f t="shared" si="8"/>
        <v>4.68</v>
      </c>
      <c r="AM15" s="38"/>
      <c r="AN15" s="38"/>
      <c r="AO15" s="38"/>
      <c r="AP15" s="38"/>
    </row>
    <row r="16" spans="1:42" ht="20.100000000000001" customHeight="1" x14ac:dyDescent="0.25">
      <c r="A16" s="221" t="s">
        <v>118</v>
      </c>
      <c r="B16" s="221"/>
      <c r="C16" s="221"/>
      <c r="D16" s="221"/>
      <c r="E16" s="221"/>
      <c r="F16" s="221"/>
      <c r="G16" s="221"/>
      <c r="H16" s="221"/>
      <c r="I16" s="221"/>
      <c r="J16" s="221"/>
      <c r="K16" s="221"/>
      <c r="L16" s="221"/>
      <c r="M16" s="221"/>
      <c r="N16" s="221"/>
      <c r="O16" s="221"/>
      <c r="P16" s="221"/>
      <c r="Q16" s="221"/>
      <c r="R16" s="221"/>
      <c r="U16" s="34">
        <f t="shared" si="0"/>
        <v>5</v>
      </c>
      <c r="V16" s="35">
        <f t="shared" si="1"/>
        <v>0.23</v>
      </c>
      <c r="W16" s="35">
        <f t="shared" si="2"/>
        <v>0.13750000000000001</v>
      </c>
      <c r="X16" s="35">
        <f t="shared" si="3"/>
        <v>9.1999999999999998E-2</v>
      </c>
      <c r="Y16" s="35">
        <f t="shared" si="4"/>
        <v>4.5999999999999999E-2</v>
      </c>
      <c r="AA16" s="219"/>
      <c r="AB16" s="36">
        <v>5</v>
      </c>
      <c r="AC16" s="219"/>
      <c r="AD16" s="37">
        <f t="shared" si="5"/>
        <v>23</v>
      </c>
      <c r="AE16" s="219"/>
      <c r="AF16" s="37">
        <f t="shared" si="6"/>
        <v>13.75</v>
      </c>
      <c r="AG16" s="219"/>
      <c r="AH16" s="37">
        <f t="shared" si="7"/>
        <v>9.1999999999999993</v>
      </c>
      <c r="AI16" s="219"/>
      <c r="AJ16" s="37">
        <f t="shared" si="8"/>
        <v>4.5999999999999996</v>
      </c>
      <c r="AM16" s="38"/>
      <c r="AN16" s="38"/>
      <c r="AO16" s="38"/>
      <c r="AP16" s="38"/>
    </row>
    <row r="17" spans="1:42" ht="20.100000000000001" customHeight="1" x14ac:dyDescent="0.25">
      <c r="A17" s="221" t="s">
        <v>119</v>
      </c>
      <c r="B17" s="221"/>
      <c r="C17" s="221"/>
      <c r="D17" s="222" t="s">
        <v>120</v>
      </c>
      <c r="E17" s="222"/>
      <c r="F17" s="222"/>
      <c r="G17" s="222"/>
      <c r="H17" s="222"/>
      <c r="I17" s="222"/>
      <c r="J17" s="222"/>
      <c r="K17" s="222"/>
      <c r="L17" s="222"/>
      <c r="M17" s="222"/>
      <c r="N17" s="222"/>
      <c r="O17" s="222"/>
      <c r="P17" s="222"/>
      <c r="Q17" s="222"/>
      <c r="R17" s="222"/>
      <c r="U17" s="34">
        <f t="shared" si="0"/>
        <v>6</v>
      </c>
      <c r="V17" s="35">
        <f t="shared" si="1"/>
        <v>0.22600000000000001</v>
      </c>
      <c r="W17" s="35">
        <f t="shared" si="2"/>
        <v>0.13500000000000001</v>
      </c>
      <c r="X17" s="35">
        <f t="shared" si="3"/>
        <v>9.0399999999999994E-2</v>
      </c>
      <c r="Y17" s="35">
        <f t="shared" si="4"/>
        <v>4.5199999999999997E-2</v>
      </c>
      <c r="AA17" s="219"/>
      <c r="AB17" s="36">
        <v>6</v>
      </c>
      <c r="AC17" s="219"/>
      <c r="AD17" s="37">
        <f t="shared" si="5"/>
        <v>22.6</v>
      </c>
      <c r="AE17" s="219"/>
      <c r="AF17" s="37">
        <f t="shared" si="6"/>
        <v>13.5</v>
      </c>
      <c r="AG17" s="219"/>
      <c r="AH17" s="37">
        <f t="shared" si="7"/>
        <v>9.0399999999999991</v>
      </c>
      <c r="AI17" s="219"/>
      <c r="AJ17" s="37">
        <f t="shared" si="8"/>
        <v>4.5199999999999996</v>
      </c>
      <c r="AM17" s="38"/>
      <c r="AN17" s="38"/>
      <c r="AO17" s="38"/>
      <c r="AP17" s="38"/>
    </row>
    <row r="18" spans="1:42" ht="20.100000000000001" customHeight="1" x14ac:dyDescent="0.25">
      <c r="A18" s="220" t="s">
        <v>121</v>
      </c>
      <c r="B18" s="220"/>
      <c r="C18" s="220"/>
      <c r="D18" s="220"/>
      <c r="E18" s="220"/>
      <c r="F18" s="220"/>
      <c r="G18" s="220"/>
      <c r="H18" s="220"/>
      <c r="I18" s="220"/>
      <c r="J18" s="220"/>
      <c r="K18" s="220"/>
      <c r="L18" s="220"/>
      <c r="M18" s="220"/>
      <c r="N18" s="220"/>
      <c r="O18" s="220"/>
      <c r="P18" s="220"/>
      <c r="Q18" s="220"/>
      <c r="R18" s="220"/>
      <c r="U18" s="34">
        <f t="shared" si="0"/>
        <v>7</v>
      </c>
      <c r="V18" s="35">
        <f t="shared" si="1"/>
        <v>0.222</v>
      </c>
      <c r="W18" s="35">
        <f t="shared" si="2"/>
        <v>0.13250000000000001</v>
      </c>
      <c r="X18" s="35">
        <f t="shared" si="3"/>
        <v>8.879999999999999E-2</v>
      </c>
      <c r="Y18" s="35">
        <f t="shared" si="4"/>
        <v>4.4399999999999995E-2</v>
      </c>
      <c r="AA18" s="219"/>
      <c r="AB18" s="36">
        <v>7</v>
      </c>
      <c r="AC18" s="219"/>
      <c r="AD18" s="37">
        <f t="shared" si="5"/>
        <v>22.2</v>
      </c>
      <c r="AE18" s="219"/>
      <c r="AF18" s="37">
        <f t="shared" si="6"/>
        <v>13.25</v>
      </c>
      <c r="AG18" s="219"/>
      <c r="AH18" s="37">
        <f t="shared" si="7"/>
        <v>8.879999999999999</v>
      </c>
      <c r="AI18" s="219"/>
      <c r="AJ18" s="37">
        <f t="shared" si="8"/>
        <v>4.4399999999999995</v>
      </c>
      <c r="AM18" s="38"/>
      <c r="AN18" s="38"/>
      <c r="AO18" s="38"/>
      <c r="AP18" s="38"/>
    </row>
    <row r="19" spans="1:42" ht="20.100000000000001" customHeight="1" x14ac:dyDescent="0.25">
      <c r="A19" s="220"/>
      <c r="B19" s="220"/>
      <c r="C19" s="220"/>
      <c r="D19" s="220"/>
      <c r="E19" s="220"/>
      <c r="F19" s="220"/>
      <c r="G19" s="220"/>
      <c r="H19" s="220"/>
      <c r="I19" s="220"/>
      <c r="J19" s="220"/>
      <c r="K19" s="220"/>
      <c r="L19" s="220"/>
      <c r="M19" s="220"/>
      <c r="N19" s="220"/>
      <c r="O19" s="220"/>
      <c r="P19" s="220"/>
      <c r="Q19" s="220"/>
      <c r="R19" s="220"/>
      <c r="U19" s="34">
        <f t="shared" si="0"/>
        <v>8</v>
      </c>
      <c r="V19" s="35">
        <f t="shared" si="1"/>
        <v>0.218</v>
      </c>
      <c r="W19" s="35">
        <f t="shared" si="2"/>
        <v>0.13</v>
      </c>
      <c r="X19" s="35">
        <f t="shared" si="3"/>
        <v>8.72E-2</v>
      </c>
      <c r="Y19" s="35">
        <f t="shared" si="4"/>
        <v>4.36E-2</v>
      </c>
      <c r="AA19" s="219"/>
      <c r="AB19" s="36">
        <v>8</v>
      </c>
      <c r="AC19" s="219"/>
      <c r="AD19" s="37">
        <f t="shared" si="5"/>
        <v>21.8</v>
      </c>
      <c r="AE19" s="219"/>
      <c r="AF19" s="37">
        <f t="shared" si="6"/>
        <v>13</v>
      </c>
      <c r="AG19" s="219"/>
      <c r="AH19" s="37">
        <f t="shared" si="7"/>
        <v>8.7200000000000006</v>
      </c>
      <c r="AI19" s="219"/>
      <c r="AJ19" s="37">
        <f t="shared" si="8"/>
        <v>4.3600000000000003</v>
      </c>
      <c r="AM19" s="38"/>
      <c r="AN19" s="38"/>
      <c r="AO19" s="38"/>
      <c r="AP19" s="38"/>
    </row>
    <row r="20" spans="1:42" ht="20.100000000000001" customHeight="1" x14ac:dyDescent="0.25">
      <c r="A20" s="220"/>
      <c r="B20" s="220"/>
      <c r="C20" s="220"/>
      <c r="D20" s="220"/>
      <c r="E20" s="220"/>
      <c r="F20" s="220"/>
      <c r="G20" s="220"/>
      <c r="H20" s="220"/>
      <c r="I20" s="220"/>
      <c r="J20" s="220"/>
      <c r="K20" s="220"/>
      <c r="L20" s="220"/>
      <c r="M20" s="220"/>
      <c r="N20" s="220"/>
      <c r="O20" s="220"/>
      <c r="P20" s="220"/>
      <c r="Q20" s="220"/>
      <c r="R20" s="220"/>
      <c r="U20" s="34">
        <f t="shared" si="0"/>
        <v>9</v>
      </c>
      <c r="V20" s="35">
        <f t="shared" si="1"/>
        <v>0.214</v>
      </c>
      <c r="W20" s="35">
        <f t="shared" si="2"/>
        <v>0.1275</v>
      </c>
      <c r="X20" s="35">
        <f t="shared" si="3"/>
        <v>8.5600000000000009E-2</v>
      </c>
      <c r="Y20" s="35">
        <f t="shared" si="4"/>
        <v>4.2800000000000005E-2</v>
      </c>
      <c r="AA20" s="219"/>
      <c r="AB20" s="36">
        <v>9</v>
      </c>
      <c r="AC20" s="219"/>
      <c r="AD20" s="37">
        <f t="shared" si="5"/>
        <v>21.4</v>
      </c>
      <c r="AE20" s="219"/>
      <c r="AF20" s="37">
        <f t="shared" si="6"/>
        <v>12.75</v>
      </c>
      <c r="AG20" s="219"/>
      <c r="AH20" s="37">
        <f t="shared" si="7"/>
        <v>8.56</v>
      </c>
      <c r="AI20" s="219"/>
      <c r="AJ20" s="37">
        <f t="shared" si="8"/>
        <v>4.28</v>
      </c>
      <c r="AM20" s="38"/>
      <c r="AN20" s="38"/>
      <c r="AO20" s="38"/>
      <c r="AP20" s="38"/>
    </row>
    <row r="21" spans="1:42" ht="20.100000000000001" customHeight="1" x14ac:dyDescent="0.25">
      <c r="A21" s="32"/>
      <c r="B21" s="32"/>
      <c r="C21" s="32"/>
      <c r="D21" s="32"/>
      <c r="E21" s="32"/>
      <c r="F21" s="32"/>
      <c r="G21" s="32"/>
      <c r="H21" s="32"/>
      <c r="I21" s="32"/>
      <c r="J21" s="32"/>
      <c r="K21" s="32"/>
      <c r="L21" s="32"/>
      <c r="M21" s="32"/>
      <c r="N21" s="32"/>
      <c r="O21" s="32"/>
      <c r="P21" s="32"/>
      <c r="Q21" s="32"/>
      <c r="R21" s="32"/>
      <c r="U21" s="34">
        <f t="shared" si="0"/>
        <v>10</v>
      </c>
      <c r="V21" s="35">
        <f t="shared" si="1"/>
        <v>0.21</v>
      </c>
      <c r="W21" s="35">
        <f t="shared" si="2"/>
        <v>0.125</v>
      </c>
      <c r="X21" s="35">
        <f t="shared" si="3"/>
        <v>8.4000000000000005E-2</v>
      </c>
      <c r="Y21" s="35">
        <f t="shared" si="4"/>
        <v>4.2000000000000003E-2</v>
      </c>
      <c r="AA21" s="219"/>
      <c r="AB21" s="36">
        <v>10</v>
      </c>
      <c r="AC21" s="219"/>
      <c r="AD21" s="37">
        <f t="shared" si="5"/>
        <v>21</v>
      </c>
      <c r="AE21" s="219"/>
      <c r="AF21" s="37">
        <f t="shared" si="6"/>
        <v>12.5</v>
      </c>
      <c r="AG21" s="219"/>
      <c r="AH21" s="37">
        <f t="shared" si="7"/>
        <v>8.4</v>
      </c>
      <c r="AI21" s="219"/>
      <c r="AJ21" s="37">
        <f t="shared" si="8"/>
        <v>4.2</v>
      </c>
      <c r="AM21" s="38"/>
      <c r="AN21" s="38"/>
      <c r="AO21" s="38"/>
      <c r="AP21" s="38"/>
    </row>
    <row r="22" spans="1:42" ht="20.100000000000001" customHeight="1" x14ac:dyDescent="0.25">
      <c r="A22" s="32"/>
      <c r="B22" s="32"/>
      <c r="C22" s="32"/>
      <c r="D22" s="32"/>
      <c r="E22" s="32"/>
      <c r="F22" s="32"/>
      <c r="G22" s="32"/>
      <c r="H22" s="32"/>
      <c r="I22" s="32"/>
      <c r="J22" s="32"/>
      <c r="K22" s="32"/>
      <c r="L22" s="32"/>
      <c r="M22" s="32"/>
      <c r="N22" s="32"/>
      <c r="O22" s="32"/>
      <c r="P22" s="32"/>
      <c r="Q22" s="32"/>
      <c r="R22" s="32"/>
      <c r="U22" s="34">
        <f t="shared" si="0"/>
        <v>11</v>
      </c>
      <c r="V22" s="35">
        <f t="shared" si="1"/>
        <v>0.20199999999999999</v>
      </c>
      <c r="W22" s="35">
        <f t="shared" si="2"/>
        <v>0.12029999999999999</v>
      </c>
      <c r="X22" s="35">
        <f t="shared" si="3"/>
        <v>8.0799999999999997E-2</v>
      </c>
      <c r="Y22" s="35">
        <f t="shared" si="4"/>
        <v>4.0399999999999998E-2</v>
      </c>
      <c r="AA22" s="219"/>
      <c r="AB22" s="36">
        <v>11</v>
      </c>
      <c r="AC22" s="219"/>
      <c r="AD22" s="37">
        <f t="shared" ref="AD22:AD31" si="9">21-((AB22-10)*(8/10))</f>
        <v>20.2</v>
      </c>
      <c r="AE22" s="219"/>
      <c r="AF22" s="37">
        <f t="shared" ref="AF22:AF31" si="10">12.5-(AB22-10)*4.7/10</f>
        <v>12.03</v>
      </c>
      <c r="AG22" s="219"/>
      <c r="AH22" s="37">
        <f t="shared" ref="AH22:AH31" si="11">8.4-(AB22-10)*3.2/10</f>
        <v>8.08</v>
      </c>
      <c r="AI22" s="219"/>
      <c r="AJ22" s="37">
        <f t="shared" ref="AJ22:AJ31" si="12">4.2-(AB22-10)*1.6/10</f>
        <v>4.04</v>
      </c>
      <c r="AM22" s="38"/>
      <c r="AN22" s="38"/>
      <c r="AO22" s="38"/>
      <c r="AP22" s="38"/>
    </row>
    <row r="23" spans="1:42" ht="20.100000000000001" customHeight="1" x14ac:dyDescent="0.25">
      <c r="A23" s="32"/>
      <c r="B23" s="32"/>
      <c r="C23" s="32"/>
      <c r="D23" s="32"/>
      <c r="E23" s="32"/>
      <c r="F23" s="32"/>
      <c r="G23" s="32"/>
      <c r="H23" s="32"/>
      <c r="I23" s="32"/>
      <c r="J23" s="32"/>
      <c r="K23" s="32"/>
      <c r="L23" s="32"/>
      <c r="M23" s="32"/>
      <c r="N23" s="32"/>
      <c r="O23" s="32"/>
      <c r="P23" s="32"/>
      <c r="Q23" s="32"/>
      <c r="R23" s="32"/>
      <c r="U23" s="34">
        <f t="shared" si="0"/>
        <v>12</v>
      </c>
      <c r="V23" s="35">
        <f t="shared" si="1"/>
        <v>0.19399999999999998</v>
      </c>
      <c r="W23" s="35">
        <f t="shared" si="2"/>
        <v>0.11560000000000001</v>
      </c>
      <c r="X23" s="35">
        <f t="shared" si="3"/>
        <v>7.7600000000000002E-2</v>
      </c>
      <c r="Y23" s="35">
        <f t="shared" si="4"/>
        <v>3.8800000000000001E-2</v>
      </c>
      <c r="AA23" s="219"/>
      <c r="AB23" s="36">
        <v>12</v>
      </c>
      <c r="AC23" s="219"/>
      <c r="AD23" s="37">
        <f t="shared" si="9"/>
        <v>19.399999999999999</v>
      </c>
      <c r="AE23" s="219"/>
      <c r="AF23" s="37">
        <f t="shared" si="10"/>
        <v>11.56</v>
      </c>
      <c r="AG23" s="219"/>
      <c r="AH23" s="37">
        <f t="shared" si="11"/>
        <v>7.7600000000000007</v>
      </c>
      <c r="AI23" s="219"/>
      <c r="AJ23" s="37">
        <f t="shared" si="12"/>
        <v>3.8800000000000003</v>
      </c>
      <c r="AM23" s="38"/>
      <c r="AN23" s="38"/>
      <c r="AO23" s="38"/>
      <c r="AP23" s="38"/>
    </row>
    <row r="24" spans="1:42" ht="20.100000000000001" customHeight="1" x14ac:dyDescent="0.25">
      <c r="A24" s="32"/>
      <c r="B24" s="32"/>
      <c r="C24" s="32"/>
      <c r="D24" s="32"/>
      <c r="E24" s="32"/>
      <c r="F24" s="32"/>
      <c r="G24" s="32"/>
      <c r="H24" s="32"/>
      <c r="I24" s="32"/>
      <c r="J24" s="32"/>
      <c r="K24" s="32"/>
      <c r="L24" s="32"/>
      <c r="M24" s="32"/>
      <c r="N24" s="32"/>
      <c r="O24" s="32"/>
      <c r="P24" s="32"/>
      <c r="Q24" s="32"/>
      <c r="R24" s="32"/>
      <c r="U24" s="34">
        <f t="shared" si="0"/>
        <v>13</v>
      </c>
      <c r="V24" s="35">
        <f t="shared" si="1"/>
        <v>0.18600000000000003</v>
      </c>
      <c r="W24" s="35">
        <f t="shared" si="2"/>
        <v>0.1109</v>
      </c>
      <c r="X24" s="35">
        <f t="shared" si="3"/>
        <v>7.4400000000000008E-2</v>
      </c>
      <c r="Y24" s="35">
        <f t="shared" si="4"/>
        <v>3.7200000000000004E-2</v>
      </c>
      <c r="AA24" s="219"/>
      <c r="AB24" s="36">
        <v>13</v>
      </c>
      <c r="AC24" s="219"/>
      <c r="AD24" s="37">
        <f t="shared" si="9"/>
        <v>18.600000000000001</v>
      </c>
      <c r="AE24" s="219"/>
      <c r="AF24" s="37">
        <f t="shared" si="10"/>
        <v>11.09</v>
      </c>
      <c r="AG24" s="219"/>
      <c r="AH24" s="37">
        <f t="shared" si="11"/>
        <v>7.44</v>
      </c>
      <c r="AI24" s="219"/>
      <c r="AJ24" s="37">
        <f t="shared" si="12"/>
        <v>3.72</v>
      </c>
      <c r="AM24" s="38"/>
      <c r="AN24" s="38"/>
      <c r="AO24" s="38"/>
      <c r="AP24" s="38"/>
    </row>
    <row r="25" spans="1:42" ht="20.100000000000001" customHeight="1" x14ac:dyDescent="0.25">
      <c r="A25" s="32"/>
      <c r="B25" s="32"/>
      <c r="C25" s="32"/>
      <c r="D25" s="32"/>
      <c r="E25" s="32"/>
      <c r="F25" s="32"/>
      <c r="G25" s="32"/>
      <c r="H25" s="32"/>
      <c r="I25" s="32"/>
      <c r="J25" s="32"/>
      <c r="K25" s="32"/>
      <c r="L25" s="32"/>
      <c r="M25" s="32"/>
      <c r="N25" s="32"/>
      <c r="O25" s="32"/>
      <c r="P25" s="32"/>
      <c r="Q25" s="32"/>
      <c r="R25" s="32"/>
      <c r="U25" s="34">
        <f t="shared" si="0"/>
        <v>14</v>
      </c>
      <c r="V25" s="35">
        <f t="shared" si="1"/>
        <v>0.17800000000000002</v>
      </c>
      <c r="W25" s="35">
        <f t="shared" si="2"/>
        <v>0.10619999999999999</v>
      </c>
      <c r="X25" s="35">
        <f t="shared" si="3"/>
        <v>7.1199999999999999E-2</v>
      </c>
      <c r="Y25" s="35">
        <f t="shared" si="4"/>
        <v>3.56E-2</v>
      </c>
      <c r="AA25" s="219"/>
      <c r="AB25" s="36">
        <v>14</v>
      </c>
      <c r="AC25" s="219"/>
      <c r="AD25" s="37">
        <f t="shared" si="9"/>
        <v>17.8</v>
      </c>
      <c r="AE25" s="219"/>
      <c r="AF25" s="37">
        <f t="shared" si="10"/>
        <v>10.62</v>
      </c>
      <c r="AG25" s="219"/>
      <c r="AH25" s="37">
        <f t="shared" si="11"/>
        <v>7.12</v>
      </c>
      <c r="AI25" s="219"/>
      <c r="AJ25" s="37">
        <f t="shared" si="12"/>
        <v>3.56</v>
      </c>
      <c r="AM25" s="38"/>
      <c r="AN25" s="38"/>
      <c r="AO25" s="38"/>
      <c r="AP25" s="38"/>
    </row>
    <row r="26" spans="1:42" ht="20.100000000000001" customHeight="1" x14ac:dyDescent="0.25">
      <c r="A26" s="32"/>
      <c r="B26" s="32"/>
      <c r="C26" s="32"/>
      <c r="D26" s="32"/>
      <c r="E26" s="32"/>
      <c r="F26" s="32"/>
      <c r="G26" s="32"/>
      <c r="H26" s="32"/>
      <c r="I26" s="32"/>
      <c r="J26" s="32"/>
      <c r="K26" s="32"/>
      <c r="L26" s="32"/>
      <c r="M26" s="32"/>
      <c r="N26" s="32"/>
      <c r="O26" s="32"/>
      <c r="P26" s="32"/>
      <c r="Q26" s="32"/>
      <c r="R26" s="32"/>
      <c r="U26" s="34">
        <f t="shared" si="0"/>
        <v>15</v>
      </c>
      <c r="V26" s="35">
        <f t="shared" si="1"/>
        <v>0.17</v>
      </c>
      <c r="W26" s="35">
        <f t="shared" si="2"/>
        <v>0.10150000000000001</v>
      </c>
      <c r="X26" s="35">
        <f t="shared" si="3"/>
        <v>6.8000000000000005E-2</v>
      </c>
      <c r="Y26" s="35">
        <f t="shared" si="4"/>
        <v>3.4000000000000002E-2</v>
      </c>
      <c r="AA26" s="219"/>
      <c r="AB26" s="36">
        <v>15</v>
      </c>
      <c r="AC26" s="219"/>
      <c r="AD26" s="37">
        <f t="shared" si="9"/>
        <v>17</v>
      </c>
      <c r="AE26" s="219"/>
      <c r="AF26" s="37">
        <f t="shared" si="10"/>
        <v>10.15</v>
      </c>
      <c r="AG26" s="219"/>
      <c r="AH26" s="37">
        <f t="shared" si="11"/>
        <v>6.8000000000000007</v>
      </c>
      <c r="AI26" s="219"/>
      <c r="AJ26" s="37">
        <f t="shared" si="12"/>
        <v>3.4000000000000004</v>
      </c>
      <c r="AM26" s="38"/>
      <c r="AN26" s="38"/>
      <c r="AO26" s="38"/>
      <c r="AP26" s="38"/>
    </row>
    <row r="27" spans="1:42" ht="20.100000000000001" customHeight="1" x14ac:dyDescent="0.25">
      <c r="A27" s="32"/>
      <c r="B27" s="32"/>
      <c r="C27" s="32"/>
      <c r="D27" s="32"/>
      <c r="E27" s="32"/>
      <c r="F27" s="32"/>
      <c r="G27" s="32"/>
      <c r="H27" s="32"/>
      <c r="I27" s="32"/>
      <c r="J27" s="32"/>
      <c r="K27" s="32"/>
      <c r="L27" s="32"/>
      <c r="M27" s="32"/>
      <c r="N27" s="32"/>
      <c r="O27" s="32"/>
      <c r="P27" s="32"/>
      <c r="Q27" s="32"/>
      <c r="R27" s="32"/>
      <c r="U27" s="34">
        <f t="shared" si="0"/>
        <v>16</v>
      </c>
      <c r="V27" s="35">
        <f t="shared" si="1"/>
        <v>0.16200000000000001</v>
      </c>
      <c r="W27" s="35">
        <f t="shared" si="2"/>
        <v>9.6799999999999997E-2</v>
      </c>
      <c r="X27" s="35">
        <f t="shared" si="3"/>
        <v>6.480000000000001E-2</v>
      </c>
      <c r="Y27" s="35">
        <f t="shared" si="4"/>
        <v>3.2400000000000005E-2</v>
      </c>
      <c r="AA27" s="219"/>
      <c r="AB27" s="36">
        <v>16</v>
      </c>
      <c r="AC27" s="219"/>
      <c r="AD27" s="37">
        <f t="shared" si="9"/>
        <v>16.2</v>
      </c>
      <c r="AE27" s="219"/>
      <c r="AF27" s="37">
        <f t="shared" si="10"/>
        <v>9.68</v>
      </c>
      <c r="AG27" s="219"/>
      <c r="AH27" s="37">
        <f t="shared" si="11"/>
        <v>6.48</v>
      </c>
      <c r="AI27" s="219"/>
      <c r="AJ27" s="37">
        <f t="shared" si="12"/>
        <v>3.24</v>
      </c>
      <c r="AM27" s="38"/>
      <c r="AN27" s="38"/>
      <c r="AO27" s="38"/>
      <c r="AP27" s="38"/>
    </row>
    <row r="28" spans="1:42" ht="20.100000000000001" customHeight="1" x14ac:dyDescent="0.25">
      <c r="U28" s="34">
        <f t="shared" si="0"/>
        <v>17</v>
      </c>
      <c r="V28" s="35">
        <f t="shared" si="1"/>
        <v>0.154</v>
      </c>
      <c r="W28" s="35">
        <f t="shared" si="2"/>
        <v>9.2100000000000015E-2</v>
      </c>
      <c r="X28" s="35">
        <f t="shared" si="3"/>
        <v>6.1600000000000002E-2</v>
      </c>
      <c r="Y28" s="35">
        <f t="shared" si="4"/>
        <v>3.0800000000000001E-2</v>
      </c>
      <c r="AA28" s="219"/>
      <c r="AB28" s="36">
        <v>17</v>
      </c>
      <c r="AC28" s="219"/>
      <c r="AD28" s="37">
        <f t="shared" si="9"/>
        <v>15.399999999999999</v>
      </c>
      <c r="AE28" s="219"/>
      <c r="AF28" s="37">
        <f t="shared" si="10"/>
        <v>9.2100000000000009</v>
      </c>
      <c r="AG28" s="219"/>
      <c r="AH28" s="37">
        <f t="shared" si="11"/>
        <v>6.16</v>
      </c>
      <c r="AI28" s="219"/>
      <c r="AJ28" s="37">
        <f t="shared" si="12"/>
        <v>3.08</v>
      </c>
      <c r="AM28" s="38"/>
      <c r="AN28" s="38"/>
      <c r="AO28" s="38"/>
      <c r="AP28" s="38"/>
    </row>
    <row r="29" spans="1:42" ht="20.100000000000001" customHeight="1" x14ac:dyDescent="0.2">
      <c r="A29" s="40"/>
      <c r="B29" s="40"/>
      <c r="C29" s="40"/>
      <c r="D29" s="40"/>
      <c r="E29" s="40"/>
      <c r="F29" s="40"/>
      <c r="G29" s="40"/>
      <c r="H29" s="40"/>
      <c r="I29" s="40"/>
      <c r="J29" s="40"/>
      <c r="K29" s="40"/>
      <c r="L29" s="40"/>
      <c r="M29" s="40"/>
      <c r="N29" s="40"/>
      <c r="O29" s="40"/>
      <c r="P29" s="40"/>
      <c r="Q29" s="40"/>
      <c r="R29" s="40"/>
      <c r="U29" s="34">
        <f t="shared" si="0"/>
        <v>18</v>
      </c>
      <c r="V29" s="35">
        <f t="shared" si="1"/>
        <v>0.14599999999999999</v>
      </c>
      <c r="W29" s="35">
        <f t="shared" si="2"/>
        <v>8.7400000000000005E-2</v>
      </c>
      <c r="X29" s="35">
        <f t="shared" si="3"/>
        <v>5.8400000000000001E-2</v>
      </c>
      <c r="Y29" s="35">
        <f t="shared" si="4"/>
        <v>2.92E-2</v>
      </c>
      <c r="AA29" s="219"/>
      <c r="AB29" s="36">
        <v>18</v>
      </c>
      <c r="AC29" s="219"/>
      <c r="AD29" s="37">
        <f t="shared" si="9"/>
        <v>14.6</v>
      </c>
      <c r="AE29" s="219"/>
      <c r="AF29" s="37">
        <f t="shared" si="10"/>
        <v>8.74</v>
      </c>
      <c r="AG29" s="219"/>
      <c r="AH29" s="37">
        <f t="shared" si="11"/>
        <v>5.84</v>
      </c>
      <c r="AI29" s="219"/>
      <c r="AJ29" s="37">
        <f t="shared" si="12"/>
        <v>2.92</v>
      </c>
      <c r="AM29" s="38"/>
      <c r="AN29" s="38"/>
      <c r="AO29" s="38"/>
      <c r="AP29" s="38"/>
    </row>
    <row r="30" spans="1:42" ht="20.100000000000001" customHeight="1" x14ac:dyDescent="0.25">
      <c r="A30" s="32"/>
      <c r="B30" s="32"/>
      <c r="C30" s="32"/>
      <c r="D30" s="32"/>
      <c r="E30" s="32"/>
      <c r="F30" s="32"/>
      <c r="G30" s="32"/>
      <c r="H30" s="32"/>
      <c r="I30" s="32"/>
      <c r="J30" s="32"/>
      <c r="K30" s="32"/>
      <c r="L30" s="32"/>
      <c r="M30" s="32"/>
      <c r="N30" s="32"/>
      <c r="O30" s="32"/>
      <c r="P30" s="32"/>
      <c r="Q30" s="32"/>
      <c r="R30" s="32"/>
      <c r="U30" s="34">
        <f t="shared" si="0"/>
        <v>19</v>
      </c>
      <c r="V30" s="35">
        <f t="shared" si="1"/>
        <v>0.13800000000000001</v>
      </c>
      <c r="W30" s="35">
        <f t="shared" si="2"/>
        <v>8.2699999999999996E-2</v>
      </c>
      <c r="X30" s="35">
        <f t="shared" si="3"/>
        <v>5.5200000000000006E-2</v>
      </c>
      <c r="Y30" s="35">
        <f t="shared" si="4"/>
        <v>2.7600000000000003E-2</v>
      </c>
      <c r="AA30" s="219"/>
      <c r="AB30" s="36">
        <v>19</v>
      </c>
      <c r="AC30" s="219"/>
      <c r="AD30" s="37">
        <f t="shared" si="9"/>
        <v>13.8</v>
      </c>
      <c r="AE30" s="219"/>
      <c r="AF30" s="37">
        <f t="shared" si="10"/>
        <v>8.27</v>
      </c>
      <c r="AG30" s="219"/>
      <c r="AH30" s="37">
        <f t="shared" si="11"/>
        <v>5.5200000000000005</v>
      </c>
      <c r="AI30" s="219"/>
      <c r="AJ30" s="37">
        <f t="shared" si="12"/>
        <v>2.7600000000000002</v>
      </c>
      <c r="AM30" s="38"/>
      <c r="AN30" s="38"/>
      <c r="AO30" s="38"/>
      <c r="AP30" s="38"/>
    </row>
    <row r="31" spans="1:42" ht="20.100000000000001" customHeight="1" x14ac:dyDescent="0.25">
      <c r="A31" s="32"/>
      <c r="B31" s="32"/>
      <c r="C31" s="32"/>
      <c r="D31" s="32"/>
      <c r="E31" s="32"/>
      <c r="F31" s="32"/>
      <c r="G31" s="32"/>
      <c r="H31" s="32"/>
      <c r="I31" s="32"/>
      <c r="J31" s="32"/>
      <c r="K31" s="32"/>
      <c r="L31" s="32"/>
      <c r="M31" s="32"/>
      <c r="N31" s="32"/>
      <c r="O31" s="32"/>
      <c r="P31" s="32"/>
      <c r="Q31" s="32"/>
      <c r="R31" s="32"/>
      <c r="U31" s="34">
        <f t="shared" si="0"/>
        <v>20</v>
      </c>
      <c r="V31" s="35">
        <f t="shared" si="1"/>
        <v>0.13</v>
      </c>
      <c r="W31" s="35">
        <f t="shared" si="2"/>
        <v>7.8E-2</v>
      </c>
      <c r="X31" s="35">
        <f t="shared" si="3"/>
        <v>5.2000000000000005E-2</v>
      </c>
      <c r="Y31" s="35">
        <f t="shared" si="4"/>
        <v>2.6000000000000002E-2</v>
      </c>
      <c r="AA31" s="219"/>
      <c r="AB31" s="36">
        <v>20</v>
      </c>
      <c r="AC31" s="219"/>
      <c r="AD31" s="37">
        <f t="shared" si="9"/>
        <v>13</v>
      </c>
      <c r="AE31" s="219"/>
      <c r="AF31" s="37">
        <f t="shared" si="10"/>
        <v>7.8</v>
      </c>
      <c r="AG31" s="219"/>
      <c r="AH31" s="37">
        <f t="shared" si="11"/>
        <v>5.2</v>
      </c>
      <c r="AI31" s="219"/>
      <c r="AJ31" s="37">
        <f t="shared" si="12"/>
        <v>2.6</v>
      </c>
      <c r="AM31" s="38"/>
      <c r="AN31" s="38"/>
      <c r="AO31" s="38"/>
      <c r="AP31" s="38"/>
    </row>
    <row r="32" spans="1:42" ht="20.100000000000001" customHeight="1" x14ac:dyDescent="0.25">
      <c r="A32" s="32"/>
      <c r="B32" s="32"/>
      <c r="C32" s="32"/>
      <c r="D32" s="32"/>
      <c r="E32" s="32"/>
      <c r="F32" s="32"/>
      <c r="G32" s="32"/>
      <c r="H32" s="32"/>
      <c r="I32" s="32"/>
      <c r="J32" s="32"/>
      <c r="K32" s="32"/>
      <c r="L32" s="32"/>
      <c r="M32" s="32"/>
      <c r="N32" s="32"/>
      <c r="O32" s="32"/>
      <c r="P32" s="32"/>
      <c r="Q32" s="32"/>
      <c r="R32" s="32"/>
      <c r="U32" s="34">
        <f t="shared" si="0"/>
        <v>21</v>
      </c>
      <c r="V32" s="35">
        <f t="shared" si="1"/>
        <v>0.11699999999999999</v>
      </c>
      <c r="W32" s="35">
        <f t="shared" si="2"/>
        <v>7.0199999999999999E-2</v>
      </c>
      <c r="X32" s="35">
        <f t="shared" si="3"/>
        <v>4.6799999999999994E-2</v>
      </c>
      <c r="Y32" s="35">
        <f t="shared" si="4"/>
        <v>2.3399999999999997E-2</v>
      </c>
      <c r="AA32" s="219"/>
      <c r="AB32" s="36">
        <v>21</v>
      </c>
      <c r="AC32" s="219"/>
      <c r="AD32" s="37">
        <f>13-((AB32-20)*(13/10))</f>
        <v>11.7</v>
      </c>
      <c r="AE32" s="219">
        <f>13-((AC32-20)*(13/10))</f>
        <v>39</v>
      </c>
      <c r="AF32" s="37">
        <f t="shared" ref="AF32:AF41" si="13">7.8-(AB32-20)*7.8/10</f>
        <v>7.02</v>
      </c>
      <c r="AG32" s="219">
        <f>13-((AE32-20)*(13/10))</f>
        <v>-11.7</v>
      </c>
      <c r="AH32" s="37">
        <f t="shared" ref="AH32:AH41" si="14">5.2-(AB32-20)*5.2/10</f>
        <v>4.68</v>
      </c>
      <c r="AI32" s="219">
        <f>13-((AG32-20)*(13/10))</f>
        <v>54.21</v>
      </c>
      <c r="AJ32" s="37">
        <f t="shared" ref="AJ32:AJ41" si="15">2.6-(AB32-20)*2.6/10</f>
        <v>2.34</v>
      </c>
      <c r="AM32" s="38"/>
      <c r="AN32" s="38"/>
      <c r="AO32" s="38"/>
      <c r="AP32" s="38"/>
    </row>
    <row r="33" spans="1:42" ht="20.100000000000001" customHeight="1" x14ac:dyDescent="0.25">
      <c r="A33" s="32"/>
      <c r="B33" s="32"/>
      <c r="C33" s="32"/>
      <c r="D33" s="32"/>
      <c r="E33" s="32"/>
      <c r="F33" s="32"/>
      <c r="G33" s="32"/>
      <c r="H33" s="32"/>
      <c r="I33" s="32"/>
      <c r="J33" s="32"/>
      <c r="K33" s="32"/>
      <c r="L33" s="32"/>
      <c r="M33" s="32"/>
      <c r="N33" s="32"/>
      <c r="O33" s="32"/>
      <c r="P33" s="32"/>
      <c r="Q33" s="32"/>
      <c r="R33" s="32"/>
      <c r="U33" s="34">
        <f t="shared" si="0"/>
        <v>22</v>
      </c>
      <c r="V33" s="35">
        <f t="shared" si="1"/>
        <v>0.10400000000000001</v>
      </c>
      <c r="W33" s="35">
        <f t="shared" si="2"/>
        <v>6.2400000000000004E-2</v>
      </c>
      <c r="X33" s="35">
        <f t="shared" si="3"/>
        <v>4.1599999999999998E-2</v>
      </c>
      <c r="Y33" s="35">
        <f t="shared" si="4"/>
        <v>2.0799999999999999E-2</v>
      </c>
      <c r="AA33" s="219"/>
      <c r="AB33" s="36">
        <v>22</v>
      </c>
      <c r="AC33" s="219"/>
      <c r="AD33" s="37">
        <f t="shared" ref="AD33:AD41" si="16">13-((AB33-20)*(13/10))</f>
        <v>10.4</v>
      </c>
      <c r="AE33" s="219"/>
      <c r="AF33" s="37">
        <f t="shared" si="13"/>
        <v>6.24</v>
      </c>
      <c r="AG33" s="219"/>
      <c r="AH33" s="37">
        <f t="shared" si="14"/>
        <v>4.16</v>
      </c>
      <c r="AI33" s="219"/>
      <c r="AJ33" s="37">
        <f t="shared" si="15"/>
        <v>2.08</v>
      </c>
      <c r="AM33" s="38"/>
      <c r="AN33" s="38"/>
      <c r="AO33" s="38"/>
      <c r="AP33" s="38"/>
    </row>
    <row r="34" spans="1:42" ht="20.100000000000001" customHeight="1" x14ac:dyDescent="0.25">
      <c r="A34" s="32"/>
      <c r="B34" s="32"/>
      <c r="C34" s="32"/>
      <c r="D34" s="32"/>
      <c r="E34" s="32"/>
      <c r="F34" s="32"/>
      <c r="G34" s="32"/>
      <c r="H34" s="32"/>
      <c r="I34" s="32"/>
      <c r="J34" s="32"/>
      <c r="K34" s="32"/>
      <c r="L34" s="32"/>
      <c r="M34" s="32"/>
      <c r="N34" s="32"/>
      <c r="O34" s="32"/>
      <c r="P34" s="32"/>
      <c r="Q34" s="32"/>
      <c r="R34" s="32"/>
      <c r="U34" s="34">
        <f t="shared" si="0"/>
        <v>23</v>
      </c>
      <c r="V34" s="35">
        <f t="shared" si="1"/>
        <v>9.0999999999999998E-2</v>
      </c>
      <c r="W34" s="35">
        <f t="shared" si="2"/>
        <v>5.4600000000000003E-2</v>
      </c>
      <c r="X34" s="35">
        <f t="shared" si="3"/>
        <v>3.6400000000000002E-2</v>
      </c>
      <c r="Y34" s="35">
        <f t="shared" si="4"/>
        <v>1.8200000000000001E-2</v>
      </c>
      <c r="AA34" s="219"/>
      <c r="AB34" s="36">
        <v>23</v>
      </c>
      <c r="AC34" s="219"/>
      <c r="AD34" s="37">
        <f t="shared" si="16"/>
        <v>9.1</v>
      </c>
      <c r="AE34" s="219"/>
      <c r="AF34" s="37">
        <f t="shared" si="13"/>
        <v>5.46</v>
      </c>
      <c r="AG34" s="219"/>
      <c r="AH34" s="37">
        <f t="shared" si="14"/>
        <v>3.64</v>
      </c>
      <c r="AI34" s="219"/>
      <c r="AJ34" s="37">
        <f t="shared" si="15"/>
        <v>1.82</v>
      </c>
      <c r="AM34" s="38"/>
      <c r="AN34" s="38"/>
      <c r="AO34" s="38"/>
      <c r="AP34" s="38"/>
    </row>
    <row r="35" spans="1:42" ht="20.100000000000001" customHeight="1" x14ac:dyDescent="0.25">
      <c r="A35" s="32"/>
      <c r="B35" s="32"/>
      <c r="C35" s="32"/>
      <c r="D35" s="32"/>
      <c r="E35" s="32"/>
      <c r="F35" s="32"/>
      <c r="G35" s="32"/>
      <c r="H35" s="32"/>
      <c r="I35" s="32"/>
      <c r="J35" s="32"/>
      <c r="K35" s="32"/>
      <c r="L35" s="32"/>
      <c r="M35" s="32"/>
      <c r="N35" s="32"/>
      <c r="O35" s="32"/>
      <c r="P35" s="32"/>
      <c r="Q35" s="32"/>
      <c r="R35" s="32"/>
      <c r="U35" s="34">
        <f t="shared" si="0"/>
        <v>24</v>
      </c>
      <c r="V35" s="35">
        <f t="shared" si="1"/>
        <v>7.8E-2</v>
      </c>
      <c r="W35" s="35">
        <f t="shared" si="2"/>
        <v>4.6799999999999994E-2</v>
      </c>
      <c r="X35" s="35">
        <f t="shared" si="3"/>
        <v>3.1200000000000002E-2</v>
      </c>
      <c r="Y35" s="35">
        <f t="shared" si="4"/>
        <v>1.5600000000000001E-2</v>
      </c>
      <c r="AA35" s="219"/>
      <c r="AB35" s="36">
        <v>24</v>
      </c>
      <c r="AC35" s="219"/>
      <c r="AD35" s="37">
        <f t="shared" si="16"/>
        <v>7.8</v>
      </c>
      <c r="AE35" s="219"/>
      <c r="AF35" s="37">
        <f t="shared" si="13"/>
        <v>4.68</v>
      </c>
      <c r="AG35" s="219"/>
      <c r="AH35" s="37">
        <f t="shared" si="14"/>
        <v>3.12</v>
      </c>
      <c r="AI35" s="219"/>
      <c r="AJ35" s="37">
        <f t="shared" si="15"/>
        <v>1.56</v>
      </c>
      <c r="AM35" s="38"/>
      <c r="AN35" s="38"/>
      <c r="AO35" s="38"/>
      <c r="AP35" s="38"/>
    </row>
    <row r="36" spans="1:42" ht="20.100000000000001" customHeight="1" x14ac:dyDescent="0.25">
      <c r="A36" s="32"/>
      <c r="B36" s="32"/>
      <c r="C36" s="32"/>
      <c r="D36" s="32"/>
      <c r="E36" s="32"/>
      <c r="F36" s="32"/>
      <c r="G36" s="32"/>
      <c r="H36" s="32"/>
      <c r="I36" s="32"/>
      <c r="J36" s="32"/>
      <c r="K36" s="32"/>
      <c r="L36" s="32"/>
      <c r="M36" s="32"/>
      <c r="N36" s="32"/>
      <c r="O36" s="32"/>
      <c r="P36" s="32"/>
      <c r="Q36" s="32"/>
      <c r="R36" s="32"/>
      <c r="U36" s="34">
        <f t="shared" si="0"/>
        <v>25</v>
      </c>
      <c r="V36" s="35">
        <f t="shared" si="1"/>
        <v>6.5000000000000002E-2</v>
      </c>
      <c r="W36" s="35">
        <f t="shared" si="2"/>
        <v>3.9E-2</v>
      </c>
      <c r="X36" s="35">
        <f t="shared" si="3"/>
        <v>2.6000000000000002E-2</v>
      </c>
      <c r="Y36" s="35">
        <f t="shared" si="4"/>
        <v>1.3000000000000001E-2</v>
      </c>
      <c r="AA36" s="219"/>
      <c r="AB36" s="36">
        <v>25</v>
      </c>
      <c r="AC36" s="219"/>
      <c r="AD36" s="37">
        <f t="shared" si="16"/>
        <v>6.5</v>
      </c>
      <c r="AE36" s="219"/>
      <c r="AF36" s="37">
        <f t="shared" si="13"/>
        <v>3.9</v>
      </c>
      <c r="AG36" s="219"/>
      <c r="AH36" s="37">
        <f t="shared" si="14"/>
        <v>2.6</v>
      </c>
      <c r="AI36" s="219"/>
      <c r="AJ36" s="37">
        <f t="shared" si="15"/>
        <v>1.3</v>
      </c>
      <c r="AM36" s="38"/>
      <c r="AN36" s="38"/>
      <c r="AO36" s="38"/>
      <c r="AP36" s="38"/>
    </row>
    <row r="37" spans="1:42" ht="20.100000000000001" customHeight="1" x14ac:dyDescent="0.25">
      <c r="A37" s="32"/>
      <c r="B37" s="32"/>
      <c r="C37" s="32"/>
      <c r="D37" s="32"/>
      <c r="E37" s="32"/>
      <c r="F37" s="32"/>
      <c r="G37" s="32"/>
      <c r="H37" s="32"/>
      <c r="I37" s="32"/>
      <c r="J37" s="32"/>
      <c r="K37" s="32"/>
      <c r="L37" s="32"/>
      <c r="M37" s="32"/>
      <c r="N37" s="32"/>
      <c r="O37" s="32"/>
      <c r="P37" s="32"/>
      <c r="Q37" s="32"/>
      <c r="R37" s="32"/>
      <c r="U37" s="34">
        <f t="shared" si="0"/>
        <v>26</v>
      </c>
      <c r="V37" s="35">
        <f t="shared" si="1"/>
        <v>5.1999999999999991E-2</v>
      </c>
      <c r="W37" s="35">
        <f t="shared" si="2"/>
        <v>3.1200000000000002E-2</v>
      </c>
      <c r="X37" s="35">
        <f t="shared" si="3"/>
        <v>2.0799999999999999E-2</v>
      </c>
      <c r="Y37" s="35">
        <f t="shared" si="4"/>
        <v>1.04E-2</v>
      </c>
      <c r="AA37" s="219"/>
      <c r="AB37" s="36">
        <v>26</v>
      </c>
      <c r="AC37" s="219"/>
      <c r="AD37" s="37">
        <f t="shared" si="16"/>
        <v>5.1999999999999993</v>
      </c>
      <c r="AE37" s="219"/>
      <c r="AF37" s="37">
        <f t="shared" si="13"/>
        <v>3.12</v>
      </c>
      <c r="AG37" s="219"/>
      <c r="AH37" s="37">
        <f t="shared" si="14"/>
        <v>2.08</v>
      </c>
      <c r="AI37" s="219"/>
      <c r="AJ37" s="37">
        <f t="shared" si="15"/>
        <v>1.04</v>
      </c>
      <c r="AM37" s="38"/>
      <c r="AN37" s="38"/>
      <c r="AO37" s="38"/>
      <c r="AP37" s="38"/>
    </row>
    <row r="38" spans="1:42" ht="20.100000000000001" customHeight="1" x14ac:dyDescent="0.25">
      <c r="A38" s="32"/>
      <c r="B38" s="32"/>
      <c r="C38" s="32"/>
      <c r="D38" s="32"/>
      <c r="E38" s="32"/>
      <c r="F38" s="32"/>
      <c r="G38" s="32"/>
      <c r="H38" s="32"/>
      <c r="I38" s="32"/>
      <c r="J38" s="32"/>
      <c r="K38" s="32"/>
      <c r="L38" s="32"/>
      <c r="M38" s="32"/>
      <c r="N38" s="32"/>
      <c r="O38" s="32"/>
      <c r="P38" s="32"/>
      <c r="Q38" s="32"/>
      <c r="R38" s="32"/>
      <c r="U38" s="34">
        <f t="shared" si="0"/>
        <v>27</v>
      </c>
      <c r="V38" s="35">
        <f t="shared" si="1"/>
        <v>3.9000000000000007E-2</v>
      </c>
      <c r="W38" s="35">
        <f t="shared" si="2"/>
        <v>2.3399999999999997E-2</v>
      </c>
      <c r="X38" s="35">
        <f t="shared" si="3"/>
        <v>1.5600000000000004E-2</v>
      </c>
      <c r="Y38" s="35">
        <f t="shared" si="4"/>
        <v>7.8000000000000022E-3</v>
      </c>
      <c r="AA38" s="219"/>
      <c r="AB38" s="36">
        <v>27</v>
      </c>
      <c r="AC38" s="219"/>
      <c r="AD38" s="37">
        <f t="shared" si="16"/>
        <v>3.9000000000000004</v>
      </c>
      <c r="AE38" s="219"/>
      <c r="AF38" s="37">
        <f t="shared" si="13"/>
        <v>2.34</v>
      </c>
      <c r="AG38" s="219"/>
      <c r="AH38" s="37">
        <f t="shared" si="14"/>
        <v>1.5600000000000005</v>
      </c>
      <c r="AI38" s="219"/>
      <c r="AJ38" s="37">
        <f t="shared" si="15"/>
        <v>0.78000000000000025</v>
      </c>
      <c r="AM38" s="38"/>
      <c r="AN38" s="38"/>
      <c r="AO38" s="38"/>
      <c r="AP38" s="38"/>
    </row>
    <row r="39" spans="1:42" ht="20.100000000000001" customHeight="1" x14ac:dyDescent="0.25">
      <c r="A39" s="32"/>
      <c r="B39" s="32"/>
      <c r="C39" s="32"/>
      <c r="D39" s="32"/>
      <c r="E39" s="32"/>
      <c r="F39" s="32"/>
      <c r="G39" s="32"/>
      <c r="H39" s="32"/>
      <c r="I39" s="32"/>
      <c r="J39" s="32"/>
      <c r="K39" s="32"/>
      <c r="L39" s="32"/>
      <c r="M39" s="32"/>
      <c r="N39" s="32"/>
      <c r="O39" s="32"/>
      <c r="P39" s="32"/>
      <c r="Q39" s="32"/>
      <c r="R39" s="32"/>
      <c r="U39" s="34">
        <f t="shared" si="0"/>
        <v>28</v>
      </c>
      <c r="V39" s="35">
        <f t="shared" si="1"/>
        <v>2.5999999999999995E-2</v>
      </c>
      <c r="W39" s="35">
        <f t="shared" si="2"/>
        <v>1.5599999999999996E-2</v>
      </c>
      <c r="X39" s="35">
        <f t="shared" si="3"/>
        <v>1.04E-2</v>
      </c>
      <c r="Y39" s="35">
        <f t="shared" si="4"/>
        <v>5.1999999999999998E-3</v>
      </c>
      <c r="AA39" s="219"/>
      <c r="AB39" s="36">
        <v>28</v>
      </c>
      <c r="AC39" s="219"/>
      <c r="AD39" s="37">
        <f t="shared" si="16"/>
        <v>2.5999999999999996</v>
      </c>
      <c r="AE39" s="219"/>
      <c r="AF39" s="37">
        <f t="shared" si="13"/>
        <v>1.5599999999999996</v>
      </c>
      <c r="AG39" s="219"/>
      <c r="AH39" s="37">
        <f t="shared" si="14"/>
        <v>1.04</v>
      </c>
      <c r="AI39" s="219"/>
      <c r="AJ39" s="37">
        <f t="shared" si="15"/>
        <v>0.52</v>
      </c>
      <c r="AM39" s="38"/>
      <c r="AN39" s="38"/>
      <c r="AO39" s="38"/>
      <c r="AP39" s="38"/>
    </row>
    <row r="40" spans="1:42" ht="20.100000000000001" customHeight="1" x14ac:dyDescent="0.25">
      <c r="A40" s="32"/>
      <c r="B40" s="32"/>
      <c r="C40" s="32"/>
      <c r="D40" s="32"/>
      <c r="E40" s="32"/>
      <c r="F40" s="32"/>
      <c r="G40" s="32"/>
      <c r="H40" s="32"/>
      <c r="I40" s="32"/>
      <c r="J40" s="32"/>
      <c r="K40" s="32"/>
      <c r="L40" s="32"/>
      <c r="M40" s="32"/>
      <c r="N40" s="32"/>
      <c r="O40" s="32"/>
      <c r="P40" s="32"/>
      <c r="Q40" s="32"/>
      <c r="R40" s="32"/>
      <c r="U40" s="34">
        <f t="shared" si="0"/>
        <v>29</v>
      </c>
      <c r="V40" s="35">
        <f t="shared" si="1"/>
        <v>1.2999999999999989E-2</v>
      </c>
      <c r="W40" s="35">
        <f t="shared" si="2"/>
        <v>7.7999999999999936E-3</v>
      </c>
      <c r="X40" s="35">
        <f t="shared" si="3"/>
        <v>5.1999999999999954E-3</v>
      </c>
      <c r="Y40" s="35">
        <f t="shared" si="4"/>
        <v>2.5999999999999977E-3</v>
      </c>
      <c r="AA40" s="219"/>
      <c r="AB40" s="36">
        <v>29</v>
      </c>
      <c r="AC40" s="219"/>
      <c r="AD40" s="37">
        <f t="shared" si="16"/>
        <v>1.2999999999999989</v>
      </c>
      <c r="AE40" s="219"/>
      <c r="AF40" s="37">
        <f t="shared" si="13"/>
        <v>0.77999999999999936</v>
      </c>
      <c r="AG40" s="219"/>
      <c r="AH40" s="37">
        <f t="shared" si="14"/>
        <v>0.51999999999999957</v>
      </c>
      <c r="AI40" s="219"/>
      <c r="AJ40" s="37">
        <f t="shared" si="15"/>
        <v>0.25999999999999979</v>
      </c>
      <c r="AM40" s="38"/>
      <c r="AN40" s="38"/>
      <c r="AO40" s="38"/>
      <c r="AP40" s="38"/>
    </row>
    <row r="41" spans="1:42" ht="20.100000000000001" customHeight="1" x14ac:dyDescent="0.25">
      <c r="A41" s="32"/>
      <c r="B41" s="32"/>
      <c r="C41" s="32"/>
      <c r="D41" s="32"/>
      <c r="E41" s="32"/>
      <c r="F41" s="32"/>
      <c r="G41" s="32"/>
      <c r="H41" s="32"/>
      <c r="I41" s="32"/>
      <c r="J41" s="32"/>
      <c r="K41" s="32"/>
      <c r="L41" s="32"/>
      <c r="M41" s="32"/>
      <c r="N41" s="32"/>
      <c r="O41" s="32"/>
      <c r="P41" s="32"/>
      <c r="Q41" s="32"/>
      <c r="R41" s="32"/>
      <c r="U41" s="34">
        <f t="shared" si="0"/>
        <v>30</v>
      </c>
      <c r="V41" s="35">
        <f t="shared" si="1"/>
        <v>0</v>
      </c>
      <c r="W41" s="35">
        <f t="shared" si="2"/>
        <v>0</v>
      </c>
      <c r="X41" s="35">
        <f t="shared" si="3"/>
        <v>0</v>
      </c>
      <c r="Y41" s="35">
        <f t="shared" si="4"/>
        <v>0</v>
      </c>
      <c r="AA41" s="219"/>
      <c r="AB41" s="36">
        <v>30</v>
      </c>
      <c r="AC41" s="219"/>
      <c r="AD41" s="37">
        <f t="shared" si="16"/>
        <v>0</v>
      </c>
      <c r="AE41" s="219"/>
      <c r="AF41" s="37">
        <f t="shared" si="13"/>
        <v>0</v>
      </c>
      <c r="AG41" s="219"/>
      <c r="AH41" s="37">
        <f t="shared" si="14"/>
        <v>0</v>
      </c>
      <c r="AI41" s="219"/>
      <c r="AJ41" s="37">
        <f t="shared" si="15"/>
        <v>0</v>
      </c>
      <c r="AM41" s="38"/>
      <c r="AN41" s="38"/>
      <c r="AO41" s="38"/>
      <c r="AP41" s="38"/>
    </row>
    <row r="42" spans="1:42" ht="20.100000000000001" customHeight="1" x14ac:dyDescent="0.25">
      <c r="A42" s="32"/>
      <c r="B42" s="32"/>
      <c r="C42" s="32"/>
      <c r="D42" s="32"/>
      <c r="E42" s="32"/>
      <c r="F42" s="32"/>
      <c r="G42" s="32"/>
      <c r="H42" s="32"/>
      <c r="I42" s="32"/>
      <c r="J42" s="32"/>
      <c r="K42" s="32"/>
      <c r="L42" s="32"/>
      <c r="M42" s="32"/>
      <c r="N42" s="32"/>
      <c r="O42" s="32"/>
      <c r="P42" s="32"/>
      <c r="Q42" s="32"/>
      <c r="R42" s="32"/>
      <c r="U42" s="34">
        <f t="shared" ref="U42:U81" si="17">U41+1</f>
        <v>31</v>
      </c>
      <c r="V42" s="35">
        <f t="shared" ref="V42:V81" si="18">$V$41</f>
        <v>0</v>
      </c>
      <c r="W42" s="35">
        <f t="shared" ref="W42:W81" si="19">$W$41</f>
        <v>0</v>
      </c>
      <c r="X42" s="35">
        <f t="shared" ref="X42:X81" si="20">$X$41</f>
        <v>0</v>
      </c>
      <c r="Y42" s="35">
        <f t="shared" ref="Y42:Y81" si="21">$Y$41</f>
        <v>0</v>
      </c>
    </row>
    <row r="43" spans="1:42" ht="20.100000000000001" customHeight="1" x14ac:dyDescent="0.25">
      <c r="A43" s="32"/>
      <c r="B43" s="32"/>
      <c r="C43" s="32"/>
      <c r="D43" s="32"/>
      <c r="E43" s="32"/>
      <c r="F43" s="32"/>
      <c r="G43" s="32"/>
      <c r="H43" s="32"/>
      <c r="I43" s="32"/>
      <c r="J43" s="32"/>
      <c r="K43" s="32"/>
      <c r="L43" s="32"/>
      <c r="M43" s="32"/>
      <c r="N43" s="32"/>
      <c r="O43" s="32"/>
      <c r="P43" s="32"/>
      <c r="Q43" s="32"/>
      <c r="R43" s="32"/>
      <c r="U43" s="34">
        <f t="shared" si="17"/>
        <v>32</v>
      </c>
      <c r="V43" s="35">
        <f t="shared" si="18"/>
        <v>0</v>
      </c>
      <c r="W43" s="35">
        <f t="shared" si="19"/>
        <v>0</v>
      </c>
      <c r="X43" s="35">
        <f t="shared" si="20"/>
        <v>0</v>
      </c>
      <c r="Y43" s="35">
        <f t="shared" si="21"/>
        <v>0</v>
      </c>
    </row>
    <row r="44" spans="1:42" ht="20.100000000000001" customHeight="1" x14ac:dyDescent="0.25">
      <c r="A44" s="32"/>
      <c r="B44" s="32"/>
      <c r="C44" s="32"/>
      <c r="D44" s="32"/>
      <c r="E44" s="32"/>
      <c r="F44" s="32"/>
      <c r="G44" s="32"/>
      <c r="H44" s="32"/>
      <c r="I44" s="32"/>
      <c r="J44" s="32"/>
      <c r="K44" s="32"/>
      <c r="L44" s="32"/>
      <c r="M44" s="32"/>
      <c r="N44" s="32"/>
      <c r="O44" s="32"/>
      <c r="P44" s="32"/>
      <c r="Q44" s="32"/>
      <c r="R44" s="32"/>
      <c r="U44" s="34">
        <f t="shared" si="17"/>
        <v>33</v>
      </c>
      <c r="V44" s="35">
        <f t="shared" si="18"/>
        <v>0</v>
      </c>
      <c r="W44" s="35">
        <f t="shared" si="19"/>
        <v>0</v>
      </c>
      <c r="X44" s="35">
        <f t="shared" si="20"/>
        <v>0</v>
      </c>
      <c r="Y44" s="35">
        <f t="shared" si="21"/>
        <v>0</v>
      </c>
    </row>
    <row r="45" spans="1:42" ht="20.100000000000001" customHeight="1" x14ac:dyDescent="0.25">
      <c r="U45" s="34">
        <f t="shared" si="17"/>
        <v>34</v>
      </c>
      <c r="V45" s="35">
        <f t="shared" si="18"/>
        <v>0</v>
      </c>
      <c r="W45" s="35">
        <f t="shared" si="19"/>
        <v>0</v>
      </c>
      <c r="X45" s="35">
        <f t="shared" si="20"/>
        <v>0</v>
      </c>
      <c r="Y45" s="35">
        <f t="shared" si="21"/>
        <v>0</v>
      </c>
    </row>
    <row r="46" spans="1:42" ht="20.100000000000001" customHeight="1" x14ac:dyDescent="0.25">
      <c r="U46" s="34">
        <f t="shared" si="17"/>
        <v>35</v>
      </c>
      <c r="V46" s="35">
        <f t="shared" si="18"/>
        <v>0</v>
      </c>
      <c r="W46" s="35">
        <f t="shared" si="19"/>
        <v>0</v>
      </c>
      <c r="X46" s="35">
        <f t="shared" si="20"/>
        <v>0</v>
      </c>
      <c r="Y46" s="35">
        <f t="shared" si="21"/>
        <v>0</v>
      </c>
    </row>
    <row r="47" spans="1:42" ht="20.100000000000001" customHeight="1" x14ac:dyDescent="0.25">
      <c r="U47" s="34">
        <f t="shared" si="17"/>
        <v>36</v>
      </c>
      <c r="V47" s="35">
        <f t="shared" si="18"/>
        <v>0</v>
      </c>
      <c r="W47" s="35">
        <f t="shared" si="19"/>
        <v>0</v>
      </c>
      <c r="X47" s="35">
        <f t="shared" si="20"/>
        <v>0</v>
      </c>
      <c r="Y47" s="35">
        <f t="shared" si="21"/>
        <v>0</v>
      </c>
    </row>
    <row r="48" spans="1:42" ht="20.100000000000001" customHeight="1" x14ac:dyDescent="0.25">
      <c r="U48" s="34">
        <f t="shared" si="17"/>
        <v>37</v>
      </c>
      <c r="V48" s="35">
        <f t="shared" si="18"/>
        <v>0</v>
      </c>
      <c r="W48" s="35">
        <f t="shared" si="19"/>
        <v>0</v>
      </c>
      <c r="X48" s="35">
        <f t="shared" si="20"/>
        <v>0</v>
      </c>
      <c r="Y48" s="35">
        <f t="shared" si="21"/>
        <v>0</v>
      </c>
    </row>
    <row r="49" spans="21:25" ht="20.100000000000001" customHeight="1" x14ac:dyDescent="0.25">
      <c r="U49" s="34">
        <f t="shared" si="17"/>
        <v>38</v>
      </c>
      <c r="V49" s="35">
        <f t="shared" si="18"/>
        <v>0</v>
      </c>
      <c r="W49" s="35">
        <f t="shared" si="19"/>
        <v>0</v>
      </c>
      <c r="X49" s="35">
        <f t="shared" si="20"/>
        <v>0</v>
      </c>
      <c r="Y49" s="35">
        <f t="shared" si="21"/>
        <v>0</v>
      </c>
    </row>
    <row r="50" spans="21:25" ht="20.100000000000001" customHeight="1" x14ac:dyDescent="0.25">
      <c r="U50" s="34">
        <f t="shared" si="17"/>
        <v>39</v>
      </c>
      <c r="V50" s="35">
        <f t="shared" si="18"/>
        <v>0</v>
      </c>
      <c r="W50" s="35">
        <f t="shared" si="19"/>
        <v>0</v>
      </c>
      <c r="X50" s="35">
        <f t="shared" si="20"/>
        <v>0</v>
      </c>
      <c r="Y50" s="35">
        <f t="shared" si="21"/>
        <v>0</v>
      </c>
    </row>
    <row r="51" spans="21:25" ht="20.100000000000001" customHeight="1" x14ac:dyDescent="0.25">
      <c r="U51" s="34">
        <f t="shared" si="17"/>
        <v>40</v>
      </c>
      <c r="V51" s="35">
        <f t="shared" si="18"/>
        <v>0</v>
      </c>
      <c r="W51" s="35">
        <f t="shared" si="19"/>
        <v>0</v>
      </c>
      <c r="X51" s="35">
        <f t="shared" si="20"/>
        <v>0</v>
      </c>
      <c r="Y51" s="35">
        <f t="shared" si="21"/>
        <v>0</v>
      </c>
    </row>
    <row r="52" spans="21:25" ht="20.100000000000001" customHeight="1" x14ac:dyDescent="0.25">
      <c r="U52" s="34">
        <f t="shared" si="17"/>
        <v>41</v>
      </c>
      <c r="V52" s="35">
        <f t="shared" si="18"/>
        <v>0</v>
      </c>
      <c r="W52" s="35">
        <f t="shared" si="19"/>
        <v>0</v>
      </c>
      <c r="X52" s="35">
        <f t="shared" si="20"/>
        <v>0</v>
      </c>
      <c r="Y52" s="35">
        <f t="shared" si="21"/>
        <v>0</v>
      </c>
    </row>
    <row r="53" spans="21:25" ht="20.100000000000001" customHeight="1" x14ac:dyDescent="0.25">
      <c r="U53" s="34">
        <f t="shared" si="17"/>
        <v>42</v>
      </c>
      <c r="V53" s="35">
        <f t="shared" si="18"/>
        <v>0</v>
      </c>
      <c r="W53" s="35">
        <f t="shared" si="19"/>
        <v>0</v>
      </c>
      <c r="X53" s="35">
        <f t="shared" si="20"/>
        <v>0</v>
      </c>
      <c r="Y53" s="35">
        <f t="shared" si="21"/>
        <v>0</v>
      </c>
    </row>
    <row r="54" spans="21:25" ht="20.100000000000001" customHeight="1" x14ac:dyDescent="0.25">
      <c r="U54" s="34">
        <f t="shared" si="17"/>
        <v>43</v>
      </c>
      <c r="V54" s="35">
        <f t="shared" si="18"/>
        <v>0</v>
      </c>
      <c r="W54" s="35">
        <f t="shared" si="19"/>
        <v>0</v>
      </c>
      <c r="X54" s="35">
        <f t="shared" si="20"/>
        <v>0</v>
      </c>
      <c r="Y54" s="35">
        <f t="shared" si="21"/>
        <v>0</v>
      </c>
    </row>
    <row r="55" spans="21:25" ht="20.100000000000001" customHeight="1" x14ac:dyDescent="0.25">
      <c r="U55" s="34">
        <f t="shared" si="17"/>
        <v>44</v>
      </c>
      <c r="V55" s="35">
        <f t="shared" si="18"/>
        <v>0</v>
      </c>
      <c r="W55" s="35">
        <f t="shared" si="19"/>
        <v>0</v>
      </c>
      <c r="X55" s="35">
        <f t="shared" si="20"/>
        <v>0</v>
      </c>
      <c r="Y55" s="35">
        <f t="shared" si="21"/>
        <v>0</v>
      </c>
    </row>
    <row r="56" spans="21:25" ht="20.100000000000001" customHeight="1" x14ac:dyDescent="0.25">
      <c r="U56" s="34">
        <f t="shared" si="17"/>
        <v>45</v>
      </c>
      <c r="V56" s="35">
        <f t="shared" si="18"/>
        <v>0</v>
      </c>
      <c r="W56" s="35">
        <f t="shared" si="19"/>
        <v>0</v>
      </c>
      <c r="X56" s="35">
        <f t="shared" si="20"/>
        <v>0</v>
      </c>
      <c r="Y56" s="35">
        <f t="shared" si="21"/>
        <v>0</v>
      </c>
    </row>
    <row r="57" spans="21:25" ht="20.100000000000001" customHeight="1" x14ac:dyDescent="0.25">
      <c r="U57" s="34">
        <f t="shared" si="17"/>
        <v>46</v>
      </c>
      <c r="V57" s="35">
        <f t="shared" si="18"/>
        <v>0</v>
      </c>
      <c r="W57" s="35">
        <f t="shared" si="19"/>
        <v>0</v>
      </c>
      <c r="X57" s="35">
        <f t="shared" si="20"/>
        <v>0</v>
      </c>
      <c r="Y57" s="35">
        <f t="shared" si="21"/>
        <v>0</v>
      </c>
    </row>
    <row r="58" spans="21:25" ht="20.100000000000001" customHeight="1" x14ac:dyDescent="0.25">
      <c r="U58" s="34">
        <f t="shared" si="17"/>
        <v>47</v>
      </c>
      <c r="V58" s="35">
        <f t="shared" si="18"/>
        <v>0</v>
      </c>
      <c r="W58" s="35">
        <f t="shared" si="19"/>
        <v>0</v>
      </c>
      <c r="X58" s="35">
        <f t="shared" si="20"/>
        <v>0</v>
      </c>
      <c r="Y58" s="35">
        <f t="shared" si="21"/>
        <v>0</v>
      </c>
    </row>
    <row r="59" spans="21:25" ht="20.100000000000001" customHeight="1" x14ac:dyDescent="0.25">
      <c r="U59" s="34">
        <f t="shared" si="17"/>
        <v>48</v>
      </c>
      <c r="V59" s="35">
        <f t="shared" si="18"/>
        <v>0</v>
      </c>
      <c r="W59" s="35">
        <f t="shared" si="19"/>
        <v>0</v>
      </c>
      <c r="X59" s="35">
        <f t="shared" si="20"/>
        <v>0</v>
      </c>
      <c r="Y59" s="35">
        <f t="shared" si="21"/>
        <v>0</v>
      </c>
    </row>
    <row r="60" spans="21:25" ht="20.100000000000001" customHeight="1" x14ac:dyDescent="0.25">
      <c r="U60" s="34">
        <f t="shared" si="17"/>
        <v>49</v>
      </c>
      <c r="V60" s="35">
        <f t="shared" si="18"/>
        <v>0</v>
      </c>
      <c r="W60" s="35">
        <f t="shared" si="19"/>
        <v>0</v>
      </c>
      <c r="X60" s="35">
        <f t="shared" si="20"/>
        <v>0</v>
      </c>
      <c r="Y60" s="35">
        <f t="shared" si="21"/>
        <v>0</v>
      </c>
    </row>
    <row r="61" spans="21:25" ht="20.100000000000001" customHeight="1" x14ac:dyDescent="0.25">
      <c r="U61" s="34">
        <f t="shared" si="17"/>
        <v>50</v>
      </c>
      <c r="V61" s="35">
        <f t="shared" si="18"/>
        <v>0</v>
      </c>
      <c r="W61" s="35">
        <f t="shared" si="19"/>
        <v>0</v>
      </c>
      <c r="X61" s="35">
        <f t="shared" si="20"/>
        <v>0</v>
      </c>
      <c r="Y61" s="35">
        <f t="shared" si="21"/>
        <v>0</v>
      </c>
    </row>
    <row r="62" spans="21:25" ht="20.100000000000001" customHeight="1" x14ac:dyDescent="0.25">
      <c r="U62" s="34">
        <f t="shared" si="17"/>
        <v>51</v>
      </c>
      <c r="V62" s="35">
        <f t="shared" si="18"/>
        <v>0</v>
      </c>
      <c r="W62" s="35">
        <f t="shared" si="19"/>
        <v>0</v>
      </c>
      <c r="X62" s="35">
        <f t="shared" si="20"/>
        <v>0</v>
      </c>
      <c r="Y62" s="35">
        <f t="shared" si="21"/>
        <v>0</v>
      </c>
    </row>
    <row r="63" spans="21:25" ht="20.100000000000001" customHeight="1" x14ac:dyDescent="0.25">
      <c r="U63" s="34">
        <f t="shared" si="17"/>
        <v>52</v>
      </c>
      <c r="V63" s="35">
        <f t="shared" si="18"/>
        <v>0</v>
      </c>
      <c r="W63" s="35">
        <f t="shared" si="19"/>
        <v>0</v>
      </c>
      <c r="X63" s="35">
        <f t="shared" si="20"/>
        <v>0</v>
      </c>
      <c r="Y63" s="35">
        <f t="shared" si="21"/>
        <v>0</v>
      </c>
    </row>
    <row r="64" spans="21:25" ht="20.100000000000001" customHeight="1" x14ac:dyDescent="0.25">
      <c r="U64" s="34">
        <f t="shared" si="17"/>
        <v>53</v>
      </c>
      <c r="V64" s="35">
        <f t="shared" si="18"/>
        <v>0</v>
      </c>
      <c r="W64" s="35">
        <f t="shared" si="19"/>
        <v>0</v>
      </c>
      <c r="X64" s="35">
        <f t="shared" si="20"/>
        <v>0</v>
      </c>
      <c r="Y64" s="35">
        <f t="shared" si="21"/>
        <v>0</v>
      </c>
    </row>
    <row r="65" spans="21:25" ht="20.100000000000001" customHeight="1" x14ac:dyDescent="0.25">
      <c r="U65" s="34">
        <f t="shared" si="17"/>
        <v>54</v>
      </c>
      <c r="V65" s="35">
        <f t="shared" si="18"/>
        <v>0</v>
      </c>
      <c r="W65" s="35">
        <f t="shared" si="19"/>
        <v>0</v>
      </c>
      <c r="X65" s="35">
        <f t="shared" si="20"/>
        <v>0</v>
      </c>
      <c r="Y65" s="35">
        <f t="shared" si="21"/>
        <v>0</v>
      </c>
    </row>
    <row r="66" spans="21:25" ht="20.100000000000001" customHeight="1" x14ac:dyDescent="0.25">
      <c r="U66" s="34">
        <f t="shared" si="17"/>
        <v>55</v>
      </c>
      <c r="V66" s="35">
        <f t="shared" si="18"/>
        <v>0</v>
      </c>
      <c r="W66" s="35">
        <f t="shared" si="19"/>
        <v>0</v>
      </c>
      <c r="X66" s="35">
        <f t="shared" si="20"/>
        <v>0</v>
      </c>
      <c r="Y66" s="35">
        <f t="shared" si="21"/>
        <v>0</v>
      </c>
    </row>
    <row r="67" spans="21:25" ht="20.100000000000001" customHeight="1" x14ac:dyDescent="0.25">
      <c r="U67" s="34">
        <f t="shared" si="17"/>
        <v>56</v>
      </c>
      <c r="V67" s="35">
        <f t="shared" si="18"/>
        <v>0</v>
      </c>
      <c r="W67" s="35">
        <f t="shared" si="19"/>
        <v>0</v>
      </c>
      <c r="X67" s="35">
        <f t="shared" si="20"/>
        <v>0</v>
      </c>
      <c r="Y67" s="35">
        <f t="shared" si="21"/>
        <v>0</v>
      </c>
    </row>
    <row r="68" spans="21:25" ht="20.100000000000001" customHeight="1" x14ac:dyDescent="0.25">
      <c r="U68" s="34">
        <f t="shared" si="17"/>
        <v>57</v>
      </c>
      <c r="V68" s="35">
        <f t="shared" si="18"/>
        <v>0</v>
      </c>
      <c r="W68" s="35">
        <f t="shared" si="19"/>
        <v>0</v>
      </c>
      <c r="X68" s="35">
        <f t="shared" si="20"/>
        <v>0</v>
      </c>
      <c r="Y68" s="35">
        <f t="shared" si="21"/>
        <v>0</v>
      </c>
    </row>
    <row r="69" spans="21:25" ht="20.100000000000001" customHeight="1" x14ac:dyDescent="0.25">
      <c r="U69" s="34">
        <f t="shared" si="17"/>
        <v>58</v>
      </c>
      <c r="V69" s="35">
        <f t="shared" si="18"/>
        <v>0</v>
      </c>
      <c r="W69" s="35">
        <f t="shared" si="19"/>
        <v>0</v>
      </c>
      <c r="X69" s="35">
        <f t="shared" si="20"/>
        <v>0</v>
      </c>
      <c r="Y69" s="35">
        <f t="shared" si="21"/>
        <v>0</v>
      </c>
    </row>
    <row r="70" spans="21:25" ht="20.100000000000001" customHeight="1" x14ac:dyDescent="0.25">
      <c r="U70" s="34">
        <f t="shared" si="17"/>
        <v>59</v>
      </c>
      <c r="V70" s="35">
        <f t="shared" si="18"/>
        <v>0</v>
      </c>
      <c r="W70" s="35">
        <f t="shared" si="19"/>
        <v>0</v>
      </c>
      <c r="X70" s="35">
        <f t="shared" si="20"/>
        <v>0</v>
      </c>
      <c r="Y70" s="35">
        <f t="shared" si="21"/>
        <v>0</v>
      </c>
    </row>
    <row r="71" spans="21:25" ht="20.100000000000001" customHeight="1" x14ac:dyDescent="0.25">
      <c r="U71" s="34">
        <f t="shared" si="17"/>
        <v>60</v>
      </c>
      <c r="V71" s="35">
        <f t="shared" si="18"/>
        <v>0</v>
      </c>
      <c r="W71" s="35">
        <f t="shared" si="19"/>
        <v>0</v>
      </c>
      <c r="X71" s="35">
        <f t="shared" si="20"/>
        <v>0</v>
      </c>
      <c r="Y71" s="35">
        <f t="shared" si="21"/>
        <v>0</v>
      </c>
    </row>
    <row r="72" spans="21:25" ht="20.100000000000001" customHeight="1" x14ac:dyDescent="0.25">
      <c r="U72" s="34">
        <f t="shared" si="17"/>
        <v>61</v>
      </c>
      <c r="V72" s="35">
        <f t="shared" si="18"/>
        <v>0</v>
      </c>
      <c r="W72" s="35">
        <f t="shared" si="19"/>
        <v>0</v>
      </c>
      <c r="X72" s="35">
        <f t="shared" si="20"/>
        <v>0</v>
      </c>
      <c r="Y72" s="35">
        <f t="shared" si="21"/>
        <v>0</v>
      </c>
    </row>
    <row r="73" spans="21:25" ht="20.100000000000001" customHeight="1" x14ac:dyDescent="0.25">
      <c r="U73" s="34">
        <f t="shared" si="17"/>
        <v>62</v>
      </c>
      <c r="V73" s="35">
        <f t="shared" si="18"/>
        <v>0</v>
      </c>
      <c r="W73" s="35">
        <f t="shared" si="19"/>
        <v>0</v>
      </c>
      <c r="X73" s="35">
        <f t="shared" si="20"/>
        <v>0</v>
      </c>
      <c r="Y73" s="35">
        <f t="shared" si="21"/>
        <v>0</v>
      </c>
    </row>
    <row r="74" spans="21:25" ht="20.100000000000001" customHeight="1" x14ac:dyDescent="0.25">
      <c r="U74" s="34">
        <f t="shared" si="17"/>
        <v>63</v>
      </c>
      <c r="V74" s="35">
        <f t="shared" si="18"/>
        <v>0</v>
      </c>
      <c r="W74" s="35">
        <f t="shared" si="19"/>
        <v>0</v>
      </c>
      <c r="X74" s="35">
        <f t="shared" si="20"/>
        <v>0</v>
      </c>
      <c r="Y74" s="35">
        <f t="shared" si="21"/>
        <v>0</v>
      </c>
    </row>
    <row r="75" spans="21:25" ht="20.100000000000001" customHeight="1" x14ac:dyDescent="0.25">
      <c r="U75" s="34">
        <f t="shared" si="17"/>
        <v>64</v>
      </c>
      <c r="V75" s="35">
        <f t="shared" si="18"/>
        <v>0</v>
      </c>
      <c r="W75" s="35">
        <f t="shared" si="19"/>
        <v>0</v>
      </c>
      <c r="X75" s="35">
        <f t="shared" si="20"/>
        <v>0</v>
      </c>
      <c r="Y75" s="35">
        <f t="shared" si="21"/>
        <v>0</v>
      </c>
    </row>
    <row r="76" spans="21:25" ht="20.100000000000001" customHeight="1" x14ac:dyDescent="0.25">
      <c r="U76" s="34">
        <f t="shared" si="17"/>
        <v>65</v>
      </c>
      <c r="V76" s="35">
        <f t="shared" si="18"/>
        <v>0</v>
      </c>
      <c r="W76" s="35">
        <f t="shared" si="19"/>
        <v>0</v>
      </c>
      <c r="X76" s="35">
        <f t="shared" si="20"/>
        <v>0</v>
      </c>
      <c r="Y76" s="35">
        <f t="shared" si="21"/>
        <v>0</v>
      </c>
    </row>
    <row r="77" spans="21:25" ht="20.100000000000001" customHeight="1" x14ac:dyDescent="0.25">
      <c r="U77" s="34">
        <f t="shared" si="17"/>
        <v>66</v>
      </c>
      <c r="V77" s="35">
        <f t="shared" si="18"/>
        <v>0</v>
      </c>
      <c r="W77" s="35">
        <f t="shared" si="19"/>
        <v>0</v>
      </c>
      <c r="X77" s="35">
        <f t="shared" si="20"/>
        <v>0</v>
      </c>
      <c r="Y77" s="35">
        <f t="shared" si="21"/>
        <v>0</v>
      </c>
    </row>
    <row r="78" spans="21:25" ht="20.100000000000001" customHeight="1" x14ac:dyDescent="0.25">
      <c r="U78" s="34">
        <f t="shared" si="17"/>
        <v>67</v>
      </c>
      <c r="V78" s="35">
        <f t="shared" si="18"/>
        <v>0</v>
      </c>
      <c r="W78" s="35">
        <f t="shared" si="19"/>
        <v>0</v>
      </c>
      <c r="X78" s="35">
        <f t="shared" si="20"/>
        <v>0</v>
      </c>
      <c r="Y78" s="35">
        <f t="shared" si="21"/>
        <v>0</v>
      </c>
    </row>
    <row r="79" spans="21:25" ht="20.100000000000001" customHeight="1" x14ac:dyDescent="0.25">
      <c r="U79" s="34">
        <f t="shared" si="17"/>
        <v>68</v>
      </c>
      <c r="V79" s="35">
        <f t="shared" si="18"/>
        <v>0</v>
      </c>
      <c r="W79" s="35">
        <f t="shared" si="19"/>
        <v>0</v>
      </c>
      <c r="X79" s="35">
        <f t="shared" si="20"/>
        <v>0</v>
      </c>
      <c r="Y79" s="35">
        <f t="shared" si="21"/>
        <v>0</v>
      </c>
    </row>
    <row r="80" spans="21:25" ht="20.100000000000001" customHeight="1" x14ac:dyDescent="0.25">
      <c r="U80" s="34">
        <f t="shared" si="17"/>
        <v>69</v>
      </c>
      <c r="V80" s="35">
        <f t="shared" si="18"/>
        <v>0</v>
      </c>
      <c r="W80" s="35">
        <f t="shared" si="19"/>
        <v>0</v>
      </c>
      <c r="X80" s="35">
        <f t="shared" si="20"/>
        <v>0</v>
      </c>
      <c r="Y80" s="35">
        <f t="shared" si="21"/>
        <v>0</v>
      </c>
    </row>
    <row r="81" spans="21:25" ht="20.100000000000001" customHeight="1" x14ac:dyDescent="0.25">
      <c r="U81" s="34">
        <f t="shared" si="17"/>
        <v>70</v>
      </c>
      <c r="V81" s="35">
        <f t="shared" si="18"/>
        <v>0</v>
      </c>
      <c r="W81" s="35">
        <f t="shared" si="19"/>
        <v>0</v>
      </c>
      <c r="X81" s="35">
        <f t="shared" si="20"/>
        <v>0</v>
      </c>
      <c r="Y81" s="35">
        <f t="shared" si="21"/>
        <v>0</v>
      </c>
    </row>
  </sheetData>
  <mergeCells count="51">
    <mergeCell ref="A1:R1"/>
    <mergeCell ref="A3:R4"/>
    <mergeCell ref="A5:R5"/>
    <mergeCell ref="A6:D6"/>
    <mergeCell ref="E6:F6"/>
    <mergeCell ref="G6:J6"/>
    <mergeCell ref="K6:N6"/>
    <mergeCell ref="O6:R6"/>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1:D12"/>
    <mergeCell ref="E11:F12"/>
    <mergeCell ref="G11:H12"/>
    <mergeCell ref="I11:J12"/>
    <mergeCell ref="K11:L12"/>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M13:N14"/>
    <mergeCell ref="A13:D14"/>
    <mergeCell ref="E13:F14"/>
    <mergeCell ref="G13:H14"/>
    <mergeCell ref="I13:J14"/>
    <mergeCell ref="K13:L1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7" customWidth="1"/>
    <col min="11" max="16384" width="9" style="5"/>
  </cols>
  <sheetData>
    <row r="1" spans="1:10" ht="20.100000000000001" customHeight="1" thickBot="1" x14ac:dyDescent="0.3">
      <c r="A1" s="256" t="s">
        <v>122</v>
      </c>
      <c r="B1" s="256"/>
      <c r="C1" s="256"/>
      <c r="D1" s="256"/>
      <c r="E1" s="256"/>
      <c r="F1" s="256"/>
      <c r="G1" s="256"/>
      <c r="H1" s="256"/>
      <c r="I1" s="256"/>
      <c r="J1" s="256"/>
    </row>
    <row r="2" spans="1:10" ht="20.100000000000001" customHeight="1" x14ac:dyDescent="0.25">
      <c r="A2" s="6"/>
      <c r="B2" s="2"/>
      <c r="C2" s="2"/>
      <c r="D2" s="2"/>
      <c r="E2" s="2"/>
    </row>
    <row r="3" spans="1:10" ht="20.100000000000001" customHeight="1" x14ac:dyDescent="0.25">
      <c r="A3" s="251" t="s">
        <v>123</v>
      </c>
      <c r="B3" s="251" t="s">
        <v>124</v>
      </c>
      <c r="C3" s="251"/>
      <c r="D3" s="251" t="s">
        <v>125</v>
      </c>
      <c r="E3" s="251"/>
      <c r="F3" s="251"/>
      <c r="G3" s="257" t="s">
        <v>126</v>
      </c>
      <c r="H3" s="258"/>
      <c r="I3" s="251" t="s">
        <v>127</v>
      </c>
      <c r="J3" s="251"/>
    </row>
    <row r="4" spans="1:10" ht="20.100000000000001" customHeight="1" x14ac:dyDescent="0.25">
      <c r="A4" s="251"/>
      <c r="B4" s="251"/>
      <c r="C4" s="251"/>
      <c r="D4" s="251"/>
      <c r="E4" s="251"/>
      <c r="F4" s="251"/>
      <c r="G4" s="259"/>
      <c r="H4" s="260"/>
      <c r="I4" s="251"/>
      <c r="J4" s="251"/>
    </row>
    <row r="5" spans="1:10" ht="20.100000000000001" customHeight="1" x14ac:dyDescent="0.25">
      <c r="A5" s="251"/>
      <c r="B5" s="251"/>
      <c r="C5" s="251"/>
      <c r="D5" s="251"/>
      <c r="E5" s="251"/>
      <c r="F5" s="251"/>
      <c r="G5" s="251" t="s">
        <v>128</v>
      </c>
      <c r="H5" s="251"/>
      <c r="I5" s="251"/>
      <c r="J5" s="251"/>
    </row>
    <row r="6" spans="1:10" ht="20.100000000000001" customHeight="1" x14ac:dyDescent="0.25">
      <c r="A6" s="255" t="s">
        <v>129</v>
      </c>
      <c r="B6" s="251" t="s">
        <v>130</v>
      </c>
      <c r="C6" s="251"/>
      <c r="D6" s="252" t="s">
        <v>131</v>
      </c>
      <c r="E6" s="252"/>
      <c r="F6" s="252"/>
      <c r="G6" s="253">
        <v>5</v>
      </c>
      <c r="H6" s="253"/>
      <c r="I6" s="254">
        <v>0</v>
      </c>
      <c r="J6" s="254"/>
    </row>
    <row r="7" spans="1:10" ht="20.100000000000001" customHeight="1" x14ac:dyDescent="0.25">
      <c r="A7" s="255"/>
      <c r="B7" s="251"/>
      <c r="C7" s="251"/>
      <c r="D7" s="252" t="s">
        <v>132</v>
      </c>
      <c r="E7" s="252"/>
      <c r="F7" s="252"/>
      <c r="G7" s="253">
        <v>10</v>
      </c>
      <c r="H7" s="253"/>
      <c r="I7" s="254">
        <v>0</v>
      </c>
      <c r="J7" s="254"/>
    </row>
    <row r="8" spans="1:10" ht="20.100000000000001" customHeight="1" x14ac:dyDescent="0.25">
      <c r="A8" s="255"/>
      <c r="B8" s="251" t="s">
        <v>133</v>
      </c>
      <c r="C8" s="251"/>
      <c r="D8" s="252" t="s">
        <v>131</v>
      </c>
      <c r="E8" s="252"/>
      <c r="F8" s="252"/>
      <c r="G8" s="253">
        <v>60</v>
      </c>
      <c r="H8" s="253"/>
      <c r="I8" s="254">
        <v>0.2</v>
      </c>
      <c r="J8" s="254"/>
    </row>
    <row r="9" spans="1:10" ht="20.100000000000001" customHeight="1" x14ac:dyDescent="0.25">
      <c r="A9" s="255"/>
      <c r="B9" s="251"/>
      <c r="C9" s="251"/>
      <c r="D9" s="252" t="s">
        <v>134</v>
      </c>
      <c r="E9" s="252"/>
      <c r="F9" s="252"/>
      <c r="G9" s="253">
        <v>60</v>
      </c>
      <c r="H9" s="253"/>
      <c r="I9" s="254">
        <v>0.2</v>
      </c>
      <c r="J9" s="254"/>
    </row>
    <row r="10" spans="1:10" ht="20.100000000000001" customHeight="1" x14ac:dyDescent="0.25">
      <c r="A10" s="255"/>
      <c r="B10" s="251"/>
      <c r="C10" s="251"/>
      <c r="D10" s="252" t="s">
        <v>135</v>
      </c>
      <c r="E10" s="252"/>
      <c r="F10" s="252"/>
      <c r="G10" s="253">
        <v>70</v>
      </c>
      <c r="H10" s="253"/>
      <c r="I10" s="254">
        <v>0.2</v>
      </c>
      <c r="J10" s="254"/>
    </row>
    <row r="11" spans="1:10" ht="20.100000000000001" customHeight="1" x14ac:dyDescent="0.25">
      <c r="A11" s="255"/>
      <c r="B11" s="251"/>
      <c r="C11" s="251"/>
      <c r="D11" s="252" t="s">
        <v>132</v>
      </c>
      <c r="E11" s="252"/>
      <c r="F11" s="252"/>
      <c r="G11" s="253">
        <v>70</v>
      </c>
      <c r="H11" s="253"/>
      <c r="I11" s="254">
        <v>0.2</v>
      </c>
      <c r="J11" s="254"/>
    </row>
    <row r="12" spans="1:10" ht="20.100000000000001" customHeight="1" x14ac:dyDescent="0.25">
      <c r="A12" s="255"/>
      <c r="B12" s="251"/>
      <c r="C12" s="251"/>
      <c r="D12" s="252" t="s">
        <v>136</v>
      </c>
      <c r="E12" s="252"/>
      <c r="F12" s="252"/>
      <c r="G12" s="253">
        <v>70</v>
      </c>
      <c r="H12" s="253"/>
      <c r="I12" s="254">
        <v>0.2</v>
      </c>
      <c r="J12" s="254"/>
    </row>
    <row r="13" spans="1:10" ht="20.100000000000001" customHeight="1" x14ac:dyDescent="0.25">
      <c r="A13" s="255"/>
      <c r="B13" s="251"/>
      <c r="C13" s="251"/>
      <c r="D13" s="252" t="s">
        <v>137</v>
      </c>
      <c r="E13" s="252"/>
      <c r="F13" s="252"/>
      <c r="G13" s="253">
        <v>70</v>
      </c>
      <c r="H13" s="253"/>
      <c r="I13" s="254">
        <v>0.2</v>
      </c>
      <c r="J13" s="254"/>
    </row>
    <row r="14" spans="1:10" ht="20.100000000000001" customHeight="1" x14ac:dyDescent="0.25">
      <c r="A14" s="255"/>
      <c r="B14" s="251"/>
      <c r="C14" s="251"/>
      <c r="D14" s="252" t="s">
        <v>138</v>
      </c>
      <c r="E14" s="252"/>
      <c r="F14" s="252"/>
      <c r="G14" s="253">
        <v>60</v>
      </c>
      <c r="H14" s="253"/>
      <c r="I14" s="254">
        <v>0.2</v>
      </c>
      <c r="J14" s="254"/>
    </row>
    <row r="15" spans="1:10" ht="20.100000000000001" customHeight="1" x14ac:dyDescent="0.25">
      <c r="A15" s="255"/>
      <c r="B15" s="251"/>
      <c r="C15" s="251"/>
      <c r="D15" s="252" t="s">
        <v>139</v>
      </c>
      <c r="E15" s="252"/>
      <c r="F15" s="252"/>
      <c r="G15" s="253">
        <v>60</v>
      </c>
      <c r="H15" s="253"/>
      <c r="I15" s="254">
        <v>0.2</v>
      </c>
      <c r="J15" s="254"/>
    </row>
    <row r="16" spans="1:10" ht="20.100000000000001" customHeight="1" x14ac:dyDescent="0.25">
      <c r="A16" s="255"/>
      <c r="B16" s="251" t="s">
        <v>140</v>
      </c>
      <c r="C16" s="251"/>
      <c r="D16" s="252" t="s">
        <v>135</v>
      </c>
      <c r="E16" s="252"/>
      <c r="F16" s="252"/>
      <c r="G16" s="253">
        <v>60</v>
      </c>
      <c r="H16" s="253"/>
      <c r="I16" s="254">
        <v>0.2</v>
      </c>
      <c r="J16" s="254"/>
    </row>
    <row r="17" spans="1:10" ht="20.100000000000001" customHeight="1" x14ac:dyDescent="0.25">
      <c r="A17" s="255"/>
      <c r="B17" s="251"/>
      <c r="C17" s="251"/>
      <c r="D17" s="252" t="s">
        <v>132</v>
      </c>
      <c r="E17" s="252"/>
      <c r="F17" s="252"/>
      <c r="G17" s="253">
        <v>60</v>
      </c>
      <c r="H17" s="253"/>
      <c r="I17" s="254">
        <v>0.2</v>
      </c>
      <c r="J17" s="254"/>
    </row>
    <row r="18" spans="1:10" ht="20.100000000000001" customHeight="1" x14ac:dyDescent="0.25">
      <c r="A18" s="255"/>
      <c r="B18" s="251"/>
      <c r="C18" s="251"/>
      <c r="D18" s="252" t="s">
        <v>136</v>
      </c>
      <c r="E18" s="252"/>
      <c r="F18" s="252"/>
      <c r="G18" s="253">
        <v>60</v>
      </c>
      <c r="H18" s="253"/>
      <c r="I18" s="254">
        <v>0.2</v>
      </c>
      <c r="J18" s="254"/>
    </row>
    <row r="19" spans="1:10" ht="20.100000000000001" customHeight="1" x14ac:dyDescent="0.25">
      <c r="A19" s="255"/>
      <c r="B19" s="251"/>
      <c r="C19" s="251"/>
      <c r="D19" s="252" t="s">
        <v>137</v>
      </c>
      <c r="E19" s="252"/>
      <c r="F19" s="252"/>
      <c r="G19" s="253">
        <v>60</v>
      </c>
      <c r="H19" s="253"/>
      <c r="I19" s="254">
        <v>0.2</v>
      </c>
      <c r="J19" s="254"/>
    </row>
    <row r="20" spans="1:10" ht="20.100000000000001" customHeight="1" x14ac:dyDescent="0.25">
      <c r="A20" s="255"/>
      <c r="B20" s="251"/>
      <c r="C20" s="251"/>
      <c r="D20" s="252" t="s">
        <v>138</v>
      </c>
      <c r="E20" s="252"/>
      <c r="F20" s="252"/>
      <c r="G20" s="253">
        <v>50</v>
      </c>
      <c r="H20" s="253"/>
      <c r="I20" s="254">
        <v>0.2</v>
      </c>
      <c r="J20" s="254"/>
    </row>
    <row r="21" spans="1:10" ht="20.100000000000001" customHeight="1" x14ac:dyDescent="0.25">
      <c r="A21" s="255"/>
      <c r="B21" s="251"/>
      <c r="C21" s="251"/>
      <c r="D21" s="252" t="s">
        <v>139</v>
      </c>
      <c r="E21" s="252"/>
      <c r="F21" s="252"/>
      <c r="G21" s="253">
        <v>50</v>
      </c>
      <c r="H21" s="253"/>
      <c r="I21" s="254">
        <v>0.2</v>
      </c>
      <c r="J21" s="254"/>
    </row>
    <row r="22" spans="1:10" ht="20.100000000000001" customHeight="1" x14ac:dyDescent="0.25">
      <c r="A22" s="255" t="s">
        <v>141</v>
      </c>
      <c r="B22" s="251" t="s">
        <v>142</v>
      </c>
      <c r="C22" s="251"/>
      <c r="D22" s="252" t="s">
        <v>135</v>
      </c>
      <c r="E22" s="252"/>
      <c r="F22" s="252"/>
      <c r="G22" s="253">
        <v>70</v>
      </c>
      <c r="H22" s="253"/>
      <c r="I22" s="254">
        <v>0.2</v>
      </c>
      <c r="J22" s="254"/>
    </row>
    <row r="23" spans="1:10" ht="20.100000000000001" customHeight="1" x14ac:dyDescent="0.25">
      <c r="A23" s="255"/>
      <c r="B23" s="251"/>
      <c r="C23" s="251"/>
      <c r="D23" s="252" t="s">
        <v>132</v>
      </c>
      <c r="E23" s="252"/>
      <c r="F23" s="252"/>
      <c r="G23" s="253">
        <v>70</v>
      </c>
      <c r="H23" s="253"/>
      <c r="I23" s="254">
        <v>0.2</v>
      </c>
      <c r="J23" s="254"/>
    </row>
    <row r="24" spans="1:10" ht="20.100000000000001" customHeight="1" x14ac:dyDescent="0.25">
      <c r="A24" s="255"/>
      <c r="B24" s="251"/>
      <c r="C24" s="251"/>
      <c r="D24" s="252" t="s">
        <v>136</v>
      </c>
      <c r="E24" s="252"/>
      <c r="F24" s="252"/>
      <c r="G24" s="253">
        <v>60</v>
      </c>
      <c r="H24" s="253"/>
      <c r="I24" s="254">
        <v>0.2</v>
      </c>
      <c r="J24" s="254"/>
    </row>
    <row r="25" spans="1:10" ht="20.100000000000001" customHeight="1" x14ac:dyDescent="0.25">
      <c r="A25" s="255"/>
      <c r="B25" s="251"/>
      <c r="C25" s="251"/>
      <c r="D25" s="252" t="s">
        <v>137</v>
      </c>
      <c r="E25" s="252"/>
      <c r="F25" s="252"/>
      <c r="G25" s="253">
        <v>60</v>
      </c>
      <c r="H25" s="253"/>
      <c r="I25" s="254">
        <v>0.2</v>
      </c>
      <c r="J25" s="254"/>
    </row>
    <row r="26" spans="1:10" ht="20.100000000000001" customHeight="1" x14ac:dyDescent="0.25">
      <c r="A26" s="255"/>
      <c r="B26" s="251"/>
      <c r="C26" s="251"/>
      <c r="D26" s="252" t="s">
        <v>138</v>
      </c>
      <c r="E26" s="252"/>
      <c r="F26" s="252"/>
      <c r="G26" s="253">
        <v>50</v>
      </c>
      <c r="H26" s="253"/>
      <c r="I26" s="254">
        <v>0.2</v>
      </c>
      <c r="J26" s="254"/>
    </row>
    <row r="27" spans="1:10" ht="20.100000000000001" customHeight="1" x14ac:dyDescent="0.25">
      <c r="A27" s="255"/>
      <c r="B27" s="251"/>
      <c r="C27" s="251"/>
      <c r="D27" s="252" t="s">
        <v>139</v>
      </c>
      <c r="E27" s="252"/>
      <c r="F27" s="252"/>
      <c r="G27" s="253">
        <v>50</v>
      </c>
      <c r="H27" s="253"/>
      <c r="I27" s="254">
        <v>0.2</v>
      </c>
      <c r="J27" s="254"/>
    </row>
    <row r="28" spans="1:10" ht="20.100000000000001" customHeight="1" x14ac:dyDescent="0.25">
      <c r="A28" s="255"/>
      <c r="B28" s="251" t="s">
        <v>143</v>
      </c>
      <c r="C28" s="251"/>
      <c r="D28" s="252" t="s">
        <v>131</v>
      </c>
      <c r="E28" s="252"/>
      <c r="F28" s="252"/>
      <c r="G28" s="253">
        <v>60</v>
      </c>
      <c r="H28" s="253"/>
      <c r="I28" s="254">
        <v>0.2</v>
      </c>
      <c r="J28" s="254"/>
    </row>
    <row r="29" spans="1:10" ht="20.100000000000001" customHeight="1" x14ac:dyDescent="0.25">
      <c r="A29" s="255"/>
      <c r="B29" s="251"/>
      <c r="C29" s="251"/>
      <c r="D29" s="252" t="s">
        <v>132</v>
      </c>
      <c r="E29" s="252"/>
      <c r="F29" s="252"/>
      <c r="G29" s="253">
        <v>60</v>
      </c>
      <c r="H29" s="253"/>
      <c r="I29" s="254">
        <v>0.2</v>
      </c>
      <c r="J29" s="254"/>
    </row>
    <row r="30" spans="1:10" ht="20.100000000000001" customHeight="1" x14ac:dyDescent="0.25">
      <c r="A30" s="255"/>
      <c r="B30" s="251"/>
      <c r="C30" s="251"/>
      <c r="D30" s="252" t="s">
        <v>136</v>
      </c>
      <c r="E30" s="252"/>
      <c r="F30" s="252"/>
      <c r="G30" s="253">
        <v>80</v>
      </c>
      <c r="H30" s="253"/>
      <c r="I30" s="254">
        <v>0.2</v>
      </c>
      <c r="J30" s="254"/>
    </row>
    <row r="31" spans="1:10" ht="20.100000000000001" customHeight="1" x14ac:dyDescent="0.25">
      <c r="A31" s="255"/>
      <c r="B31" s="251"/>
      <c r="C31" s="251"/>
      <c r="D31" s="252" t="s">
        <v>137</v>
      </c>
      <c r="E31" s="252"/>
      <c r="F31" s="252"/>
      <c r="G31" s="253">
        <v>80</v>
      </c>
      <c r="H31" s="253"/>
      <c r="I31" s="254">
        <v>0.2</v>
      </c>
      <c r="J31" s="254"/>
    </row>
    <row r="32" spans="1:10" ht="20.100000000000001" customHeight="1" x14ac:dyDescent="0.25">
      <c r="A32" s="255"/>
      <c r="B32" s="251" t="s">
        <v>144</v>
      </c>
      <c r="C32" s="251"/>
      <c r="D32" s="252" t="s">
        <v>131</v>
      </c>
      <c r="E32" s="252"/>
      <c r="F32" s="252"/>
      <c r="G32" s="253">
        <v>20</v>
      </c>
      <c r="H32" s="253"/>
      <c r="I32" s="254">
        <v>0.1</v>
      </c>
      <c r="J32" s="254"/>
    </row>
    <row r="33" spans="1:10" ht="20.100000000000001" customHeight="1" x14ac:dyDescent="0.25">
      <c r="A33" s="255"/>
      <c r="B33" s="251"/>
      <c r="C33" s="251"/>
      <c r="D33" s="252" t="s">
        <v>132</v>
      </c>
      <c r="E33" s="252"/>
      <c r="F33" s="252"/>
      <c r="G33" s="253">
        <v>20</v>
      </c>
      <c r="H33" s="253"/>
      <c r="I33" s="254">
        <v>0.1</v>
      </c>
      <c r="J33" s="254"/>
    </row>
    <row r="34" spans="1:10" ht="20.100000000000001" customHeight="1" x14ac:dyDescent="0.25">
      <c r="A34" s="255"/>
      <c r="B34" s="251"/>
      <c r="C34" s="251"/>
      <c r="D34" s="252" t="s">
        <v>137</v>
      </c>
      <c r="E34" s="252"/>
      <c r="F34" s="252"/>
      <c r="G34" s="253">
        <v>30</v>
      </c>
      <c r="H34" s="253"/>
      <c r="I34" s="254">
        <v>0.1</v>
      </c>
      <c r="J34" s="254"/>
    </row>
    <row r="35" spans="1:10" ht="20.100000000000001" customHeight="1" x14ac:dyDescent="0.25">
      <c r="A35" s="2"/>
      <c r="B35" s="2"/>
      <c r="C35" s="2"/>
      <c r="D35" s="2"/>
      <c r="E35" s="2"/>
    </row>
    <row r="36" spans="1:10" ht="20.100000000000001" customHeight="1" x14ac:dyDescent="0.25">
      <c r="A36" s="247" t="s">
        <v>65</v>
      </c>
      <c r="B36" s="247"/>
      <c r="C36" s="247"/>
      <c r="D36" s="247"/>
      <c r="E36" s="247"/>
      <c r="F36" s="247"/>
      <c r="G36" s="247"/>
      <c r="H36" s="247"/>
      <c r="I36" s="247"/>
      <c r="J36" s="247"/>
    </row>
    <row r="37" spans="1:10" ht="20.100000000000001" customHeight="1" x14ac:dyDescent="0.25">
      <c r="A37" s="247" t="s">
        <v>145</v>
      </c>
      <c r="B37" s="247"/>
      <c r="C37" s="247"/>
      <c r="D37" s="247"/>
      <c r="E37" s="247"/>
      <c r="F37" s="247"/>
      <c r="G37" s="247"/>
      <c r="H37" s="247"/>
      <c r="I37" s="247"/>
      <c r="J37" s="247"/>
    </row>
    <row r="38" spans="1:10" ht="20.100000000000001" customHeight="1" x14ac:dyDescent="0.25">
      <c r="A38" s="247" t="s">
        <v>146</v>
      </c>
      <c r="B38" s="247"/>
      <c r="C38" s="247"/>
      <c r="D38" s="247"/>
      <c r="E38" s="247"/>
      <c r="F38" s="247"/>
      <c r="G38" s="247"/>
      <c r="H38" s="247"/>
      <c r="I38" s="247"/>
      <c r="J38" s="247"/>
    </row>
    <row r="39" spans="1:10" ht="20.100000000000001" customHeight="1" x14ac:dyDescent="0.25">
      <c r="A39" s="247"/>
      <c r="B39" s="247"/>
      <c r="C39" s="247"/>
      <c r="D39" s="247"/>
      <c r="E39" s="247"/>
      <c r="F39" s="247"/>
      <c r="G39" s="247"/>
      <c r="H39" s="247"/>
      <c r="I39" s="247"/>
      <c r="J39" s="247"/>
    </row>
    <row r="42" spans="1:10" ht="20.100000000000001" customHeight="1" x14ac:dyDescent="0.25">
      <c r="A42" s="248" t="s">
        <v>147</v>
      </c>
      <c r="B42" s="248"/>
      <c r="C42" s="248"/>
      <c r="D42" s="248"/>
      <c r="E42" s="248"/>
      <c r="F42" s="248"/>
      <c r="G42" s="248"/>
      <c r="H42" s="248"/>
      <c r="I42" s="248"/>
      <c r="J42" s="248"/>
    </row>
    <row r="43" spans="1:10" ht="20.100000000000001" customHeight="1" thickBot="1" x14ac:dyDescent="0.3">
      <c r="A43" s="249"/>
      <c r="B43" s="249"/>
      <c r="C43" s="249"/>
      <c r="D43" s="249"/>
      <c r="E43" s="249"/>
      <c r="F43" s="249"/>
      <c r="G43" s="249"/>
      <c r="H43" s="249"/>
      <c r="I43" s="249"/>
      <c r="J43" s="249"/>
    </row>
    <row r="44" spans="1:10" ht="20.100000000000001" customHeight="1" x14ac:dyDescent="0.25">
      <c r="A44" s="8"/>
      <c r="B44" s="9"/>
      <c r="C44" s="9"/>
      <c r="D44" s="9"/>
      <c r="E44" s="9"/>
      <c r="F44" s="10"/>
      <c r="G44" s="10"/>
      <c r="H44" s="11"/>
      <c r="I44" s="11"/>
      <c r="J44" s="11"/>
    </row>
    <row r="45" spans="1:10" ht="20.100000000000001" customHeight="1" x14ac:dyDescent="0.25">
      <c r="A45" s="250" t="s">
        <v>148</v>
      </c>
      <c r="B45" s="250" t="s">
        <v>149</v>
      </c>
      <c r="C45" s="250"/>
      <c r="D45" s="250"/>
      <c r="E45" s="250" t="s">
        <v>150</v>
      </c>
      <c r="F45" s="250" t="s">
        <v>151</v>
      </c>
      <c r="G45" s="250"/>
      <c r="H45" s="250"/>
      <c r="I45" s="250"/>
      <c r="J45" s="250"/>
    </row>
    <row r="46" spans="1:10" ht="20.100000000000001" customHeight="1" x14ac:dyDescent="0.25">
      <c r="A46" s="250"/>
      <c r="B46" s="250"/>
      <c r="C46" s="250"/>
      <c r="D46" s="250"/>
      <c r="E46" s="250"/>
      <c r="F46" s="250"/>
      <c r="G46" s="250"/>
      <c r="H46" s="250"/>
      <c r="I46" s="250"/>
      <c r="J46" s="250"/>
    </row>
    <row r="47" spans="1:10" ht="20.100000000000001" customHeight="1" x14ac:dyDescent="0.25">
      <c r="A47" s="242" t="s">
        <v>152</v>
      </c>
      <c r="B47" s="243" t="s">
        <v>107</v>
      </c>
      <c r="C47" s="243"/>
      <c r="D47" s="243"/>
      <c r="E47" s="246">
        <v>0</v>
      </c>
      <c r="F47" s="245" t="s">
        <v>153</v>
      </c>
      <c r="G47" s="245"/>
      <c r="H47" s="245"/>
      <c r="I47" s="245"/>
      <c r="J47" s="245"/>
    </row>
    <row r="48" spans="1:10" ht="20.100000000000001" customHeight="1" x14ac:dyDescent="0.25">
      <c r="A48" s="242"/>
      <c r="B48" s="243"/>
      <c r="C48" s="243"/>
      <c r="D48" s="243"/>
      <c r="E48" s="246"/>
      <c r="F48" s="245"/>
      <c r="G48" s="245"/>
      <c r="H48" s="245"/>
      <c r="I48" s="245"/>
      <c r="J48" s="245"/>
    </row>
    <row r="49" spans="1:10" ht="20.100000000000001" customHeight="1" x14ac:dyDescent="0.25">
      <c r="A49" s="242"/>
      <c r="B49" s="243"/>
      <c r="C49" s="243"/>
      <c r="D49" s="243"/>
      <c r="E49" s="246"/>
      <c r="F49" s="245"/>
      <c r="G49" s="245"/>
      <c r="H49" s="245"/>
      <c r="I49" s="245"/>
      <c r="J49" s="245"/>
    </row>
    <row r="50" spans="1:10" ht="20.100000000000001" customHeight="1" x14ac:dyDescent="0.25">
      <c r="A50" s="242" t="s">
        <v>154</v>
      </c>
      <c r="B50" s="243" t="s">
        <v>155</v>
      </c>
      <c r="C50" s="243"/>
      <c r="D50" s="243"/>
      <c r="E50" s="246">
        <v>0.32</v>
      </c>
      <c r="F50" s="245" t="s">
        <v>156</v>
      </c>
      <c r="G50" s="245"/>
      <c r="H50" s="245"/>
      <c r="I50" s="245"/>
      <c r="J50" s="245"/>
    </row>
    <row r="51" spans="1:10" ht="20.100000000000001" customHeight="1" x14ac:dyDescent="0.25">
      <c r="A51" s="242"/>
      <c r="B51" s="243"/>
      <c r="C51" s="243"/>
      <c r="D51" s="243"/>
      <c r="E51" s="246"/>
      <c r="F51" s="245"/>
      <c r="G51" s="245"/>
      <c r="H51" s="245"/>
      <c r="I51" s="245"/>
      <c r="J51" s="245"/>
    </row>
    <row r="52" spans="1:10" ht="20.100000000000001" customHeight="1" x14ac:dyDescent="0.25">
      <c r="A52" s="242"/>
      <c r="B52" s="243"/>
      <c r="C52" s="243"/>
      <c r="D52" s="243"/>
      <c r="E52" s="246"/>
      <c r="F52" s="245"/>
      <c r="G52" s="245"/>
      <c r="H52" s="245"/>
      <c r="I52" s="245"/>
      <c r="J52" s="245"/>
    </row>
    <row r="53" spans="1:10" ht="20.100000000000001" customHeight="1" x14ac:dyDescent="0.25">
      <c r="A53" s="242" t="s">
        <v>157</v>
      </c>
      <c r="B53" s="243" t="s">
        <v>1</v>
      </c>
      <c r="C53" s="243"/>
      <c r="D53" s="243"/>
      <c r="E53" s="246">
        <v>2.52</v>
      </c>
      <c r="F53" s="245" t="s">
        <v>158</v>
      </c>
      <c r="G53" s="245"/>
      <c r="H53" s="245"/>
      <c r="I53" s="245"/>
      <c r="J53" s="245"/>
    </row>
    <row r="54" spans="1:10" ht="20.100000000000001" customHeight="1" x14ac:dyDescent="0.25">
      <c r="A54" s="242"/>
      <c r="B54" s="243"/>
      <c r="C54" s="243"/>
      <c r="D54" s="243"/>
      <c r="E54" s="246"/>
      <c r="F54" s="245"/>
      <c r="G54" s="245"/>
      <c r="H54" s="245"/>
      <c r="I54" s="245"/>
      <c r="J54" s="245"/>
    </row>
    <row r="55" spans="1:10" ht="20.100000000000001" customHeight="1" x14ac:dyDescent="0.25">
      <c r="A55" s="242"/>
      <c r="B55" s="243"/>
      <c r="C55" s="243"/>
      <c r="D55" s="243"/>
      <c r="E55" s="246"/>
      <c r="F55" s="245"/>
      <c r="G55" s="245"/>
      <c r="H55" s="245"/>
      <c r="I55" s="245"/>
      <c r="J55" s="245"/>
    </row>
    <row r="56" spans="1:10" ht="20.100000000000001" customHeight="1" x14ac:dyDescent="0.25">
      <c r="A56" s="242" t="s">
        <v>159</v>
      </c>
      <c r="B56" s="243" t="s">
        <v>160</v>
      </c>
      <c r="C56" s="243"/>
      <c r="D56" s="243"/>
      <c r="E56" s="246">
        <v>8.09</v>
      </c>
      <c r="F56" s="245" t="s">
        <v>161</v>
      </c>
      <c r="G56" s="245"/>
      <c r="H56" s="245"/>
      <c r="I56" s="245"/>
      <c r="J56" s="245"/>
    </row>
    <row r="57" spans="1:10" ht="20.100000000000001" customHeight="1" x14ac:dyDescent="0.25">
      <c r="A57" s="242"/>
      <c r="B57" s="243"/>
      <c r="C57" s="243"/>
      <c r="D57" s="243"/>
      <c r="E57" s="246"/>
      <c r="F57" s="245"/>
      <c r="G57" s="245"/>
      <c r="H57" s="245"/>
      <c r="I57" s="245"/>
      <c r="J57" s="245"/>
    </row>
    <row r="58" spans="1:10" ht="20.100000000000001" customHeight="1" x14ac:dyDescent="0.25">
      <c r="A58" s="242"/>
      <c r="B58" s="243"/>
      <c r="C58" s="243"/>
      <c r="D58" s="243"/>
      <c r="E58" s="246"/>
      <c r="F58" s="245"/>
      <c r="G58" s="245"/>
      <c r="H58" s="245"/>
      <c r="I58" s="245"/>
      <c r="J58" s="245"/>
    </row>
    <row r="59" spans="1:10" ht="20.100000000000001" customHeight="1" x14ac:dyDescent="0.25">
      <c r="A59" s="242" t="s">
        <v>162</v>
      </c>
      <c r="B59" s="243" t="s">
        <v>163</v>
      </c>
      <c r="C59" s="243"/>
      <c r="D59" s="243"/>
      <c r="E59" s="244">
        <v>18.100000000000001</v>
      </c>
      <c r="F59" s="245" t="s">
        <v>164</v>
      </c>
      <c r="G59" s="245"/>
      <c r="H59" s="245"/>
      <c r="I59" s="245"/>
      <c r="J59" s="245"/>
    </row>
    <row r="60" spans="1:10" ht="20.100000000000001" customHeight="1" x14ac:dyDescent="0.25">
      <c r="A60" s="242"/>
      <c r="B60" s="243"/>
      <c r="C60" s="243"/>
      <c r="D60" s="243"/>
      <c r="E60" s="244"/>
      <c r="F60" s="245"/>
      <c r="G60" s="245"/>
      <c r="H60" s="245"/>
      <c r="I60" s="245"/>
      <c r="J60" s="245"/>
    </row>
    <row r="61" spans="1:10" ht="20.100000000000001" customHeight="1" x14ac:dyDescent="0.25">
      <c r="A61" s="242"/>
      <c r="B61" s="243"/>
      <c r="C61" s="243"/>
      <c r="D61" s="243"/>
      <c r="E61" s="244"/>
      <c r="F61" s="245"/>
      <c r="G61" s="245"/>
      <c r="H61" s="245"/>
      <c r="I61" s="245"/>
      <c r="J61" s="245"/>
    </row>
    <row r="62" spans="1:10" ht="20.100000000000001" customHeight="1" x14ac:dyDescent="0.25">
      <c r="A62" s="242"/>
      <c r="B62" s="243"/>
      <c r="C62" s="243"/>
      <c r="D62" s="243"/>
      <c r="E62" s="244"/>
      <c r="F62" s="245"/>
      <c r="G62" s="245"/>
      <c r="H62" s="245"/>
      <c r="I62" s="245"/>
      <c r="J62" s="245"/>
    </row>
    <row r="63" spans="1:10" ht="20.100000000000001" customHeight="1" x14ac:dyDescent="0.25">
      <c r="A63" s="242" t="s">
        <v>165</v>
      </c>
      <c r="B63" s="243" t="s">
        <v>166</v>
      </c>
      <c r="C63" s="243"/>
      <c r="D63" s="243"/>
      <c r="E63" s="244">
        <v>33.200000000000003</v>
      </c>
      <c r="F63" s="245" t="s">
        <v>167</v>
      </c>
      <c r="G63" s="245"/>
      <c r="H63" s="245"/>
      <c r="I63" s="245"/>
      <c r="J63" s="245"/>
    </row>
    <row r="64" spans="1:10" ht="20.100000000000001" customHeight="1" x14ac:dyDescent="0.25">
      <c r="A64" s="242"/>
      <c r="B64" s="243"/>
      <c r="C64" s="243"/>
      <c r="D64" s="243"/>
      <c r="E64" s="244"/>
      <c r="F64" s="245"/>
      <c r="G64" s="245"/>
      <c r="H64" s="245"/>
      <c r="I64" s="245"/>
      <c r="J64" s="245"/>
    </row>
    <row r="65" spans="1:10" ht="20.100000000000001" customHeight="1" x14ac:dyDescent="0.25">
      <c r="A65" s="242"/>
      <c r="B65" s="243"/>
      <c r="C65" s="243"/>
      <c r="D65" s="243"/>
      <c r="E65" s="244"/>
      <c r="F65" s="245"/>
      <c r="G65" s="245"/>
      <c r="H65" s="245"/>
      <c r="I65" s="245"/>
      <c r="J65" s="245"/>
    </row>
    <row r="66" spans="1:10" ht="20.100000000000001" customHeight="1" x14ac:dyDescent="0.25">
      <c r="A66" s="242"/>
      <c r="B66" s="243"/>
      <c r="C66" s="243"/>
      <c r="D66" s="243"/>
      <c r="E66" s="244"/>
      <c r="F66" s="245"/>
      <c r="G66" s="245"/>
      <c r="H66" s="245"/>
      <c r="I66" s="245"/>
      <c r="J66" s="245"/>
    </row>
    <row r="67" spans="1:10" ht="20.100000000000001" customHeight="1" x14ac:dyDescent="0.25">
      <c r="A67" s="242"/>
      <c r="B67" s="243"/>
      <c r="C67" s="243"/>
      <c r="D67" s="243"/>
      <c r="E67" s="244"/>
      <c r="F67" s="245"/>
      <c r="G67" s="245"/>
      <c r="H67" s="245"/>
      <c r="I67" s="245"/>
      <c r="J67" s="245"/>
    </row>
    <row r="68" spans="1:10" ht="20.100000000000001" customHeight="1" x14ac:dyDescent="0.25">
      <c r="A68" s="242"/>
      <c r="B68" s="243"/>
      <c r="C68" s="243"/>
      <c r="D68" s="243"/>
      <c r="E68" s="244"/>
      <c r="F68" s="245"/>
      <c r="G68" s="245"/>
      <c r="H68" s="245"/>
      <c r="I68" s="245"/>
      <c r="J68" s="245"/>
    </row>
    <row r="69" spans="1:10" ht="20.100000000000001" customHeight="1" x14ac:dyDescent="0.25">
      <c r="A69" s="242" t="s">
        <v>168</v>
      </c>
      <c r="B69" s="243" t="s">
        <v>169</v>
      </c>
      <c r="C69" s="243"/>
      <c r="D69" s="243"/>
      <c r="E69" s="244">
        <v>52.6</v>
      </c>
      <c r="F69" s="245" t="s">
        <v>170</v>
      </c>
      <c r="G69" s="245"/>
      <c r="H69" s="245"/>
      <c r="I69" s="245"/>
      <c r="J69" s="245"/>
    </row>
    <row r="70" spans="1:10" ht="20.100000000000001" customHeight="1" x14ac:dyDescent="0.25">
      <c r="A70" s="242"/>
      <c r="B70" s="243"/>
      <c r="C70" s="243"/>
      <c r="D70" s="243"/>
      <c r="E70" s="244"/>
      <c r="F70" s="245"/>
      <c r="G70" s="245"/>
      <c r="H70" s="245"/>
      <c r="I70" s="245"/>
      <c r="J70" s="245"/>
    </row>
    <row r="71" spans="1:10" ht="20.100000000000001" customHeight="1" x14ac:dyDescent="0.25">
      <c r="A71" s="242"/>
      <c r="B71" s="243"/>
      <c r="C71" s="243"/>
      <c r="D71" s="243"/>
      <c r="E71" s="244"/>
      <c r="F71" s="245"/>
      <c r="G71" s="245"/>
      <c r="H71" s="245"/>
      <c r="I71" s="245"/>
      <c r="J71" s="245"/>
    </row>
    <row r="72" spans="1:10" ht="20.100000000000001" customHeight="1" x14ac:dyDescent="0.25">
      <c r="A72" s="242"/>
      <c r="B72" s="243"/>
      <c r="C72" s="243"/>
      <c r="D72" s="243"/>
      <c r="E72" s="244"/>
      <c r="F72" s="245"/>
      <c r="G72" s="245"/>
      <c r="H72" s="245"/>
      <c r="I72" s="245"/>
      <c r="J72" s="245"/>
    </row>
    <row r="73" spans="1:10" ht="20.100000000000001" customHeight="1" x14ac:dyDescent="0.25">
      <c r="A73" s="242"/>
      <c r="B73" s="243"/>
      <c r="C73" s="243"/>
      <c r="D73" s="243"/>
      <c r="E73" s="244"/>
      <c r="F73" s="245"/>
      <c r="G73" s="245"/>
      <c r="H73" s="245"/>
      <c r="I73" s="245"/>
      <c r="J73" s="245"/>
    </row>
    <row r="74" spans="1:10" ht="20.100000000000001" customHeight="1" x14ac:dyDescent="0.25">
      <c r="A74" s="242"/>
      <c r="B74" s="243"/>
      <c r="C74" s="243"/>
      <c r="D74" s="243"/>
      <c r="E74" s="244"/>
      <c r="F74" s="245"/>
      <c r="G74" s="245"/>
      <c r="H74" s="245"/>
      <c r="I74" s="245"/>
      <c r="J74" s="245"/>
    </row>
    <row r="75" spans="1:10" ht="20.100000000000001" customHeight="1" x14ac:dyDescent="0.25">
      <c r="A75" s="242" t="s">
        <v>171</v>
      </c>
      <c r="B75" s="243" t="s">
        <v>172</v>
      </c>
      <c r="C75" s="243"/>
      <c r="D75" s="243"/>
      <c r="E75" s="244">
        <v>75.2</v>
      </c>
      <c r="F75" s="245" t="s">
        <v>173</v>
      </c>
      <c r="G75" s="245"/>
      <c r="H75" s="245"/>
      <c r="I75" s="245"/>
      <c r="J75" s="245"/>
    </row>
    <row r="76" spans="1:10" ht="20.100000000000001" customHeight="1" x14ac:dyDescent="0.25">
      <c r="A76" s="242"/>
      <c r="B76" s="243"/>
      <c r="C76" s="243"/>
      <c r="D76" s="243"/>
      <c r="E76" s="244"/>
      <c r="F76" s="245"/>
      <c r="G76" s="245"/>
      <c r="H76" s="245"/>
      <c r="I76" s="245"/>
      <c r="J76" s="245"/>
    </row>
    <row r="77" spans="1:10" ht="20.100000000000001" customHeight="1" x14ac:dyDescent="0.25">
      <c r="A77" s="242"/>
      <c r="B77" s="243"/>
      <c r="C77" s="243"/>
      <c r="D77" s="243"/>
      <c r="E77" s="244"/>
      <c r="F77" s="245"/>
      <c r="G77" s="245"/>
      <c r="H77" s="245"/>
      <c r="I77" s="245"/>
      <c r="J77" s="245"/>
    </row>
    <row r="78" spans="1:10" ht="20.100000000000001" customHeight="1" x14ac:dyDescent="0.25">
      <c r="A78" s="242"/>
      <c r="B78" s="243"/>
      <c r="C78" s="243"/>
      <c r="D78" s="243"/>
      <c r="E78" s="244"/>
      <c r="F78" s="245"/>
      <c r="G78" s="245"/>
      <c r="H78" s="245"/>
      <c r="I78" s="245"/>
      <c r="J78" s="245"/>
    </row>
    <row r="79" spans="1:10" ht="20.100000000000001" customHeight="1" thickBot="1" x14ac:dyDescent="0.3">
      <c r="A79" s="12" t="s">
        <v>67</v>
      </c>
      <c r="B79" s="240" t="s">
        <v>174</v>
      </c>
      <c r="C79" s="240"/>
      <c r="D79" s="240"/>
      <c r="E79" s="13">
        <v>100</v>
      </c>
      <c r="F79" s="241" t="s">
        <v>175</v>
      </c>
      <c r="G79" s="241"/>
      <c r="H79" s="241"/>
      <c r="I79" s="241"/>
      <c r="J79" s="241"/>
    </row>
    <row r="80" spans="1:10" ht="20.100000000000001" customHeight="1" x14ac:dyDescent="0.25">
      <c r="A80" s="2"/>
      <c r="B80" s="2"/>
      <c r="C80" s="2"/>
      <c r="D80" s="2"/>
    </row>
    <row r="81" spans="1:10" ht="20.100000000000001" customHeight="1" x14ac:dyDescent="0.25">
      <c r="A81" s="226" t="s">
        <v>65</v>
      </c>
      <c r="B81" s="226"/>
      <c r="C81" s="226"/>
      <c r="D81" s="226"/>
      <c r="E81" s="226"/>
      <c r="F81" s="226"/>
      <c r="G81" s="226"/>
      <c r="H81" s="226"/>
      <c r="I81" s="226"/>
      <c r="J81" s="226"/>
    </row>
    <row r="82" spans="1:10" ht="20.100000000000001" customHeight="1" x14ac:dyDescent="0.25">
      <c r="A82" s="226" t="s">
        <v>176</v>
      </c>
      <c r="B82" s="226"/>
      <c r="C82" s="226"/>
      <c r="D82" s="226"/>
      <c r="E82" s="226"/>
      <c r="F82" s="226"/>
      <c r="G82" s="226"/>
      <c r="H82" s="226"/>
      <c r="I82" s="226"/>
      <c r="J82" s="226"/>
    </row>
    <row r="83" spans="1:10" ht="20.100000000000001" customHeight="1" x14ac:dyDescent="0.25">
      <c r="A83" s="226" t="s">
        <v>177</v>
      </c>
      <c r="B83" s="226"/>
      <c r="C83" s="226"/>
      <c r="D83" s="226"/>
      <c r="E83" s="226"/>
      <c r="F83" s="226"/>
      <c r="G83" s="226"/>
      <c r="H83" s="226"/>
      <c r="I83" s="226"/>
      <c r="J83" s="226"/>
    </row>
    <row r="84" spans="1:10" ht="20.100000000000001" customHeight="1" x14ac:dyDescent="0.25">
      <c r="A84" s="226" t="s">
        <v>178</v>
      </c>
      <c r="B84" s="226"/>
      <c r="C84" s="226"/>
      <c r="D84" s="226"/>
      <c r="E84" s="226"/>
      <c r="F84" s="226"/>
      <c r="G84" s="226"/>
      <c r="H84" s="226"/>
      <c r="I84" s="226"/>
      <c r="J84" s="226"/>
    </row>
    <row r="86" spans="1:10" ht="20.100000000000001" customHeight="1" x14ac:dyDescent="0.25">
      <c r="A86" s="226" t="s">
        <v>119</v>
      </c>
      <c r="B86" s="226"/>
      <c r="C86" s="226"/>
      <c r="D86" s="226"/>
      <c r="E86" s="226"/>
      <c r="F86" s="226"/>
      <c r="G86" s="226"/>
      <c r="H86" s="226"/>
      <c r="I86" s="226"/>
      <c r="J86" s="226"/>
    </row>
    <row r="87" spans="1:10" ht="20.100000000000001" customHeight="1" x14ac:dyDescent="0.25">
      <c r="A87" s="226" t="s">
        <v>179</v>
      </c>
      <c r="B87" s="226"/>
      <c r="C87" s="226"/>
      <c r="D87" s="226"/>
      <c r="E87" s="226"/>
      <c r="F87" s="226"/>
      <c r="G87" s="226"/>
      <c r="H87" s="226"/>
      <c r="I87" s="226"/>
      <c r="J87" s="226"/>
    </row>
    <row r="88" spans="1:10" ht="20.100000000000001" customHeight="1" x14ac:dyDescent="0.25">
      <c r="A88" s="226"/>
      <c r="B88" s="226"/>
      <c r="C88" s="226"/>
      <c r="D88" s="226"/>
      <c r="E88" s="226"/>
      <c r="F88" s="226"/>
      <c r="G88" s="226"/>
      <c r="H88" s="226"/>
      <c r="I88" s="226"/>
      <c r="J88" s="226"/>
    </row>
    <row r="89" spans="1:10" ht="20.100000000000001" customHeight="1" x14ac:dyDescent="0.25">
      <c r="A89" s="226"/>
      <c r="B89" s="226"/>
      <c r="C89" s="226"/>
      <c r="D89" s="226"/>
      <c r="E89" s="226"/>
      <c r="F89" s="226"/>
      <c r="G89" s="226"/>
      <c r="H89" s="226"/>
      <c r="I89" s="226"/>
      <c r="J89" s="226"/>
    </row>
    <row r="92" spans="1:10" ht="20.100000000000001" customHeight="1" x14ac:dyDescent="0.25">
      <c r="A92" s="239" t="s">
        <v>180</v>
      </c>
      <c r="B92" s="239"/>
      <c r="C92" s="239"/>
      <c r="D92" s="239"/>
      <c r="E92" s="239"/>
      <c r="F92" s="239"/>
      <c r="G92" s="239"/>
      <c r="H92" s="239"/>
      <c r="I92" s="239"/>
      <c r="J92" s="239"/>
    </row>
    <row r="94" spans="1:10" ht="20.100000000000001" customHeight="1" x14ac:dyDescent="0.25">
      <c r="A94" s="226" t="s">
        <v>181</v>
      </c>
      <c r="B94" s="226"/>
      <c r="C94" s="226"/>
      <c r="D94" s="226"/>
      <c r="E94" s="226"/>
      <c r="F94" s="226"/>
      <c r="G94" s="226"/>
      <c r="H94" s="226"/>
      <c r="I94" s="226"/>
      <c r="J94" s="226"/>
    </row>
    <row r="95" spans="1:10" ht="20.100000000000001" customHeight="1" x14ac:dyDescent="0.25">
      <c r="A95" s="226"/>
      <c r="B95" s="226"/>
      <c r="C95" s="226"/>
      <c r="D95" s="226"/>
      <c r="E95" s="226"/>
      <c r="F95" s="226"/>
      <c r="G95" s="226"/>
      <c r="H95" s="226"/>
      <c r="I95" s="226"/>
      <c r="J95" s="226"/>
    </row>
    <row r="96" spans="1:10" ht="20.100000000000001" customHeight="1" x14ac:dyDescent="0.25">
      <c r="A96" s="226"/>
      <c r="B96" s="226"/>
      <c r="C96" s="226"/>
      <c r="D96" s="226"/>
      <c r="E96" s="226"/>
      <c r="F96" s="226"/>
      <c r="G96" s="226"/>
      <c r="H96" s="226"/>
      <c r="I96" s="226"/>
      <c r="J96" s="226"/>
    </row>
    <row r="97" spans="1:10" ht="20.100000000000001" customHeight="1" x14ac:dyDescent="0.25">
      <c r="A97" s="226"/>
      <c r="B97" s="226"/>
      <c r="C97" s="226"/>
      <c r="D97" s="226"/>
      <c r="E97" s="226"/>
      <c r="F97" s="226"/>
      <c r="G97" s="226"/>
      <c r="H97" s="226"/>
      <c r="I97" s="226"/>
      <c r="J97" s="226"/>
    </row>
    <row r="98" spans="1:10" ht="20.100000000000001" customHeight="1" x14ac:dyDescent="0.25">
      <c r="A98" s="226"/>
      <c r="B98" s="226"/>
      <c r="C98" s="226"/>
      <c r="D98" s="226"/>
      <c r="E98" s="226"/>
      <c r="F98" s="226"/>
      <c r="G98" s="226"/>
      <c r="H98" s="226"/>
      <c r="I98" s="226"/>
      <c r="J98" s="226"/>
    </row>
    <row r="99" spans="1:10" ht="20.100000000000001" customHeight="1" x14ac:dyDescent="0.25">
      <c r="A99" s="226"/>
      <c r="B99" s="226"/>
      <c r="C99" s="226"/>
      <c r="D99" s="226"/>
      <c r="E99" s="226"/>
      <c r="F99" s="226"/>
      <c r="G99" s="226"/>
      <c r="H99" s="226"/>
      <c r="I99" s="226"/>
      <c r="J99" s="226"/>
    </row>
    <row r="101" spans="1:10" ht="20.100000000000001" customHeight="1" x14ac:dyDescent="0.25">
      <c r="A101" s="233" t="s">
        <v>182</v>
      </c>
      <c r="B101" s="233"/>
      <c r="C101" s="233"/>
      <c r="D101" s="233"/>
      <c r="E101" s="233"/>
      <c r="F101" s="233"/>
      <c r="G101" s="233"/>
      <c r="H101" s="233"/>
      <c r="I101" s="233"/>
      <c r="J101" s="233"/>
    </row>
    <row r="102" spans="1:10" ht="20.100000000000001" customHeight="1" x14ac:dyDescent="0.25">
      <c r="A102" s="233"/>
      <c r="B102" s="233"/>
      <c r="C102" s="233"/>
      <c r="D102" s="233"/>
      <c r="E102" s="233"/>
      <c r="F102" s="233"/>
      <c r="G102" s="233"/>
      <c r="H102" s="233"/>
      <c r="I102" s="233"/>
      <c r="J102" s="233"/>
    </row>
    <row r="103" spans="1:10" ht="20.100000000000001" customHeight="1" x14ac:dyDescent="0.25">
      <c r="A103" s="233"/>
      <c r="B103" s="233"/>
      <c r="C103" s="233"/>
      <c r="D103" s="233"/>
      <c r="E103" s="233"/>
      <c r="F103" s="233"/>
      <c r="G103" s="233"/>
      <c r="H103" s="233"/>
      <c r="I103" s="233"/>
      <c r="J103" s="233"/>
    </row>
    <row r="104" spans="1:10" ht="20.100000000000001" customHeight="1" x14ac:dyDescent="0.25">
      <c r="A104" s="233" t="s">
        <v>183</v>
      </c>
      <c r="B104" s="233"/>
      <c r="C104" s="233" t="s">
        <v>184</v>
      </c>
      <c r="D104" s="233"/>
      <c r="E104" s="233" t="s">
        <v>185</v>
      </c>
      <c r="F104" s="233"/>
      <c r="G104" s="233" t="s">
        <v>186</v>
      </c>
      <c r="H104" s="233"/>
      <c r="I104" s="233"/>
      <c r="J104" s="233"/>
    </row>
    <row r="105" spans="1:10" ht="20.100000000000001" customHeight="1" x14ac:dyDescent="0.25">
      <c r="A105" s="233"/>
      <c r="B105" s="233"/>
      <c r="C105" s="233"/>
      <c r="D105" s="233"/>
      <c r="E105" s="233"/>
      <c r="F105" s="233"/>
      <c r="G105" s="233"/>
      <c r="H105" s="233"/>
      <c r="I105" s="233"/>
      <c r="J105" s="233"/>
    </row>
    <row r="106" spans="1:10" ht="20.100000000000001" customHeight="1" x14ac:dyDescent="0.25">
      <c r="A106" s="233"/>
      <c r="B106" s="233"/>
      <c r="C106" s="233"/>
      <c r="D106" s="233"/>
      <c r="E106" s="233"/>
      <c r="F106" s="233"/>
      <c r="G106" s="233" t="s">
        <v>187</v>
      </c>
      <c r="H106" s="233"/>
      <c r="I106" s="233" t="s">
        <v>188</v>
      </c>
      <c r="J106" s="233"/>
    </row>
    <row r="107" spans="1:10" ht="20.100000000000001" customHeight="1" x14ac:dyDescent="0.25">
      <c r="A107" s="237">
        <v>0</v>
      </c>
      <c r="B107" s="237"/>
      <c r="C107" s="231" t="s">
        <v>152</v>
      </c>
      <c r="D107" s="231"/>
      <c r="E107" s="238">
        <v>1</v>
      </c>
      <c r="F107" s="238"/>
      <c r="G107" s="238" t="s">
        <v>189</v>
      </c>
      <c r="H107" s="238"/>
      <c r="I107" s="238" t="s">
        <v>190</v>
      </c>
      <c r="J107" s="238"/>
    </row>
    <row r="108" spans="1:10" ht="20.100000000000001" customHeight="1" x14ac:dyDescent="0.25">
      <c r="A108" s="237">
        <v>-3.2000000000000002E-3</v>
      </c>
      <c r="B108" s="237"/>
      <c r="C108" s="231" t="s">
        <v>154</v>
      </c>
      <c r="D108" s="231"/>
      <c r="E108" s="238">
        <v>1.5</v>
      </c>
      <c r="F108" s="238"/>
      <c r="G108" s="238" t="s">
        <v>191</v>
      </c>
      <c r="H108" s="238"/>
      <c r="I108" s="238" t="s">
        <v>192</v>
      </c>
      <c r="J108" s="238"/>
    </row>
    <row r="109" spans="1:10" ht="20.100000000000001" customHeight="1" x14ac:dyDescent="0.25">
      <c r="A109" s="237">
        <v>-2.52E-2</v>
      </c>
      <c r="B109" s="237"/>
      <c r="C109" s="231" t="s">
        <v>157</v>
      </c>
      <c r="D109" s="231"/>
      <c r="E109" s="238">
        <v>2</v>
      </c>
      <c r="F109" s="238"/>
      <c r="G109" s="238" t="s">
        <v>53</v>
      </c>
      <c r="H109" s="238"/>
      <c r="I109" s="238" t="s">
        <v>154</v>
      </c>
      <c r="J109" s="238"/>
    </row>
    <row r="110" spans="1:10" ht="20.100000000000001" customHeight="1" x14ac:dyDescent="0.25">
      <c r="A110" s="237">
        <v>-8.09E-2</v>
      </c>
      <c r="B110" s="237"/>
      <c r="C110" s="231" t="s">
        <v>159</v>
      </c>
      <c r="D110" s="231"/>
      <c r="E110" s="238">
        <v>2.5</v>
      </c>
      <c r="F110" s="238"/>
      <c r="G110" s="238" t="s">
        <v>193</v>
      </c>
      <c r="H110" s="238"/>
      <c r="I110" s="238" t="s">
        <v>67</v>
      </c>
      <c r="J110" s="238"/>
    </row>
    <row r="111" spans="1:10" ht="20.100000000000001" customHeight="1" x14ac:dyDescent="0.25">
      <c r="A111" s="237">
        <v>-0.18099999999999999</v>
      </c>
      <c r="B111" s="237"/>
      <c r="C111" s="231" t="s">
        <v>162</v>
      </c>
      <c r="D111" s="231"/>
      <c r="E111" s="238">
        <v>3</v>
      </c>
      <c r="F111" s="238"/>
      <c r="G111" s="238" t="s">
        <v>1</v>
      </c>
      <c r="H111" s="238"/>
      <c r="I111" s="238" t="s">
        <v>194</v>
      </c>
      <c r="J111" s="238"/>
    </row>
    <row r="112" spans="1:10" ht="20.100000000000001" customHeight="1" x14ac:dyDescent="0.25">
      <c r="A112" s="237">
        <v>-0.33200000000000002</v>
      </c>
      <c r="B112" s="237"/>
      <c r="C112" s="231" t="s">
        <v>165</v>
      </c>
      <c r="D112" s="231"/>
      <c r="E112" s="238">
        <v>3.5</v>
      </c>
      <c r="F112" s="238"/>
      <c r="G112" s="238" t="s">
        <v>195</v>
      </c>
      <c r="H112" s="238"/>
      <c r="I112" s="238" t="s">
        <v>159</v>
      </c>
      <c r="J112" s="238"/>
    </row>
    <row r="113" spans="1:10" ht="20.100000000000001" customHeight="1" x14ac:dyDescent="0.25">
      <c r="A113" s="237">
        <v>-0.52600000000000002</v>
      </c>
      <c r="B113" s="237"/>
      <c r="C113" s="231" t="s">
        <v>168</v>
      </c>
      <c r="D113" s="231"/>
      <c r="E113" s="238">
        <v>4</v>
      </c>
      <c r="F113" s="238"/>
      <c r="G113" s="238" t="s">
        <v>196</v>
      </c>
      <c r="H113" s="238"/>
      <c r="I113" s="238" t="s">
        <v>197</v>
      </c>
      <c r="J113" s="238"/>
    </row>
    <row r="114" spans="1:10" ht="20.100000000000001" customHeight="1" x14ac:dyDescent="0.25">
      <c r="A114" s="237">
        <v>-0.752</v>
      </c>
      <c r="B114" s="237"/>
      <c r="C114" s="231" t="s">
        <v>171</v>
      </c>
      <c r="D114" s="231"/>
      <c r="E114" s="238">
        <v>4.5</v>
      </c>
      <c r="F114" s="238"/>
      <c r="G114" s="238" t="s">
        <v>198</v>
      </c>
      <c r="H114" s="238"/>
      <c r="I114" s="238" t="s">
        <v>199</v>
      </c>
      <c r="J114" s="238"/>
    </row>
    <row r="115" spans="1:10" ht="20.100000000000001" customHeight="1" x14ac:dyDescent="0.25">
      <c r="A115" s="237">
        <v>-1</v>
      </c>
      <c r="B115" s="237"/>
      <c r="C115" s="231" t="s">
        <v>67</v>
      </c>
      <c r="D115" s="231"/>
      <c r="E115" s="238">
        <v>5</v>
      </c>
      <c r="F115" s="238"/>
      <c r="G115" s="238" t="s">
        <v>200</v>
      </c>
      <c r="H115" s="238"/>
      <c r="I115" s="238" t="s">
        <v>201</v>
      </c>
      <c r="J115" s="238"/>
    </row>
    <row r="118" spans="1:10" ht="20.100000000000001" customHeight="1" x14ac:dyDescent="0.25">
      <c r="A118" s="233" t="s">
        <v>202</v>
      </c>
      <c r="B118" s="234" t="s">
        <v>203</v>
      </c>
      <c r="C118" s="235"/>
      <c r="D118" s="235"/>
      <c r="E118" s="235"/>
      <c r="F118" s="235"/>
      <c r="G118" s="235"/>
      <c r="H118" s="235"/>
      <c r="I118" s="235"/>
      <c r="J118" s="236"/>
    </row>
    <row r="119" spans="1:10" ht="20.100000000000001" customHeight="1" x14ac:dyDescent="0.25">
      <c r="A119" s="233"/>
      <c r="B119" s="231" t="s">
        <v>204</v>
      </c>
      <c r="C119" s="231"/>
      <c r="D119" s="231"/>
      <c r="E119" s="231"/>
      <c r="F119" s="231"/>
      <c r="G119" s="231"/>
      <c r="H119" s="231"/>
      <c r="I119" s="231"/>
      <c r="J119" s="231"/>
    </row>
    <row r="120" spans="1:10" ht="20.100000000000001" customHeight="1" x14ac:dyDescent="0.25">
      <c r="A120" s="233"/>
      <c r="B120" s="233" t="s">
        <v>205</v>
      </c>
      <c r="C120" s="233"/>
      <c r="D120" s="233"/>
      <c r="E120" s="233"/>
      <c r="F120" s="233"/>
      <c r="G120" s="233"/>
      <c r="H120" s="233"/>
      <c r="I120" s="233"/>
      <c r="J120" s="233"/>
    </row>
    <row r="121" spans="1:10" ht="20.100000000000001" customHeight="1" x14ac:dyDescent="0.25">
      <c r="A121" s="233"/>
      <c r="B121" s="14" t="s">
        <v>152</v>
      </c>
      <c r="C121" s="14" t="s">
        <v>154</v>
      </c>
      <c r="D121" s="14" t="s">
        <v>157</v>
      </c>
      <c r="E121" s="14" t="s">
        <v>159</v>
      </c>
      <c r="F121" s="14" t="s">
        <v>162</v>
      </c>
      <c r="G121" s="14" t="s">
        <v>165</v>
      </c>
      <c r="H121" s="14" t="s">
        <v>168</v>
      </c>
      <c r="I121" s="14" t="s">
        <v>171</v>
      </c>
      <c r="J121" s="14" t="s">
        <v>67</v>
      </c>
    </row>
    <row r="122" spans="1:10" ht="20.100000000000001" customHeight="1" x14ac:dyDescent="0.25">
      <c r="A122" s="15">
        <v>0</v>
      </c>
      <c r="B122" s="16">
        <v>0</v>
      </c>
      <c r="C122" s="16">
        <v>0.32</v>
      </c>
      <c r="D122" s="16">
        <v>2.52</v>
      </c>
      <c r="E122" s="16">
        <v>8.09</v>
      </c>
      <c r="F122" s="16">
        <v>18.100000000000001</v>
      </c>
      <c r="G122" s="16">
        <v>33.200000000000003</v>
      </c>
      <c r="H122" s="16">
        <v>52.6</v>
      </c>
      <c r="I122" s="16">
        <v>75.2</v>
      </c>
      <c r="J122" s="16">
        <v>100</v>
      </c>
    </row>
    <row r="123" spans="1:10" ht="20.100000000000001" customHeight="1" x14ac:dyDescent="0.25">
      <c r="A123" s="15">
        <f>A122+0.02</f>
        <v>0.02</v>
      </c>
      <c r="B123" s="16">
        <f>((1/2)*((A123)+(A123^2)))*100</f>
        <v>1.02</v>
      </c>
      <c r="C123" s="16">
        <f>$B123+((100-$B123)*C$122/100)</f>
        <v>1.3367360000000001</v>
      </c>
      <c r="D123" s="16">
        <f t="shared" ref="D123:J138" si="0">$B123+((100-$B123)*D$122/100)</f>
        <v>3.5142960000000003</v>
      </c>
      <c r="E123" s="16">
        <f t="shared" si="0"/>
        <v>9.0274819999999991</v>
      </c>
      <c r="F123" s="16">
        <f t="shared" si="0"/>
        <v>18.935380000000002</v>
      </c>
      <c r="G123" s="16">
        <f t="shared" si="0"/>
        <v>33.881360000000008</v>
      </c>
      <c r="H123" s="16">
        <f t="shared" si="0"/>
        <v>53.083480000000002</v>
      </c>
      <c r="I123" s="16">
        <f t="shared" si="0"/>
        <v>75.452960000000004</v>
      </c>
      <c r="J123" s="16">
        <f t="shared" si="0"/>
        <v>100</v>
      </c>
    </row>
    <row r="124" spans="1:10" ht="20.100000000000001" customHeight="1" x14ac:dyDescent="0.25">
      <c r="A124" s="15">
        <f t="shared" ref="A124:A172" si="1">A123+0.02</f>
        <v>0.04</v>
      </c>
      <c r="B124" s="16">
        <f t="shared" ref="B124:B172" si="2">((1/2)*((A124)+(A124^2)))*100</f>
        <v>2.08</v>
      </c>
      <c r="C124" s="16">
        <f t="shared" ref="C124:J155" si="3">$B124+((100-$B124)*C$122/100)</f>
        <v>2.3933439999999999</v>
      </c>
      <c r="D124" s="16">
        <f t="shared" si="0"/>
        <v>4.5475840000000005</v>
      </c>
      <c r="E124" s="16">
        <f t="shared" si="0"/>
        <v>10.001728</v>
      </c>
      <c r="F124" s="16">
        <f t="shared" si="0"/>
        <v>19.803519999999999</v>
      </c>
      <c r="G124" s="16">
        <f t="shared" si="0"/>
        <v>34.589440000000003</v>
      </c>
      <c r="H124" s="16">
        <f t="shared" si="0"/>
        <v>53.585920000000002</v>
      </c>
      <c r="I124" s="16">
        <f t="shared" si="0"/>
        <v>75.71584</v>
      </c>
      <c r="J124" s="16">
        <f t="shared" si="0"/>
        <v>100</v>
      </c>
    </row>
    <row r="125" spans="1:10" ht="20.100000000000001" customHeight="1" x14ac:dyDescent="0.25">
      <c r="A125" s="15">
        <f t="shared" si="1"/>
        <v>0.06</v>
      </c>
      <c r="B125" s="16">
        <f t="shared" si="2"/>
        <v>3.18</v>
      </c>
      <c r="C125" s="16">
        <f t="shared" si="3"/>
        <v>3.489824</v>
      </c>
      <c r="D125" s="16">
        <f t="shared" si="0"/>
        <v>5.6198639999999997</v>
      </c>
      <c r="E125" s="16">
        <f t="shared" si="0"/>
        <v>11.012737999999999</v>
      </c>
      <c r="F125" s="16">
        <f t="shared" si="0"/>
        <v>20.704419999999999</v>
      </c>
      <c r="G125" s="16">
        <f t="shared" si="0"/>
        <v>35.324239999999996</v>
      </c>
      <c r="H125" s="16">
        <f t="shared" si="0"/>
        <v>54.107320000000001</v>
      </c>
      <c r="I125" s="16">
        <f t="shared" si="0"/>
        <v>75.988640000000004</v>
      </c>
      <c r="J125" s="16">
        <f t="shared" si="0"/>
        <v>100</v>
      </c>
    </row>
    <row r="126" spans="1:10" ht="20.100000000000001" customHeight="1" x14ac:dyDescent="0.25">
      <c r="A126" s="15">
        <f t="shared" si="1"/>
        <v>0.08</v>
      </c>
      <c r="B126" s="16">
        <f t="shared" si="2"/>
        <v>4.32</v>
      </c>
      <c r="C126" s="16">
        <f t="shared" si="3"/>
        <v>4.6261760000000001</v>
      </c>
      <c r="D126" s="16">
        <f t="shared" si="0"/>
        <v>6.7311360000000011</v>
      </c>
      <c r="E126" s="16">
        <f t="shared" si="0"/>
        <v>12.060511999999999</v>
      </c>
      <c r="F126" s="16">
        <f t="shared" si="0"/>
        <v>21.638080000000002</v>
      </c>
      <c r="G126" s="16">
        <f t="shared" si="0"/>
        <v>36.085760000000008</v>
      </c>
      <c r="H126" s="16">
        <f t="shared" si="0"/>
        <v>54.647680000000008</v>
      </c>
      <c r="I126" s="16">
        <f t="shared" si="0"/>
        <v>76.271360000000016</v>
      </c>
      <c r="J126" s="16">
        <f t="shared" si="0"/>
        <v>100</v>
      </c>
    </row>
    <row r="127" spans="1:10" ht="20.100000000000001" customHeight="1" x14ac:dyDescent="0.25">
      <c r="A127" s="15">
        <f t="shared" si="1"/>
        <v>0.1</v>
      </c>
      <c r="B127" s="16">
        <f t="shared" si="2"/>
        <v>5.5000000000000009</v>
      </c>
      <c r="C127" s="16">
        <f t="shared" si="3"/>
        <v>5.8024000000000004</v>
      </c>
      <c r="D127" s="16">
        <f t="shared" si="0"/>
        <v>7.8814000000000011</v>
      </c>
      <c r="E127" s="16">
        <f t="shared" si="0"/>
        <v>13.145050000000001</v>
      </c>
      <c r="F127" s="16">
        <f t="shared" si="0"/>
        <v>22.604500000000002</v>
      </c>
      <c r="G127" s="16">
        <f t="shared" si="0"/>
        <v>36.874000000000002</v>
      </c>
      <c r="H127" s="16">
        <f t="shared" si="0"/>
        <v>55.207000000000001</v>
      </c>
      <c r="I127" s="16">
        <f t="shared" si="0"/>
        <v>76.564000000000007</v>
      </c>
      <c r="J127" s="16">
        <f t="shared" si="0"/>
        <v>100</v>
      </c>
    </row>
    <row r="128" spans="1:10" ht="20.100000000000001" customHeight="1" x14ac:dyDescent="0.25">
      <c r="A128" s="15">
        <f t="shared" si="1"/>
        <v>0.12000000000000001</v>
      </c>
      <c r="B128" s="16">
        <f t="shared" si="2"/>
        <v>6.7200000000000006</v>
      </c>
      <c r="C128" s="16">
        <f t="shared" si="3"/>
        <v>7.0184960000000007</v>
      </c>
      <c r="D128" s="16">
        <f t="shared" si="0"/>
        <v>9.0706560000000014</v>
      </c>
      <c r="E128" s="16">
        <f t="shared" si="0"/>
        <v>14.266352000000001</v>
      </c>
      <c r="F128" s="16">
        <f t="shared" si="0"/>
        <v>23.603680000000004</v>
      </c>
      <c r="G128" s="16">
        <f t="shared" si="0"/>
        <v>37.688960000000002</v>
      </c>
      <c r="H128" s="16">
        <f t="shared" si="0"/>
        <v>55.78528</v>
      </c>
      <c r="I128" s="16">
        <f t="shared" si="0"/>
        <v>76.866559999999993</v>
      </c>
      <c r="J128" s="16">
        <f t="shared" si="0"/>
        <v>100</v>
      </c>
    </row>
    <row r="129" spans="1:10" ht="20.100000000000001" customHeight="1" x14ac:dyDescent="0.25">
      <c r="A129" s="15">
        <f t="shared" si="1"/>
        <v>0.14000000000000001</v>
      </c>
      <c r="B129" s="16">
        <f t="shared" si="2"/>
        <v>7.9800000000000013</v>
      </c>
      <c r="C129" s="16">
        <f t="shared" si="3"/>
        <v>8.2744640000000018</v>
      </c>
      <c r="D129" s="16">
        <f t="shared" si="0"/>
        <v>10.298904</v>
      </c>
      <c r="E129" s="16">
        <f t="shared" si="0"/>
        <v>15.424418000000001</v>
      </c>
      <c r="F129" s="16">
        <f t="shared" si="0"/>
        <v>24.635620000000003</v>
      </c>
      <c r="G129" s="16">
        <f t="shared" si="0"/>
        <v>38.530640000000005</v>
      </c>
      <c r="H129" s="16">
        <f t="shared" si="0"/>
        <v>56.38252</v>
      </c>
      <c r="I129" s="16">
        <f t="shared" si="0"/>
        <v>77.179040000000001</v>
      </c>
      <c r="J129" s="16">
        <f t="shared" si="0"/>
        <v>100</v>
      </c>
    </row>
    <row r="130" spans="1:10" ht="20.100000000000001" customHeight="1" x14ac:dyDescent="0.25">
      <c r="A130" s="15">
        <f t="shared" si="1"/>
        <v>0.16</v>
      </c>
      <c r="B130" s="16">
        <f t="shared" si="2"/>
        <v>9.2800000000000011</v>
      </c>
      <c r="C130" s="16">
        <f t="shared" si="3"/>
        <v>9.5703040000000019</v>
      </c>
      <c r="D130" s="16">
        <f t="shared" si="0"/>
        <v>11.566144000000001</v>
      </c>
      <c r="E130" s="16">
        <f t="shared" si="0"/>
        <v>16.619248000000002</v>
      </c>
      <c r="F130" s="16">
        <f t="shared" si="0"/>
        <v>25.700320000000001</v>
      </c>
      <c r="G130" s="16">
        <f t="shared" si="0"/>
        <v>39.399039999999999</v>
      </c>
      <c r="H130" s="16">
        <f t="shared" si="0"/>
        <v>56.998720000000006</v>
      </c>
      <c r="I130" s="16">
        <f t="shared" si="0"/>
        <v>77.501440000000002</v>
      </c>
      <c r="J130" s="16">
        <f t="shared" si="0"/>
        <v>100</v>
      </c>
    </row>
    <row r="131" spans="1:10" ht="20.100000000000001" customHeight="1" x14ac:dyDescent="0.25">
      <c r="A131" s="15">
        <f t="shared" si="1"/>
        <v>0.18</v>
      </c>
      <c r="B131" s="16">
        <f t="shared" si="2"/>
        <v>10.62</v>
      </c>
      <c r="C131" s="16">
        <f t="shared" si="3"/>
        <v>10.906015999999999</v>
      </c>
      <c r="D131" s="16">
        <f t="shared" si="0"/>
        <v>12.872375999999999</v>
      </c>
      <c r="E131" s="16">
        <f t="shared" si="0"/>
        <v>17.850842</v>
      </c>
      <c r="F131" s="16">
        <f t="shared" si="0"/>
        <v>26.797779999999996</v>
      </c>
      <c r="G131" s="16">
        <f t="shared" si="0"/>
        <v>40.294159999999998</v>
      </c>
      <c r="H131" s="16">
        <f t="shared" si="0"/>
        <v>57.633879999999998</v>
      </c>
      <c r="I131" s="16">
        <f t="shared" si="0"/>
        <v>77.833760000000012</v>
      </c>
      <c r="J131" s="16">
        <f t="shared" si="0"/>
        <v>100</v>
      </c>
    </row>
    <row r="132" spans="1:10" ht="20.100000000000001" customHeight="1" x14ac:dyDescent="0.25">
      <c r="A132" s="15">
        <f t="shared" si="1"/>
        <v>0.19999999999999998</v>
      </c>
      <c r="B132" s="16">
        <f t="shared" si="2"/>
        <v>12</v>
      </c>
      <c r="C132" s="16">
        <f t="shared" si="3"/>
        <v>12.281599999999999</v>
      </c>
      <c r="D132" s="16">
        <f t="shared" si="0"/>
        <v>14.217600000000001</v>
      </c>
      <c r="E132" s="16">
        <f t="shared" si="0"/>
        <v>19.119199999999999</v>
      </c>
      <c r="F132" s="16">
        <f t="shared" si="0"/>
        <v>27.928000000000004</v>
      </c>
      <c r="G132" s="16">
        <f t="shared" si="0"/>
        <v>41.216000000000008</v>
      </c>
      <c r="H132" s="16">
        <f t="shared" si="0"/>
        <v>58.288000000000004</v>
      </c>
      <c r="I132" s="16">
        <f t="shared" si="0"/>
        <v>78.176000000000002</v>
      </c>
      <c r="J132" s="16">
        <f t="shared" si="0"/>
        <v>100</v>
      </c>
    </row>
    <row r="133" spans="1:10" ht="20.100000000000001" customHeight="1" x14ac:dyDescent="0.25">
      <c r="A133" s="15">
        <f t="shared" si="1"/>
        <v>0.21999999999999997</v>
      </c>
      <c r="B133" s="16">
        <f t="shared" si="2"/>
        <v>13.419999999999998</v>
      </c>
      <c r="C133" s="16">
        <f t="shared" si="3"/>
        <v>13.697055999999998</v>
      </c>
      <c r="D133" s="16">
        <f t="shared" si="0"/>
        <v>15.601815999999998</v>
      </c>
      <c r="E133" s="16">
        <f t="shared" si="0"/>
        <v>20.424321999999997</v>
      </c>
      <c r="F133" s="16">
        <f t="shared" si="0"/>
        <v>29.090980000000002</v>
      </c>
      <c r="G133" s="16">
        <f t="shared" si="0"/>
        <v>42.164559999999994</v>
      </c>
      <c r="H133" s="16">
        <f t="shared" si="0"/>
        <v>58.961079999999995</v>
      </c>
      <c r="I133" s="16">
        <f t="shared" si="0"/>
        <v>78.52816</v>
      </c>
      <c r="J133" s="16">
        <f t="shared" si="0"/>
        <v>100</v>
      </c>
    </row>
    <row r="134" spans="1:10" ht="20.100000000000001" customHeight="1" x14ac:dyDescent="0.25">
      <c r="A134" s="15">
        <f t="shared" si="1"/>
        <v>0.23999999999999996</v>
      </c>
      <c r="B134" s="16">
        <f t="shared" si="2"/>
        <v>14.879999999999999</v>
      </c>
      <c r="C134" s="16">
        <f t="shared" si="3"/>
        <v>15.152384</v>
      </c>
      <c r="D134" s="16">
        <f t="shared" si="0"/>
        <v>17.025023999999998</v>
      </c>
      <c r="E134" s="16">
        <f t="shared" si="0"/>
        <v>21.766207999999999</v>
      </c>
      <c r="F134" s="16">
        <f t="shared" si="0"/>
        <v>30.286720000000003</v>
      </c>
      <c r="G134" s="16">
        <f t="shared" si="0"/>
        <v>43.139840000000007</v>
      </c>
      <c r="H134" s="16">
        <f t="shared" si="0"/>
        <v>59.653120000000001</v>
      </c>
      <c r="I134" s="16">
        <f t="shared" si="0"/>
        <v>78.890240000000006</v>
      </c>
      <c r="J134" s="16">
        <f t="shared" si="0"/>
        <v>100</v>
      </c>
    </row>
    <row r="135" spans="1:10" ht="20.100000000000001" customHeight="1" x14ac:dyDescent="0.25">
      <c r="A135" s="15">
        <f t="shared" si="1"/>
        <v>0.25999999999999995</v>
      </c>
      <c r="B135" s="16">
        <f t="shared" si="2"/>
        <v>16.38</v>
      </c>
      <c r="C135" s="16">
        <f t="shared" si="3"/>
        <v>16.647583999999998</v>
      </c>
      <c r="D135" s="16">
        <f t="shared" si="0"/>
        <v>18.487223999999998</v>
      </c>
      <c r="E135" s="16">
        <f t="shared" si="0"/>
        <v>23.144857999999999</v>
      </c>
      <c r="F135" s="16">
        <f t="shared" si="0"/>
        <v>31.515219999999999</v>
      </c>
      <c r="G135" s="16">
        <f t="shared" si="0"/>
        <v>44.141840000000002</v>
      </c>
      <c r="H135" s="16">
        <f t="shared" si="0"/>
        <v>60.36412</v>
      </c>
      <c r="I135" s="16">
        <f t="shared" si="0"/>
        <v>79.262240000000006</v>
      </c>
      <c r="J135" s="16">
        <f t="shared" si="0"/>
        <v>100</v>
      </c>
    </row>
    <row r="136" spans="1:10" ht="20.100000000000001" customHeight="1" x14ac:dyDescent="0.25">
      <c r="A136" s="15">
        <f t="shared" si="1"/>
        <v>0.27999999999999997</v>
      </c>
      <c r="B136" s="16">
        <f t="shared" si="2"/>
        <v>17.919999999999998</v>
      </c>
      <c r="C136" s="16">
        <f t="shared" si="3"/>
        <v>18.182655999999998</v>
      </c>
      <c r="D136" s="16">
        <f t="shared" si="0"/>
        <v>19.988415999999997</v>
      </c>
      <c r="E136" s="16">
        <f t="shared" si="0"/>
        <v>24.560271999999998</v>
      </c>
      <c r="F136" s="16">
        <f t="shared" si="0"/>
        <v>32.776479999999999</v>
      </c>
      <c r="G136" s="16">
        <f t="shared" si="0"/>
        <v>45.170559999999995</v>
      </c>
      <c r="H136" s="16">
        <f t="shared" si="0"/>
        <v>61.094080000000005</v>
      </c>
      <c r="I136" s="16">
        <f t="shared" si="0"/>
        <v>79.644159999999999</v>
      </c>
      <c r="J136" s="16">
        <f t="shared" si="0"/>
        <v>100</v>
      </c>
    </row>
    <row r="137" spans="1:10" ht="20.100000000000001" customHeight="1" x14ac:dyDescent="0.25">
      <c r="A137" s="15">
        <f t="shared" si="1"/>
        <v>0.3</v>
      </c>
      <c r="B137" s="16">
        <f t="shared" si="2"/>
        <v>19.5</v>
      </c>
      <c r="C137" s="16">
        <f t="shared" si="3"/>
        <v>19.7576</v>
      </c>
      <c r="D137" s="16">
        <f t="shared" si="0"/>
        <v>21.528600000000001</v>
      </c>
      <c r="E137" s="16">
        <f t="shared" si="0"/>
        <v>26.012450000000001</v>
      </c>
      <c r="F137" s="16">
        <f t="shared" si="0"/>
        <v>34.070500000000003</v>
      </c>
      <c r="G137" s="16">
        <f t="shared" si="0"/>
        <v>46.225999999999999</v>
      </c>
      <c r="H137" s="16">
        <f t="shared" si="0"/>
        <v>61.843000000000004</v>
      </c>
      <c r="I137" s="16">
        <f t="shared" si="0"/>
        <v>80.036000000000001</v>
      </c>
      <c r="J137" s="16">
        <f t="shared" si="0"/>
        <v>100</v>
      </c>
    </row>
    <row r="138" spans="1:10" ht="20.100000000000001" customHeight="1" x14ac:dyDescent="0.25">
      <c r="A138" s="15">
        <f t="shared" si="1"/>
        <v>0.32</v>
      </c>
      <c r="B138" s="16">
        <f t="shared" si="2"/>
        <v>21.12</v>
      </c>
      <c r="C138" s="16">
        <f t="shared" si="3"/>
        <v>21.372416000000001</v>
      </c>
      <c r="D138" s="16">
        <f t="shared" si="0"/>
        <v>23.107776000000001</v>
      </c>
      <c r="E138" s="16">
        <f t="shared" si="0"/>
        <v>27.501392000000003</v>
      </c>
      <c r="F138" s="16">
        <f t="shared" si="0"/>
        <v>35.397280000000002</v>
      </c>
      <c r="G138" s="16">
        <f t="shared" si="0"/>
        <v>47.308160000000001</v>
      </c>
      <c r="H138" s="16">
        <f t="shared" si="0"/>
        <v>62.610879999999995</v>
      </c>
      <c r="I138" s="16">
        <f t="shared" si="0"/>
        <v>80.437759999999997</v>
      </c>
      <c r="J138" s="16">
        <f t="shared" si="0"/>
        <v>100</v>
      </c>
    </row>
    <row r="139" spans="1:10" ht="20.100000000000001" customHeight="1" x14ac:dyDescent="0.25">
      <c r="A139" s="15">
        <f t="shared" si="1"/>
        <v>0.34</v>
      </c>
      <c r="B139" s="16">
        <f t="shared" si="2"/>
        <v>22.780000000000005</v>
      </c>
      <c r="C139" s="16">
        <f t="shared" si="3"/>
        <v>23.027104000000005</v>
      </c>
      <c r="D139" s="16">
        <f t="shared" si="3"/>
        <v>24.725944000000005</v>
      </c>
      <c r="E139" s="16">
        <f t="shared" si="3"/>
        <v>29.027098000000002</v>
      </c>
      <c r="F139" s="16">
        <f t="shared" si="3"/>
        <v>36.756820000000005</v>
      </c>
      <c r="G139" s="16">
        <f t="shared" si="3"/>
        <v>48.417040000000007</v>
      </c>
      <c r="H139" s="16">
        <f t="shared" si="3"/>
        <v>63.397720000000007</v>
      </c>
      <c r="I139" s="16">
        <f t="shared" si="3"/>
        <v>80.849440000000016</v>
      </c>
      <c r="J139" s="16">
        <f t="shared" si="3"/>
        <v>100</v>
      </c>
    </row>
    <row r="140" spans="1:10" ht="20.100000000000001" customHeight="1" x14ac:dyDescent="0.25">
      <c r="A140" s="15">
        <f t="shared" si="1"/>
        <v>0.36000000000000004</v>
      </c>
      <c r="B140" s="16">
        <f t="shared" si="2"/>
        <v>24.48</v>
      </c>
      <c r="C140" s="16">
        <f t="shared" si="3"/>
        <v>24.721664000000001</v>
      </c>
      <c r="D140" s="16">
        <f t="shared" si="3"/>
        <v>26.383103999999999</v>
      </c>
      <c r="E140" s="16">
        <f t="shared" si="3"/>
        <v>30.589568</v>
      </c>
      <c r="F140" s="16">
        <f t="shared" si="3"/>
        <v>38.149119999999996</v>
      </c>
      <c r="G140" s="16">
        <f t="shared" si="3"/>
        <v>49.552639999999997</v>
      </c>
      <c r="H140" s="16">
        <f t="shared" si="3"/>
        <v>64.203519999999997</v>
      </c>
      <c r="I140" s="16">
        <f t="shared" si="3"/>
        <v>81.271039999999999</v>
      </c>
      <c r="J140" s="16">
        <f t="shared" si="3"/>
        <v>100</v>
      </c>
    </row>
    <row r="141" spans="1:10" ht="20.100000000000001" customHeight="1" x14ac:dyDescent="0.25">
      <c r="A141" s="15">
        <f t="shared" si="1"/>
        <v>0.38000000000000006</v>
      </c>
      <c r="B141" s="16">
        <f t="shared" si="2"/>
        <v>26.220000000000006</v>
      </c>
      <c r="C141" s="16">
        <f t="shared" si="3"/>
        <v>26.456096000000006</v>
      </c>
      <c r="D141" s="16">
        <f t="shared" si="3"/>
        <v>28.079256000000004</v>
      </c>
      <c r="E141" s="16">
        <f t="shared" si="3"/>
        <v>32.188802000000003</v>
      </c>
      <c r="F141" s="16">
        <f t="shared" si="3"/>
        <v>39.574180000000005</v>
      </c>
      <c r="G141" s="16">
        <f t="shared" si="3"/>
        <v>50.714960000000005</v>
      </c>
      <c r="H141" s="16">
        <f t="shared" si="3"/>
        <v>65.028279999999995</v>
      </c>
      <c r="I141" s="16">
        <f t="shared" si="3"/>
        <v>81.702560000000005</v>
      </c>
      <c r="J141" s="16">
        <f t="shared" si="3"/>
        <v>100</v>
      </c>
    </row>
    <row r="142" spans="1:10" ht="20.100000000000001" customHeight="1" x14ac:dyDescent="0.25">
      <c r="A142" s="15">
        <f t="shared" si="1"/>
        <v>0.40000000000000008</v>
      </c>
      <c r="B142" s="16">
        <f t="shared" si="2"/>
        <v>28.000000000000007</v>
      </c>
      <c r="C142" s="16">
        <f t="shared" si="3"/>
        <v>28.230400000000007</v>
      </c>
      <c r="D142" s="16">
        <f t="shared" si="3"/>
        <v>29.814400000000006</v>
      </c>
      <c r="E142" s="16">
        <f t="shared" si="3"/>
        <v>33.82480000000001</v>
      </c>
      <c r="F142" s="16">
        <f t="shared" si="3"/>
        <v>41.032000000000011</v>
      </c>
      <c r="G142" s="16">
        <f t="shared" si="3"/>
        <v>51.904000000000011</v>
      </c>
      <c r="H142" s="16">
        <f t="shared" si="3"/>
        <v>65.872000000000014</v>
      </c>
      <c r="I142" s="16">
        <f t="shared" si="3"/>
        <v>82.144000000000005</v>
      </c>
      <c r="J142" s="16">
        <f t="shared" si="3"/>
        <v>100</v>
      </c>
    </row>
    <row r="143" spans="1:10" ht="20.100000000000001" customHeight="1" x14ac:dyDescent="0.25">
      <c r="A143" s="15">
        <f t="shared" si="1"/>
        <v>0.4200000000000001</v>
      </c>
      <c r="B143" s="16">
        <f t="shared" si="2"/>
        <v>29.820000000000007</v>
      </c>
      <c r="C143" s="16">
        <f t="shared" si="3"/>
        <v>30.044576000000006</v>
      </c>
      <c r="D143" s="16">
        <f t="shared" si="3"/>
        <v>31.588536000000008</v>
      </c>
      <c r="E143" s="16">
        <f t="shared" si="3"/>
        <v>35.497562000000009</v>
      </c>
      <c r="F143" s="16">
        <f t="shared" si="3"/>
        <v>42.522580000000005</v>
      </c>
      <c r="G143" s="16">
        <f t="shared" si="3"/>
        <v>53.119760000000014</v>
      </c>
      <c r="H143" s="16">
        <f t="shared" si="3"/>
        <v>66.734679999999997</v>
      </c>
      <c r="I143" s="16">
        <f t="shared" si="3"/>
        <v>82.595359999999999</v>
      </c>
      <c r="J143" s="16">
        <f t="shared" si="3"/>
        <v>100</v>
      </c>
    </row>
    <row r="144" spans="1:10" ht="20.100000000000001" customHeight="1" x14ac:dyDescent="0.25">
      <c r="A144" s="15">
        <f t="shared" si="1"/>
        <v>0.44000000000000011</v>
      </c>
      <c r="B144" s="16">
        <f t="shared" si="2"/>
        <v>31.680000000000007</v>
      </c>
      <c r="C144" s="16">
        <f t="shared" si="3"/>
        <v>31.898624000000005</v>
      </c>
      <c r="D144" s="16">
        <f t="shared" si="3"/>
        <v>33.401664000000004</v>
      </c>
      <c r="E144" s="16">
        <f t="shared" si="3"/>
        <v>37.207088000000006</v>
      </c>
      <c r="F144" s="16">
        <f t="shared" si="3"/>
        <v>44.04592000000001</v>
      </c>
      <c r="G144" s="16">
        <f t="shared" si="3"/>
        <v>54.362240000000007</v>
      </c>
      <c r="H144" s="16">
        <f t="shared" si="3"/>
        <v>67.616320000000002</v>
      </c>
      <c r="I144" s="16">
        <f t="shared" si="3"/>
        <v>83.056640000000002</v>
      </c>
      <c r="J144" s="16">
        <f t="shared" si="3"/>
        <v>100</v>
      </c>
    </row>
    <row r="145" spans="1:10" ht="20.100000000000001" customHeight="1" x14ac:dyDescent="0.25">
      <c r="A145" s="15">
        <f t="shared" si="1"/>
        <v>0.46000000000000013</v>
      </c>
      <c r="B145" s="16">
        <f t="shared" si="2"/>
        <v>33.580000000000013</v>
      </c>
      <c r="C145" s="16">
        <f t="shared" si="3"/>
        <v>33.792544000000014</v>
      </c>
      <c r="D145" s="16">
        <f t="shared" si="3"/>
        <v>35.25378400000001</v>
      </c>
      <c r="E145" s="16">
        <f t="shared" si="3"/>
        <v>38.953378000000015</v>
      </c>
      <c r="F145" s="16">
        <f t="shared" si="3"/>
        <v>45.60202000000001</v>
      </c>
      <c r="G145" s="16">
        <f t="shared" si="3"/>
        <v>55.631440000000012</v>
      </c>
      <c r="H145" s="16">
        <f t="shared" si="3"/>
        <v>68.516919999999999</v>
      </c>
      <c r="I145" s="16">
        <f t="shared" si="3"/>
        <v>83.527840000000012</v>
      </c>
      <c r="J145" s="16">
        <f t="shared" si="3"/>
        <v>100</v>
      </c>
    </row>
    <row r="146" spans="1:10" ht="20.100000000000001" customHeight="1" x14ac:dyDescent="0.25">
      <c r="A146" s="15">
        <f t="shared" si="1"/>
        <v>0.48000000000000015</v>
      </c>
      <c r="B146" s="16">
        <f t="shared" si="2"/>
        <v>35.52000000000001</v>
      </c>
      <c r="C146" s="16">
        <f t="shared" si="3"/>
        <v>35.726336000000011</v>
      </c>
      <c r="D146" s="16">
        <f t="shared" si="3"/>
        <v>37.14489600000001</v>
      </c>
      <c r="E146" s="16">
        <f t="shared" si="3"/>
        <v>40.736432000000008</v>
      </c>
      <c r="F146" s="16">
        <f t="shared" si="3"/>
        <v>47.190880000000007</v>
      </c>
      <c r="G146" s="16">
        <f t="shared" si="3"/>
        <v>56.927360000000007</v>
      </c>
      <c r="H146" s="16">
        <f t="shared" si="3"/>
        <v>69.436480000000017</v>
      </c>
      <c r="I146" s="16">
        <f t="shared" si="3"/>
        <v>84.008960000000002</v>
      </c>
      <c r="J146" s="16">
        <f t="shared" si="3"/>
        <v>100</v>
      </c>
    </row>
    <row r="147" spans="1:10" ht="20.100000000000001" customHeight="1" x14ac:dyDescent="0.25">
      <c r="A147" s="15">
        <f t="shared" si="1"/>
        <v>0.50000000000000011</v>
      </c>
      <c r="B147" s="16">
        <f t="shared" si="2"/>
        <v>37.500000000000014</v>
      </c>
      <c r="C147" s="16">
        <f t="shared" si="3"/>
        <v>37.700000000000017</v>
      </c>
      <c r="D147" s="16">
        <f t="shared" si="3"/>
        <v>39.075000000000017</v>
      </c>
      <c r="E147" s="16">
        <f t="shared" si="3"/>
        <v>42.556250000000013</v>
      </c>
      <c r="F147" s="16">
        <f t="shared" si="3"/>
        <v>48.812500000000014</v>
      </c>
      <c r="G147" s="16">
        <f t="shared" si="3"/>
        <v>58.250000000000014</v>
      </c>
      <c r="H147" s="16">
        <f t="shared" si="3"/>
        <v>70.375</v>
      </c>
      <c r="I147" s="16">
        <f t="shared" si="3"/>
        <v>84.5</v>
      </c>
      <c r="J147" s="16">
        <f t="shared" si="3"/>
        <v>100</v>
      </c>
    </row>
    <row r="148" spans="1:10" ht="20.100000000000001" customHeight="1" x14ac:dyDescent="0.25">
      <c r="A148" s="15">
        <f t="shared" si="1"/>
        <v>0.52000000000000013</v>
      </c>
      <c r="B148" s="16">
        <f t="shared" si="2"/>
        <v>39.52000000000001</v>
      </c>
      <c r="C148" s="16">
        <f t="shared" si="3"/>
        <v>39.713536000000012</v>
      </c>
      <c r="D148" s="16">
        <f t="shared" si="3"/>
        <v>41.04409600000001</v>
      </c>
      <c r="E148" s="16">
        <f t="shared" si="3"/>
        <v>44.412832000000009</v>
      </c>
      <c r="F148" s="16">
        <f t="shared" si="3"/>
        <v>50.46688000000001</v>
      </c>
      <c r="G148" s="16">
        <f t="shared" si="3"/>
        <v>59.599360000000004</v>
      </c>
      <c r="H148" s="16">
        <f t="shared" si="3"/>
        <v>71.332480000000004</v>
      </c>
      <c r="I148" s="16">
        <f t="shared" si="3"/>
        <v>85.000960000000006</v>
      </c>
      <c r="J148" s="16">
        <f t="shared" si="3"/>
        <v>100</v>
      </c>
    </row>
    <row r="149" spans="1:10" ht="20.100000000000001" customHeight="1" x14ac:dyDescent="0.25">
      <c r="A149" s="15">
        <f t="shared" si="1"/>
        <v>0.54000000000000015</v>
      </c>
      <c r="B149" s="16">
        <f t="shared" si="2"/>
        <v>41.58000000000002</v>
      </c>
      <c r="C149" s="16">
        <f t="shared" si="3"/>
        <v>41.766944000000017</v>
      </c>
      <c r="D149" s="16">
        <f t="shared" si="3"/>
        <v>43.052184000000018</v>
      </c>
      <c r="E149" s="16">
        <f t="shared" si="3"/>
        <v>46.306178000000017</v>
      </c>
      <c r="F149" s="16">
        <f t="shared" si="3"/>
        <v>52.154020000000017</v>
      </c>
      <c r="G149" s="16">
        <f t="shared" si="3"/>
        <v>60.975440000000013</v>
      </c>
      <c r="H149" s="16">
        <f t="shared" si="3"/>
        <v>72.308920000000001</v>
      </c>
      <c r="I149" s="16">
        <f t="shared" si="3"/>
        <v>85.511840000000007</v>
      </c>
      <c r="J149" s="16">
        <f t="shared" si="3"/>
        <v>100</v>
      </c>
    </row>
    <row r="150" spans="1:10" ht="20.100000000000001" customHeight="1" x14ac:dyDescent="0.25">
      <c r="A150" s="15">
        <f t="shared" si="1"/>
        <v>0.56000000000000016</v>
      </c>
      <c r="B150" s="16">
        <f t="shared" si="2"/>
        <v>43.680000000000021</v>
      </c>
      <c r="C150" s="16">
        <f t="shared" si="3"/>
        <v>43.860224000000024</v>
      </c>
      <c r="D150" s="16">
        <f t="shared" si="3"/>
        <v>45.099264000000019</v>
      </c>
      <c r="E150" s="16">
        <f t="shared" si="3"/>
        <v>48.236288000000016</v>
      </c>
      <c r="F150" s="16">
        <f t="shared" si="3"/>
        <v>53.87392000000002</v>
      </c>
      <c r="G150" s="16">
        <f t="shared" si="3"/>
        <v>62.378240000000019</v>
      </c>
      <c r="H150" s="16">
        <f t="shared" si="3"/>
        <v>73.304320000000018</v>
      </c>
      <c r="I150" s="16">
        <f t="shared" si="3"/>
        <v>86.032640000000001</v>
      </c>
      <c r="J150" s="16">
        <f t="shared" si="3"/>
        <v>100</v>
      </c>
    </row>
    <row r="151" spans="1:10" ht="20.100000000000001" customHeight="1" x14ac:dyDescent="0.25">
      <c r="A151" s="15">
        <f t="shared" si="1"/>
        <v>0.58000000000000018</v>
      </c>
      <c r="B151" s="16">
        <f t="shared" si="2"/>
        <v>45.820000000000014</v>
      </c>
      <c r="C151" s="16">
        <f t="shared" si="3"/>
        <v>45.993376000000012</v>
      </c>
      <c r="D151" s="16">
        <f t="shared" si="3"/>
        <v>47.185336000000014</v>
      </c>
      <c r="E151" s="16">
        <f t="shared" si="3"/>
        <v>50.203162000000013</v>
      </c>
      <c r="F151" s="16">
        <f t="shared" si="3"/>
        <v>55.626580000000011</v>
      </c>
      <c r="G151" s="16">
        <f t="shared" si="3"/>
        <v>63.807760000000009</v>
      </c>
      <c r="H151" s="16">
        <f t="shared" si="3"/>
        <v>74.318680000000001</v>
      </c>
      <c r="I151" s="16">
        <f t="shared" si="3"/>
        <v>86.563360000000003</v>
      </c>
      <c r="J151" s="16">
        <f t="shared" si="3"/>
        <v>100</v>
      </c>
    </row>
    <row r="152" spans="1:10" ht="20.100000000000001" customHeight="1" x14ac:dyDescent="0.25">
      <c r="A152" s="15">
        <f t="shared" si="1"/>
        <v>0.6000000000000002</v>
      </c>
      <c r="B152" s="16">
        <f t="shared" si="2"/>
        <v>48.000000000000021</v>
      </c>
      <c r="C152" s="16">
        <f t="shared" si="3"/>
        <v>48.166400000000024</v>
      </c>
      <c r="D152" s="16">
        <f t="shared" si="3"/>
        <v>49.310400000000023</v>
      </c>
      <c r="E152" s="16">
        <f t="shared" si="3"/>
        <v>52.206800000000023</v>
      </c>
      <c r="F152" s="16">
        <f t="shared" si="3"/>
        <v>57.41200000000002</v>
      </c>
      <c r="G152" s="16">
        <f t="shared" si="3"/>
        <v>65.26400000000001</v>
      </c>
      <c r="H152" s="16">
        <f t="shared" si="3"/>
        <v>75.352000000000004</v>
      </c>
      <c r="I152" s="16">
        <f t="shared" si="3"/>
        <v>87.104000000000013</v>
      </c>
      <c r="J152" s="16">
        <f t="shared" si="3"/>
        <v>100</v>
      </c>
    </row>
    <row r="153" spans="1:10" ht="20.100000000000001" customHeight="1" x14ac:dyDescent="0.25">
      <c r="A153" s="15">
        <f t="shared" si="1"/>
        <v>0.62000000000000022</v>
      </c>
      <c r="B153" s="16">
        <f t="shared" si="2"/>
        <v>50.22000000000002</v>
      </c>
      <c r="C153" s="16">
        <f t="shared" si="3"/>
        <v>50.379296000000018</v>
      </c>
      <c r="D153" s="16">
        <f t="shared" si="3"/>
        <v>51.474456000000018</v>
      </c>
      <c r="E153" s="16">
        <f t="shared" si="3"/>
        <v>54.247202000000016</v>
      </c>
      <c r="F153" s="16">
        <f t="shared" si="3"/>
        <v>59.230180000000018</v>
      </c>
      <c r="G153" s="16">
        <f t="shared" si="3"/>
        <v>66.746960000000016</v>
      </c>
      <c r="H153" s="16">
        <f t="shared" si="3"/>
        <v>76.404280000000014</v>
      </c>
      <c r="I153" s="16">
        <f t="shared" si="3"/>
        <v>87.654560000000004</v>
      </c>
      <c r="J153" s="16">
        <f t="shared" si="3"/>
        <v>100</v>
      </c>
    </row>
    <row r="154" spans="1:10" ht="20.100000000000001" customHeight="1" x14ac:dyDescent="0.25">
      <c r="A154" s="15">
        <f t="shared" si="1"/>
        <v>0.64000000000000024</v>
      </c>
      <c r="B154" s="16">
        <f t="shared" si="2"/>
        <v>52.480000000000025</v>
      </c>
      <c r="C154" s="16">
        <f t="shared" si="3"/>
        <v>52.632064000000028</v>
      </c>
      <c r="D154" s="16">
        <f t="shared" si="3"/>
        <v>53.677504000000027</v>
      </c>
      <c r="E154" s="16">
        <f t="shared" si="3"/>
        <v>56.324368000000021</v>
      </c>
      <c r="F154" s="16">
        <f t="shared" si="3"/>
        <v>61.08112000000002</v>
      </c>
      <c r="G154" s="16">
        <f t="shared" si="3"/>
        <v>68.256640000000019</v>
      </c>
      <c r="H154" s="16">
        <f t="shared" si="3"/>
        <v>77.475520000000017</v>
      </c>
      <c r="I154" s="16">
        <f t="shared" si="3"/>
        <v>88.215040000000016</v>
      </c>
      <c r="J154" s="16">
        <f t="shared" si="3"/>
        <v>100</v>
      </c>
    </row>
    <row r="155" spans="1:10" ht="20.100000000000001" customHeight="1" x14ac:dyDescent="0.25">
      <c r="A155" s="15">
        <f t="shared" si="1"/>
        <v>0.66000000000000025</v>
      </c>
      <c r="B155" s="16">
        <f t="shared" si="2"/>
        <v>54.78000000000003</v>
      </c>
      <c r="C155" s="16">
        <f t="shared" si="3"/>
        <v>54.924704000000027</v>
      </c>
      <c r="D155" s="16">
        <f t="shared" si="3"/>
        <v>55.91954400000003</v>
      </c>
      <c r="E155" s="16">
        <f t="shared" si="3"/>
        <v>58.438298000000025</v>
      </c>
      <c r="F155" s="16">
        <f t="shared" si="3"/>
        <v>62.964820000000024</v>
      </c>
      <c r="G155" s="16">
        <f t="shared" si="3"/>
        <v>69.793040000000019</v>
      </c>
      <c r="H155" s="16">
        <f t="shared" si="3"/>
        <v>78.565720000000013</v>
      </c>
      <c r="I155" s="16">
        <f t="shared" si="3"/>
        <v>88.785440000000008</v>
      </c>
      <c r="J155" s="16">
        <f t="shared" si="3"/>
        <v>100</v>
      </c>
    </row>
    <row r="156" spans="1:10" ht="20.100000000000001" customHeight="1" x14ac:dyDescent="0.25">
      <c r="A156" s="15">
        <f t="shared" si="1"/>
        <v>0.68000000000000027</v>
      </c>
      <c r="B156" s="16">
        <f t="shared" si="2"/>
        <v>57.12000000000004</v>
      </c>
      <c r="C156" s="16">
        <f t="shared" ref="C156:J172" si="4">$B156+((100-$B156)*C$122/100)</f>
        <v>57.257216000000042</v>
      </c>
      <c r="D156" s="16">
        <f t="shared" si="4"/>
        <v>58.200576000000041</v>
      </c>
      <c r="E156" s="16">
        <f t="shared" si="4"/>
        <v>60.588992000000033</v>
      </c>
      <c r="F156" s="16">
        <f t="shared" si="4"/>
        <v>64.881280000000032</v>
      </c>
      <c r="G156" s="16">
        <f t="shared" si="4"/>
        <v>71.356160000000031</v>
      </c>
      <c r="H156" s="16">
        <f t="shared" si="4"/>
        <v>79.674880000000016</v>
      </c>
      <c r="I156" s="16">
        <f t="shared" si="4"/>
        <v>89.365760000000023</v>
      </c>
      <c r="J156" s="16">
        <f t="shared" si="4"/>
        <v>100</v>
      </c>
    </row>
    <row r="157" spans="1:10" ht="20.100000000000001" customHeight="1" x14ac:dyDescent="0.25">
      <c r="A157" s="15">
        <f t="shared" si="1"/>
        <v>0.70000000000000029</v>
      </c>
      <c r="B157" s="16">
        <f t="shared" si="2"/>
        <v>59.500000000000028</v>
      </c>
      <c r="C157" s="16">
        <f t="shared" si="4"/>
        <v>59.629600000000025</v>
      </c>
      <c r="D157" s="16">
        <f t="shared" si="4"/>
        <v>60.52060000000003</v>
      </c>
      <c r="E157" s="16">
        <f t="shared" si="4"/>
        <v>62.776450000000025</v>
      </c>
      <c r="F157" s="16">
        <f t="shared" si="4"/>
        <v>66.830500000000029</v>
      </c>
      <c r="G157" s="16">
        <f t="shared" si="4"/>
        <v>72.946000000000026</v>
      </c>
      <c r="H157" s="16">
        <f t="shared" si="4"/>
        <v>80.803000000000011</v>
      </c>
      <c r="I157" s="16">
        <f t="shared" si="4"/>
        <v>89.956000000000017</v>
      </c>
      <c r="J157" s="16">
        <f t="shared" si="4"/>
        <v>100</v>
      </c>
    </row>
    <row r="158" spans="1:10" ht="20.100000000000001" customHeight="1" x14ac:dyDescent="0.25">
      <c r="A158" s="15">
        <f t="shared" si="1"/>
        <v>0.72000000000000031</v>
      </c>
      <c r="B158" s="16">
        <f t="shared" si="2"/>
        <v>61.920000000000044</v>
      </c>
      <c r="C158" s="16">
        <f t="shared" si="4"/>
        <v>62.041856000000045</v>
      </c>
      <c r="D158" s="16">
        <f t="shared" si="4"/>
        <v>62.879616000000041</v>
      </c>
      <c r="E158" s="16">
        <f t="shared" si="4"/>
        <v>65.000672000000037</v>
      </c>
      <c r="F158" s="16">
        <f t="shared" si="4"/>
        <v>68.812480000000036</v>
      </c>
      <c r="G158" s="16">
        <f t="shared" si="4"/>
        <v>74.562560000000033</v>
      </c>
      <c r="H158" s="16">
        <f t="shared" si="4"/>
        <v>81.950080000000014</v>
      </c>
      <c r="I158" s="16">
        <f t="shared" si="4"/>
        <v>90.556160000000006</v>
      </c>
      <c r="J158" s="16">
        <f t="shared" si="4"/>
        <v>100</v>
      </c>
    </row>
    <row r="159" spans="1:10" ht="20.100000000000001" customHeight="1" x14ac:dyDescent="0.25">
      <c r="A159" s="15">
        <f t="shared" si="1"/>
        <v>0.74000000000000032</v>
      </c>
      <c r="B159" s="16">
        <f t="shared" si="2"/>
        <v>64.380000000000038</v>
      </c>
      <c r="C159" s="16">
        <f t="shared" si="4"/>
        <v>64.49398400000004</v>
      </c>
      <c r="D159" s="16">
        <f t="shared" si="4"/>
        <v>65.277624000000031</v>
      </c>
      <c r="E159" s="16">
        <f t="shared" si="4"/>
        <v>67.26165800000004</v>
      </c>
      <c r="F159" s="16">
        <f t="shared" si="4"/>
        <v>70.82722000000004</v>
      </c>
      <c r="G159" s="16">
        <f t="shared" si="4"/>
        <v>76.205840000000023</v>
      </c>
      <c r="H159" s="16">
        <f t="shared" si="4"/>
        <v>83.116120000000024</v>
      </c>
      <c r="I159" s="16">
        <f t="shared" si="4"/>
        <v>91.166240000000016</v>
      </c>
      <c r="J159" s="16">
        <f t="shared" si="4"/>
        <v>100</v>
      </c>
    </row>
    <row r="160" spans="1:10" ht="20.100000000000001" customHeight="1" x14ac:dyDescent="0.25">
      <c r="A160" s="15">
        <f t="shared" si="1"/>
        <v>0.76000000000000034</v>
      </c>
      <c r="B160" s="16">
        <f t="shared" si="2"/>
        <v>66.880000000000052</v>
      </c>
      <c r="C160" s="16">
        <f t="shared" si="4"/>
        <v>66.985984000000059</v>
      </c>
      <c r="D160" s="16">
        <f t="shared" si="4"/>
        <v>67.714624000000057</v>
      </c>
      <c r="E160" s="16">
        <f t="shared" si="4"/>
        <v>69.559408000000047</v>
      </c>
      <c r="F160" s="16">
        <f t="shared" si="4"/>
        <v>72.874720000000039</v>
      </c>
      <c r="G160" s="16">
        <f t="shared" si="4"/>
        <v>77.875840000000039</v>
      </c>
      <c r="H160" s="16">
        <f t="shared" si="4"/>
        <v>84.301120000000026</v>
      </c>
      <c r="I160" s="16">
        <f t="shared" si="4"/>
        <v>91.786240000000021</v>
      </c>
      <c r="J160" s="16">
        <f t="shared" si="4"/>
        <v>100</v>
      </c>
    </row>
    <row r="161" spans="1:10" ht="20.100000000000001" customHeight="1" x14ac:dyDescent="0.25">
      <c r="A161" s="15">
        <f t="shared" si="1"/>
        <v>0.78000000000000036</v>
      </c>
      <c r="B161" s="16">
        <f t="shared" si="2"/>
        <v>69.420000000000044</v>
      </c>
      <c r="C161" s="16">
        <f t="shared" si="4"/>
        <v>69.517856000000037</v>
      </c>
      <c r="D161" s="16">
        <f t="shared" si="4"/>
        <v>70.190616000000048</v>
      </c>
      <c r="E161" s="16">
        <f t="shared" si="4"/>
        <v>71.893922000000046</v>
      </c>
      <c r="F161" s="16">
        <f t="shared" si="4"/>
        <v>74.954980000000035</v>
      </c>
      <c r="G161" s="16">
        <f t="shared" si="4"/>
        <v>79.572560000000038</v>
      </c>
      <c r="H161" s="16">
        <f t="shared" si="4"/>
        <v>85.505080000000021</v>
      </c>
      <c r="I161" s="16">
        <f t="shared" si="4"/>
        <v>92.416160000000019</v>
      </c>
      <c r="J161" s="16">
        <f t="shared" si="4"/>
        <v>100</v>
      </c>
    </row>
    <row r="162" spans="1:10" ht="20.100000000000001" customHeight="1" x14ac:dyDescent="0.25">
      <c r="A162" s="15">
        <f t="shared" si="1"/>
        <v>0.80000000000000038</v>
      </c>
      <c r="B162" s="16">
        <f t="shared" si="2"/>
        <v>72.000000000000043</v>
      </c>
      <c r="C162" s="16">
        <f t="shared" si="4"/>
        <v>72.089600000000047</v>
      </c>
      <c r="D162" s="16">
        <f t="shared" si="4"/>
        <v>72.705600000000047</v>
      </c>
      <c r="E162" s="16">
        <f t="shared" si="4"/>
        <v>74.265200000000036</v>
      </c>
      <c r="F162" s="16">
        <f t="shared" si="4"/>
        <v>77.06800000000004</v>
      </c>
      <c r="G162" s="16">
        <f t="shared" si="4"/>
        <v>81.296000000000035</v>
      </c>
      <c r="H162" s="16">
        <f t="shared" si="4"/>
        <v>86.728000000000023</v>
      </c>
      <c r="I162" s="16">
        <f t="shared" si="4"/>
        <v>93.056000000000012</v>
      </c>
      <c r="J162" s="16">
        <f t="shared" si="4"/>
        <v>100</v>
      </c>
    </row>
    <row r="163" spans="1:10" ht="20.100000000000001" customHeight="1" x14ac:dyDescent="0.25">
      <c r="A163" s="15">
        <f t="shared" si="1"/>
        <v>0.8200000000000004</v>
      </c>
      <c r="B163" s="16">
        <f t="shared" si="2"/>
        <v>74.620000000000047</v>
      </c>
      <c r="C163" s="16">
        <f t="shared" si="4"/>
        <v>74.701216000000045</v>
      </c>
      <c r="D163" s="16">
        <f t="shared" si="4"/>
        <v>75.259576000000052</v>
      </c>
      <c r="E163" s="16">
        <f t="shared" si="4"/>
        <v>76.673242000000045</v>
      </c>
      <c r="F163" s="16">
        <f t="shared" si="4"/>
        <v>79.213780000000042</v>
      </c>
      <c r="G163" s="16">
        <f t="shared" si="4"/>
        <v>83.046160000000029</v>
      </c>
      <c r="H163" s="16">
        <f t="shared" si="4"/>
        <v>87.969880000000018</v>
      </c>
      <c r="I163" s="16">
        <f t="shared" si="4"/>
        <v>93.705760000000012</v>
      </c>
      <c r="J163" s="16">
        <f t="shared" si="4"/>
        <v>100</v>
      </c>
    </row>
    <row r="164" spans="1:10" ht="20.100000000000001" customHeight="1" x14ac:dyDescent="0.25">
      <c r="A164" s="15">
        <f t="shared" si="1"/>
        <v>0.84000000000000041</v>
      </c>
      <c r="B164" s="16">
        <f t="shared" si="2"/>
        <v>77.280000000000058</v>
      </c>
      <c r="C164" s="16">
        <f t="shared" si="4"/>
        <v>77.35270400000006</v>
      </c>
      <c r="D164" s="16">
        <f t="shared" si="4"/>
        <v>77.852544000000051</v>
      </c>
      <c r="E164" s="16">
        <f t="shared" si="4"/>
        <v>79.118048000000059</v>
      </c>
      <c r="F164" s="16">
        <f t="shared" si="4"/>
        <v>81.392320000000041</v>
      </c>
      <c r="G164" s="16">
        <f t="shared" si="4"/>
        <v>84.823040000000034</v>
      </c>
      <c r="H164" s="16">
        <f t="shared" si="4"/>
        <v>89.230720000000019</v>
      </c>
      <c r="I164" s="16">
        <f t="shared" si="4"/>
        <v>94.365440000000021</v>
      </c>
      <c r="J164" s="16">
        <f t="shared" si="4"/>
        <v>100</v>
      </c>
    </row>
    <row r="165" spans="1:10" ht="20.100000000000001" customHeight="1" x14ac:dyDescent="0.25">
      <c r="A165" s="15">
        <f t="shared" si="1"/>
        <v>0.86000000000000043</v>
      </c>
      <c r="B165" s="16">
        <f t="shared" si="2"/>
        <v>79.980000000000047</v>
      </c>
      <c r="C165" s="16">
        <f t="shared" si="4"/>
        <v>80.044064000000049</v>
      </c>
      <c r="D165" s="16">
        <f t="shared" si="4"/>
        <v>80.484504000000044</v>
      </c>
      <c r="E165" s="16">
        <f t="shared" si="4"/>
        <v>81.599618000000049</v>
      </c>
      <c r="F165" s="16">
        <f t="shared" si="4"/>
        <v>83.603620000000035</v>
      </c>
      <c r="G165" s="16">
        <f t="shared" si="4"/>
        <v>86.626640000000037</v>
      </c>
      <c r="H165" s="16">
        <f t="shared" si="4"/>
        <v>90.510520000000028</v>
      </c>
      <c r="I165" s="16">
        <f t="shared" si="4"/>
        <v>95.035040000000009</v>
      </c>
      <c r="J165" s="16">
        <f t="shared" si="4"/>
        <v>100</v>
      </c>
    </row>
    <row r="166" spans="1:10" ht="20.100000000000001" customHeight="1" x14ac:dyDescent="0.25">
      <c r="A166" s="15">
        <f t="shared" si="1"/>
        <v>0.88000000000000045</v>
      </c>
      <c r="B166" s="16">
        <f t="shared" si="2"/>
        <v>82.720000000000056</v>
      </c>
      <c r="C166" s="16">
        <f t="shared" si="4"/>
        <v>82.775296000000054</v>
      </c>
      <c r="D166" s="16">
        <f t="shared" si="4"/>
        <v>83.155456000000058</v>
      </c>
      <c r="E166" s="16">
        <f t="shared" si="4"/>
        <v>84.117952000000045</v>
      </c>
      <c r="F166" s="16">
        <f t="shared" si="4"/>
        <v>85.84768000000004</v>
      </c>
      <c r="G166" s="16">
        <f t="shared" si="4"/>
        <v>88.456960000000038</v>
      </c>
      <c r="H166" s="16">
        <f t="shared" si="4"/>
        <v>91.80928000000003</v>
      </c>
      <c r="I166" s="16">
        <f t="shared" si="4"/>
        <v>95.714560000000006</v>
      </c>
      <c r="J166" s="16">
        <f t="shared" si="4"/>
        <v>100</v>
      </c>
    </row>
    <row r="167" spans="1:10" ht="20.100000000000001" customHeight="1" x14ac:dyDescent="0.25">
      <c r="A167" s="15">
        <f t="shared" si="1"/>
        <v>0.90000000000000047</v>
      </c>
      <c r="B167" s="16">
        <f t="shared" si="2"/>
        <v>85.500000000000071</v>
      </c>
      <c r="C167" s="16">
        <f t="shared" si="4"/>
        <v>85.546400000000077</v>
      </c>
      <c r="D167" s="16">
        <f t="shared" si="4"/>
        <v>85.865400000000065</v>
      </c>
      <c r="E167" s="16">
        <f t="shared" si="4"/>
        <v>86.67305000000006</v>
      </c>
      <c r="F167" s="16">
        <f t="shared" si="4"/>
        <v>88.124500000000054</v>
      </c>
      <c r="G167" s="16">
        <f t="shared" si="4"/>
        <v>90.31400000000005</v>
      </c>
      <c r="H167" s="16">
        <f t="shared" si="4"/>
        <v>93.127000000000038</v>
      </c>
      <c r="I167" s="16">
        <f t="shared" si="4"/>
        <v>96.404000000000025</v>
      </c>
      <c r="J167" s="16">
        <f t="shared" si="4"/>
        <v>100</v>
      </c>
    </row>
    <row r="168" spans="1:10" ht="20.100000000000001" customHeight="1" x14ac:dyDescent="0.25">
      <c r="A168" s="15">
        <f t="shared" si="1"/>
        <v>0.92000000000000048</v>
      </c>
      <c r="B168" s="16">
        <f t="shared" si="2"/>
        <v>88.320000000000064</v>
      </c>
      <c r="C168" s="16">
        <f t="shared" si="4"/>
        <v>88.357376000000059</v>
      </c>
      <c r="D168" s="16">
        <f t="shared" si="4"/>
        <v>88.614336000000065</v>
      </c>
      <c r="E168" s="16">
        <f t="shared" si="4"/>
        <v>89.264912000000052</v>
      </c>
      <c r="F168" s="16">
        <f t="shared" si="4"/>
        <v>90.434080000000051</v>
      </c>
      <c r="G168" s="16">
        <f t="shared" si="4"/>
        <v>92.197760000000045</v>
      </c>
      <c r="H168" s="16">
        <f t="shared" si="4"/>
        <v>94.463680000000025</v>
      </c>
      <c r="I168" s="16">
        <f t="shared" si="4"/>
        <v>97.103360000000009</v>
      </c>
      <c r="J168" s="16">
        <f t="shared" si="4"/>
        <v>100</v>
      </c>
    </row>
    <row r="169" spans="1:10" ht="20.100000000000001" customHeight="1" x14ac:dyDescent="0.25">
      <c r="A169" s="15">
        <f t="shared" si="1"/>
        <v>0.9400000000000005</v>
      </c>
      <c r="B169" s="16">
        <f t="shared" si="2"/>
        <v>91.180000000000078</v>
      </c>
      <c r="C169" s="16">
        <f t="shared" si="4"/>
        <v>91.208224000000072</v>
      </c>
      <c r="D169" s="16">
        <f t="shared" si="4"/>
        <v>91.402264000000073</v>
      </c>
      <c r="E169" s="16">
        <f t="shared" si="4"/>
        <v>91.893538000000078</v>
      </c>
      <c r="F169" s="16">
        <f t="shared" si="4"/>
        <v>92.776420000000059</v>
      </c>
      <c r="G169" s="16">
        <f t="shared" si="4"/>
        <v>94.108240000000052</v>
      </c>
      <c r="H169" s="16">
        <f t="shared" si="4"/>
        <v>95.819320000000033</v>
      </c>
      <c r="I169" s="16">
        <f t="shared" si="4"/>
        <v>97.812640000000016</v>
      </c>
      <c r="J169" s="16">
        <f t="shared" si="4"/>
        <v>100</v>
      </c>
    </row>
    <row r="170" spans="1:10" ht="20.100000000000001" customHeight="1" x14ac:dyDescent="0.25">
      <c r="A170" s="15">
        <f t="shared" si="1"/>
        <v>0.96000000000000052</v>
      </c>
      <c r="B170" s="16">
        <f t="shared" si="2"/>
        <v>94.080000000000069</v>
      </c>
      <c r="C170" s="16">
        <f t="shared" si="4"/>
        <v>94.098944000000074</v>
      </c>
      <c r="D170" s="16">
        <f t="shared" si="4"/>
        <v>94.229184000000075</v>
      </c>
      <c r="E170" s="16">
        <f t="shared" si="4"/>
        <v>94.558928000000066</v>
      </c>
      <c r="F170" s="16">
        <f t="shared" si="4"/>
        <v>95.151520000000062</v>
      </c>
      <c r="G170" s="16">
        <f t="shared" si="4"/>
        <v>96.045440000000042</v>
      </c>
      <c r="H170" s="16">
        <f t="shared" si="4"/>
        <v>97.193920000000034</v>
      </c>
      <c r="I170" s="16">
        <f t="shared" si="4"/>
        <v>98.531840000000017</v>
      </c>
      <c r="J170" s="16">
        <f t="shared" si="4"/>
        <v>100</v>
      </c>
    </row>
    <row r="171" spans="1:10" ht="20.100000000000001" customHeight="1" x14ac:dyDescent="0.25">
      <c r="A171" s="15">
        <f t="shared" si="1"/>
        <v>0.98000000000000054</v>
      </c>
      <c r="B171" s="16">
        <f t="shared" si="2"/>
        <v>97.020000000000081</v>
      </c>
      <c r="C171" s="16">
        <f t="shared" si="4"/>
        <v>97.029536000000078</v>
      </c>
      <c r="D171" s="16">
        <f t="shared" si="4"/>
        <v>97.095096000000083</v>
      </c>
      <c r="E171" s="16">
        <f t="shared" si="4"/>
        <v>97.261082000000073</v>
      </c>
      <c r="F171" s="16">
        <f t="shared" si="4"/>
        <v>97.559380000000061</v>
      </c>
      <c r="G171" s="16">
        <f t="shared" si="4"/>
        <v>98.009360000000058</v>
      </c>
      <c r="H171" s="16">
        <f t="shared" si="4"/>
        <v>98.587480000000042</v>
      </c>
      <c r="I171" s="16">
        <f t="shared" si="4"/>
        <v>99.260960000000026</v>
      </c>
      <c r="J171" s="16">
        <f t="shared" si="4"/>
        <v>100</v>
      </c>
    </row>
    <row r="172" spans="1:10" ht="20.100000000000001" customHeight="1" x14ac:dyDescent="0.25">
      <c r="A172" s="15">
        <f t="shared" si="1"/>
        <v>1.0000000000000004</v>
      </c>
      <c r="B172" s="16">
        <f t="shared" si="2"/>
        <v>100.00000000000007</v>
      </c>
      <c r="C172" s="16">
        <f t="shared" si="4"/>
        <v>100.00000000000007</v>
      </c>
      <c r="D172" s="16">
        <f t="shared" si="4"/>
        <v>100.00000000000007</v>
      </c>
      <c r="E172" s="16">
        <f t="shared" si="4"/>
        <v>100.00000000000007</v>
      </c>
      <c r="F172" s="16">
        <f t="shared" si="4"/>
        <v>100.00000000000006</v>
      </c>
      <c r="G172" s="16">
        <f t="shared" si="4"/>
        <v>100.00000000000004</v>
      </c>
      <c r="H172" s="16">
        <f t="shared" si="4"/>
        <v>100.00000000000003</v>
      </c>
      <c r="I172" s="16">
        <f t="shared" si="4"/>
        <v>100.00000000000001</v>
      </c>
      <c r="J172" s="16">
        <f t="shared" si="4"/>
        <v>100</v>
      </c>
    </row>
    <row r="174" spans="1:10" ht="20.100000000000001" customHeight="1" x14ac:dyDescent="0.25">
      <c r="A174" s="226" t="s">
        <v>206</v>
      </c>
      <c r="B174" s="226"/>
      <c r="C174" s="226"/>
      <c r="D174" s="226"/>
      <c r="E174" s="226"/>
      <c r="F174" s="226"/>
      <c r="G174" s="226"/>
      <c r="H174" s="226"/>
      <c r="I174" s="226"/>
      <c r="J174" s="226"/>
    </row>
    <row r="176" spans="1:10" ht="20.100000000000001" customHeight="1" x14ac:dyDescent="0.25">
      <c r="E176" s="17"/>
      <c r="F176" s="17"/>
      <c r="G176" s="17"/>
      <c r="H176" s="17"/>
      <c r="I176" s="17"/>
      <c r="J176" s="17"/>
    </row>
    <row r="177" spans="1:10" ht="20.100000000000001" customHeight="1" x14ac:dyDescent="0.25">
      <c r="A177" s="3"/>
      <c r="B177" s="3"/>
      <c r="C177" s="18"/>
      <c r="D177" s="19"/>
      <c r="E177" s="17"/>
      <c r="F177" s="17"/>
      <c r="G177" s="17"/>
      <c r="H177" s="17"/>
      <c r="I177" s="17"/>
      <c r="J177" s="17"/>
    </row>
    <row r="178" spans="1:10" ht="20.100000000000001" customHeight="1" x14ac:dyDescent="0.25">
      <c r="A178" s="3"/>
      <c r="B178" s="3"/>
      <c r="C178" s="18"/>
      <c r="D178" s="19"/>
      <c r="E178" s="17"/>
      <c r="F178" s="17"/>
      <c r="G178" s="17"/>
      <c r="H178" s="17"/>
      <c r="I178" s="17"/>
      <c r="J178" s="17"/>
    </row>
    <row r="179" spans="1:10" ht="20.100000000000001" customHeight="1" x14ac:dyDescent="0.25">
      <c r="A179" s="3"/>
      <c r="B179" s="3"/>
      <c r="C179" s="18"/>
      <c r="D179" s="19"/>
      <c r="E179" s="17"/>
      <c r="F179" s="17"/>
      <c r="G179" s="17"/>
      <c r="H179" s="17"/>
      <c r="I179" s="17"/>
      <c r="J179" s="17"/>
    </row>
    <row r="180" spans="1:10" ht="20.100000000000001" customHeight="1" x14ac:dyDescent="0.25">
      <c r="C180" s="18"/>
      <c r="D180" s="19"/>
      <c r="E180" s="17"/>
      <c r="F180" s="17"/>
      <c r="G180" s="17"/>
      <c r="H180" s="17"/>
      <c r="I180" s="17"/>
      <c r="J180" s="17"/>
    </row>
    <row r="181" spans="1:10" ht="20.100000000000001" customHeight="1" x14ac:dyDescent="0.25">
      <c r="C181" s="18"/>
      <c r="D181" s="19"/>
      <c r="E181" s="17"/>
      <c r="F181" s="17"/>
      <c r="G181" s="17"/>
      <c r="H181" s="17"/>
      <c r="I181" s="17"/>
      <c r="J181" s="17"/>
    </row>
    <row r="182" spans="1:10" ht="20.100000000000001" customHeight="1" x14ac:dyDescent="0.25">
      <c r="C182" s="18"/>
      <c r="D182" s="19"/>
      <c r="E182" s="17"/>
      <c r="F182" s="17"/>
      <c r="G182" s="17"/>
      <c r="H182" s="17"/>
      <c r="I182" s="17"/>
      <c r="J182" s="17"/>
    </row>
    <row r="183" spans="1:10" ht="20.100000000000001" customHeight="1" x14ac:dyDescent="0.25">
      <c r="C183" s="18"/>
      <c r="D183" s="19"/>
      <c r="E183" s="17"/>
      <c r="F183" s="17"/>
      <c r="G183" s="17"/>
      <c r="H183" s="17"/>
      <c r="I183" s="17"/>
      <c r="J183" s="17"/>
    </row>
    <row r="184" spans="1:10" ht="20.100000000000001" customHeight="1" x14ac:dyDescent="0.25">
      <c r="C184" s="18"/>
      <c r="D184" s="19"/>
      <c r="E184" s="17"/>
      <c r="F184" s="17"/>
      <c r="G184" s="17"/>
      <c r="H184" s="17"/>
      <c r="I184" s="17"/>
      <c r="J184" s="17"/>
    </row>
    <row r="185" spans="1:10" ht="20.100000000000001" customHeight="1" x14ac:dyDescent="0.25">
      <c r="C185" s="18"/>
      <c r="D185" s="19"/>
      <c r="E185" s="17"/>
      <c r="F185" s="17"/>
      <c r="G185" s="17"/>
      <c r="H185" s="17"/>
      <c r="I185" s="17"/>
      <c r="J185" s="17"/>
    </row>
    <row r="186" spans="1:10" ht="20.100000000000001" customHeight="1" x14ac:dyDescent="0.25">
      <c r="C186" s="18"/>
      <c r="D186" s="19"/>
      <c r="E186" s="17"/>
      <c r="F186" s="17"/>
      <c r="G186" s="17"/>
      <c r="H186" s="17"/>
      <c r="I186" s="17"/>
      <c r="J186" s="17"/>
    </row>
    <row r="189" spans="1:10" ht="20.100000000000001" customHeight="1" x14ac:dyDescent="0.25">
      <c r="A189" s="233" t="str">
        <f>A118</f>
        <v>IDADE EM % DA VIDA ÚTIL</v>
      </c>
      <c r="B189" s="234" t="str">
        <f t="shared" ref="B189:J189" si="5">B118</f>
        <v>ESTADO DE CONSERVAÇÃO</v>
      </c>
      <c r="C189" s="235">
        <f t="shared" si="5"/>
        <v>0</v>
      </c>
      <c r="D189" s="235">
        <f t="shared" si="5"/>
        <v>0</v>
      </c>
      <c r="E189" s="235">
        <f t="shared" si="5"/>
        <v>0</v>
      </c>
      <c r="F189" s="235">
        <f t="shared" si="5"/>
        <v>0</v>
      </c>
      <c r="G189" s="235">
        <f t="shared" si="5"/>
        <v>0</v>
      </c>
      <c r="H189" s="235">
        <f t="shared" si="5"/>
        <v>0</v>
      </c>
      <c r="I189" s="235">
        <f t="shared" si="5"/>
        <v>0</v>
      </c>
      <c r="J189" s="236">
        <f t="shared" si="5"/>
        <v>0</v>
      </c>
    </row>
    <row r="190" spans="1:10" ht="20.100000000000001" customHeight="1" x14ac:dyDescent="0.25">
      <c r="A190" s="233">
        <f t="shared" ref="A190:J205" si="6">A119</f>
        <v>0</v>
      </c>
      <c r="B190" s="231" t="s">
        <v>207</v>
      </c>
      <c r="C190" s="231">
        <f t="shared" si="6"/>
        <v>0</v>
      </c>
      <c r="D190" s="231">
        <f t="shared" si="6"/>
        <v>0</v>
      </c>
      <c r="E190" s="231">
        <f t="shared" si="6"/>
        <v>0</v>
      </c>
      <c r="F190" s="231">
        <f t="shared" si="6"/>
        <v>0</v>
      </c>
      <c r="G190" s="231">
        <f t="shared" si="6"/>
        <v>0</v>
      </c>
      <c r="H190" s="231">
        <f t="shared" si="6"/>
        <v>0</v>
      </c>
      <c r="I190" s="231">
        <f t="shared" si="6"/>
        <v>0</v>
      </c>
      <c r="J190" s="231">
        <f t="shared" si="6"/>
        <v>0</v>
      </c>
    </row>
    <row r="191" spans="1:10" ht="20.100000000000001" customHeight="1" x14ac:dyDescent="0.25">
      <c r="A191" s="233">
        <f t="shared" si="6"/>
        <v>0</v>
      </c>
      <c r="B191" s="233" t="str">
        <f t="shared" si="6"/>
        <v>Classificação do estado de conservação de acordo com a tabela de Heidecke</v>
      </c>
      <c r="C191" s="233">
        <f t="shared" si="6"/>
        <v>0</v>
      </c>
      <c r="D191" s="233">
        <f t="shared" si="6"/>
        <v>0</v>
      </c>
      <c r="E191" s="233">
        <f t="shared" si="6"/>
        <v>0</v>
      </c>
      <c r="F191" s="233">
        <f t="shared" si="6"/>
        <v>0</v>
      </c>
      <c r="G191" s="233">
        <f t="shared" si="6"/>
        <v>0</v>
      </c>
      <c r="H191" s="233">
        <f t="shared" si="6"/>
        <v>0</v>
      </c>
      <c r="I191" s="233">
        <f t="shared" si="6"/>
        <v>0</v>
      </c>
      <c r="J191" s="233">
        <f t="shared" si="6"/>
        <v>0</v>
      </c>
    </row>
    <row r="192" spans="1:10" ht="20.100000000000001" customHeight="1" x14ac:dyDescent="0.25">
      <c r="A192" s="233">
        <f t="shared" si="6"/>
        <v>0</v>
      </c>
      <c r="B192" s="14" t="str">
        <f t="shared" si="6"/>
        <v>A</v>
      </c>
      <c r="C192" s="14" t="str">
        <f t="shared" si="6"/>
        <v>B</v>
      </c>
      <c r="D192" s="14" t="str">
        <f t="shared" si="6"/>
        <v>C</v>
      </c>
      <c r="E192" s="14" t="str">
        <f t="shared" si="6"/>
        <v>D</v>
      </c>
      <c r="F192" s="14" t="str">
        <f t="shared" si="6"/>
        <v>E</v>
      </c>
      <c r="G192" s="14" t="str">
        <f t="shared" si="6"/>
        <v>F</v>
      </c>
      <c r="H192" s="14" t="str">
        <f t="shared" si="6"/>
        <v>G</v>
      </c>
      <c r="I192" s="14" t="str">
        <f t="shared" si="6"/>
        <v>H</v>
      </c>
      <c r="J192" s="14" t="str">
        <f t="shared" si="6"/>
        <v>I</v>
      </c>
    </row>
    <row r="193" spans="1:10" ht="20.100000000000001" customHeight="1" x14ac:dyDescent="0.25">
      <c r="A193" s="20">
        <f t="shared" si="6"/>
        <v>0</v>
      </c>
      <c r="B193" s="21">
        <f>-(B122/100)</f>
        <v>0</v>
      </c>
      <c r="C193" s="21">
        <f t="shared" ref="C193:J193" si="7">-(C122/100)</f>
        <v>-3.2000000000000002E-3</v>
      </c>
      <c r="D193" s="21">
        <f t="shared" si="7"/>
        <v>-2.52E-2</v>
      </c>
      <c r="E193" s="21">
        <f t="shared" si="7"/>
        <v>-8.09E-2</v>
      </c>
      <c r="F193" s="21">
        <f t="shared" si="7"/>
        <v>-0.18100000000000002</v>
      </c>
      <c r="G193" s="21">
        <f t="shared" si="7"/>
        <v>-0.33200000000000002</v>
      </c>
      <c r="H193" s="21">
        <f t="shared" si="7"/>
        <v>-0.52600000000000002</v>
      </c>
      <c r="I193" s="21">
        <f t="shared" si="7"/>
        <v>-0.752</v>
      </c>
      <c r="J193" s="21">
        <f t="shared" si="7"/>
        <v>-1</v>
      </c>
    </row>
    <row r="194" spans="1:10" ht="20.100000000000001" customHeight="1" x14ac:dyDescent="0.25">
      <c r="A194" s="20">
        <f t="shared" si="6"/>
        <v>0.02</v>
      </c>
      <c r="B194" s="21">
        <f t="shared" ref="B194:J209" si="8">-(B123/100)</f>
        <v>-1.0200000000000001E-2</v>
      </c>
      <c r="C194" s="21">
        <f t="shared" si="8"/>
        <v>-1.3367360000000002E-2</v>
      </c>
      <c r="D194" s="21">
        <f t="shared" si="8"/>
        <v>-3.5142960000000001E-2</v>
      </c>
      <c r="E194" s="21">
        <f t="shared" si="8"/>
        <v>-9.0274819999999992E-2</v>
      </c>
      <c r="F194" s="21">
        <f t="shared" si="8"/>
        <v>-0.18935380000000002</v>
      </c>
      <c r="G194" s="21">
        <f t="shared" si="8"/>
        <v>-0.3388136000000001</v>
      </c>
      <c r="H194" s="21">
        <f t="shared" si="8"/>
        <v>-0.53083480000000005</v>
      </c>
      <c r="I194" s="21">
        <f t="shared" si="8"/>
        <v>-0.75452960000000002</v>
      </c>
      <c r="J194" s="21">
        <f t="shared" si="8"/>
        <v>-1</v>
      </c>
    </row>
    <row r="195" spans="1:10" ht="20.100000000000001" customHeight="1" x14ac:dyDescent="0.25">
      <c r="A195" s="20">
        <f t="shared" si="6"/>
        <v>0.04</v>
      </c>
      <c r="B195" s="21">
        <f t="shared" si="8"/>
        <v>-2.0799999999999999E-2</v>
      </c>
      <c r="C195" s="21">
        <f t="shared" si="8"/>
        <v>-2.393344E-2</v>
      </c>
      <c r="D195" s="21">
        <f t="shared" si="8"/>
        <v>-4.5475840000000003E-2</v>
      </c>
      <c r="E195" s="21">
        <f t="shared" si="8"/>
        <v>-0.10001728</v>
      </c>
      <c r="F195" s="21">
        <f t="shared" si="8"/>
        <v>-0.19803519999999999</v>
      </c>
      <c r="G195" s="21">
        <f t="shared" si="8"/>
        <v>-0.34589440000000005</v>
      </c>
      <c r="H195" s="21">
        <f t="shared" si="8"/>
        <v>-0.53585919999999998</v>
      </c>
      <c r="I195" s="21">
        <f t="shared" si="8"/>
        <v>-0.75715840000000001</v>
      </c>
      <c r="J195" s="21">
        <f t="shared" si="8"/>
        <v>-1</v>
      </c>
    </row>
    <row r="196" spans="1:10" ht="20.100000000000001" customHeight="1" x14ac:dyDescent="0.25">
      <c r="A196" s="20">
        <f t="shared" si="6"/>
        <v>0.06</v>
      </c>
      <c r="B196" s="21">
        <f t="shared" si="8"/>
        <v>-3.1800000000000002E-2</v>
      </c>
      <c r="C196" s="21">
        <f t="shared" si="8"/>
        <v>-3.4898239999999997E-2</v>
      </c>
      <c r="D196" s="21">
        <f t="shared" si="8"/>
        <v>-5.6198639999999994E-2</v>
      </c>
      <c r="E196" s="21">
        <f t="shared" si="8"/>
        <v>-0.11012737999999998</v>
      </c>
      <c r="F196" s="21">
        <f t="shared" si="8"/>
        <v>-0.20704419999999998</v>
      </c>
      <c r="G196" s="21">
        <f t="shared" si="8"/>
        <v>-0.35324239999999996</v>
      </c>
      <c r="H196" s="21">
        <f t="shared" si="8"/>
        <v>-0.54107320000000003</v>
      </c>
      <c r="I196" s="21">
        <f t="shared" si="8"/>
        <v>-0.75988640000000007</v>
      </c>
      <c r="J196" s="21">
        <f t="shared" si="8"/>
        <v>-1</v>
      </c>
    </row>
    <row r="197" spans="1:10" ht="20.100000000000001" customHeight="1" x14ac:dyDescent="0.25">
      <c r="A197" s="20">
        <f t="shared" si="6"/>
        <v>0.08</v>
      </c>
      <c r="B197" s="21">
        <f t="shared" si="8"/>
        <v>-4.3200000000000002E-2</v>
      </c>
      <c r="C197" s="21">
        <f t="shared" si="8"/>
        <v>-4.6261759999999999E-2</v>
      </c>
      <c r="D197" s="21">
        <f t="shared" si="8"/>
        <v>-6.7311360000000015E-2</v>
      </c>
      <c r="E197" s="21">
        <f t="shared" si="8"/>
        <v>-0.12060512</v>
      </c>
      <c r="F197" s="21">
        <f t="shared" si="8"/>
        <v>-0.21638080000000001</v>
      </c>
      <c r="G197" s="21">
        <f t="shared" si="8"/>
        <v>-0.36085760000000006</v>
      </c>
      <c r="H197" s="21">
        <f t="shared" si="8"/>
        <v>-0.5464768000000001</v>
      </c>
      <c r="I197" s="21">
        <f t="shared" si="8"/>
        <v>-0.7627136000000001</v>
      </c>
      <c r="J197" s="21">
        <f t="shared" si="8"/>
        <v>-1</v>
      </c>
    </row>
    <row r="198" spans="1:10" ht="20.100000000000001" customHeight="1" x14ac:dyDescent="0.25">
      <c r="A198" s="20">
        <f t="shared" si="6"/>
        <v>0.1</v>
      </c>
      <c r="B198" s="21">
        <f t="shared" si="8"/>
        <v>-5.5000000000000007E-2</v>
      </c>
      <c r="C198" s="21">
        <f t="shared" si="8"/>
        <v>-5.8024000000000006E-2</v>
      </c>
      <c r="D198" s="21">
        <f t="shared" si="8"/>
        <v>-7.8814000000000009E-2</v>
      </c>
      <c r="E198" s="21">
        <f t="shared" si="8"/>
        <v>-0.13145050000000003</v>
      </c>
      <c r="F198" s="21">
        <f t="shared" si="8"/>
        <v>-0.22604500000000002</v>
      </c>
      <c r="G198" s="21">
        <f t="shared" si="8"/>
        <v>-0.36874000000000001</v>
      </c>
      <c r="H198" s="21">
        <f t="shared" si="8"/>
        <v>-0.55207000000000006</v>
      </c>
      <c r="I198" s="21">
        <f t="shared" si="8"/>
        <v>-0.7656400000000001</v>
      </c>
      <c r="J198" s="21">
        <f t="shared" si="8"/>
        <v>-1</v>
      </c>
    </row>
    <row r="199" spans="1:10" ht="20.100000000000001" customHeight="1" x14ac:dyDescent="0.25">
      <c r="A199" s="20">
        <f t="shared" si="6"/>
        <v>0.12000000000000001</v>
      </c>
      <c r="B199" s="21">
        <f t="shared" si="8"/>
        <v>-6.720000000000001E-2</v>
      </c>
      <c r="C199" s="21">
        <f t="shared" si="8"/>
        <v>-7.0184960000000005E-2</v>
      </c>
      <c r="D199" s="21">
        <f t="shared" si="8"/>
        <v>-9.0706560000000019E-2</v>
      </c>
      <c r="E199" s="21">
        <f t="shared" si="8"/>
        <v>-0.14266352000000002</v>
      </c>
      <c r="F199" s="21">
        <f t="shared" si="8"/>
        <v>-0.23603680000000005</v>
      </c>
      <c r="G199" s="21">
        <f t="shared" si="8"/>
        <v>-0.37688959999999999</v>
      </c>
      <c r="H199" s="21">
        <f t="shared" si="8"/>
        <v>-0.55785280000000004</v>
      </c>
      <c r="I199" s="21">
        <f t="shared" si="8"/>
        <v>-0.76866559999999995</v>
      </c>
      <c r="J199" s="21">
        <f t="shared" si="8"/>
        <v>-1</v>
      </c>
    </row>
    <row r="200" spans="1:10" ht="20.100000000000001" customHeight="1" x14ac:dyDescent="0.25">
      <c r="A200" s="20">
        <f t="shared" si="6"/>
        <v>0.14000000000000001</v>
      </c>
      <c r="B200" s="21">
        <f t="shared" si="8"/>
        <v>-7.980000000000001E-2</v>
      </c>
      <c r="C200" s="21">
        <f t="shared" si="8"/>
        <v>-8.2744640000000022E-2</v>
      </c>
      <c r="D200" s="21">
        <f t="shared" si="8"/>
        <v>-0.10298904</v>
      </c>
      <c r="E200" s="21">
        <f t="shared" si="8"/>
        <v>-0.15424418000000001</v>
      </c>
      <c r="F200" s="21">
        <f t="shared" si="8"/>
        <v>-0.24635620000000003</v>
      </c>
      <c r="G200" s="21">
        <f t="shared" si="8"/>
        <v>-0.38530640000000005</v>
      </c>
      <c r="H200" s="21">
        <f t="shared" si="8"/>
        <v>-0.56382520000000003</v>
      </c>
      <c r="I200" s="21">
        <f t="shared" si="8"/>
        <v>-0.77179039999999999</v>
      </c>
      <c r="J200" s="21">
        <f t="shared" si="8"/>
        <v>-1</v>
      </c>
    </row>
    <row r="201" spans="1:10" ht="20.100000000000001" customHeight="1" x14ac:dyDescent="0.25">
      <c r="A201" s="20">
        <f t="shared" si="6"/>
        <v>0.16</v>
      </c>
      <c r="B201" s="21">
        <f t="shared" si="8"/>
        <v>-9.2800000000000007E-2</v>
      </c>
      <c r="C201" s="21">
        <f t="shared" si="8"/>
        <v>-9.5703040000000017E-2</v>
      </c>
      <c r="D201" s="21">
        <f t="shared" si="8"/>
        <v>-0.11566144000000002</v>
      </c>
      <c r="E201" s="21">
        <f t="shared" si="8"/>
        <v>-0.16619248000000003</v>
      </c>
      <c r="F201" s="21">
        <f t="shared" si="8"/>
        <v>-0.25700319999999999</v>
      </c>
      <c r="G201" s="21">
        <f t="shared" si="8"/>
        <v>-0.39399040000000002</v>
      </c>
      <c r="H201" s="21">
        <f t="shared" si="8"/>
        <v>-0.56998720000000003</v>
      </c>
      <c r="I201" s="21">
        <f t="shared" si="8"/>
        <v>-0.77501439999999999</v>
      </c>
      <c r="J201" s="21">
        <f t="shared" si="8"/>
        <v>-1</v>
      </c>
    </row>
    <row r="202" spans="1:10" ht="20.100000000000001" customHeight="1" x14ac:dyDescent="0.25">
      <c r="A202" s="20">
        <f t="shared" si="6"/>
        <v>0.18</v>
      </c>
      <c r="B202" s="21">
        <f t="shared" si="8"/>
        <v>-0.10619999999999999</v>
      </c>
      <c r="C202" s="21">
        <f t="shared" si="8"/>
        <v>-0.10906015999999999</v>
      </c>
      <c r="D202" s="21">
        <f t="shared" si="8"/>
        <v>-0.12872375999999999</v>
      </c>
      <c r="E202" s="21">
        <f t="shared" si="8"/>
        <v>-0.17850842</v>
      </c>
      <c r="F202" s="21">
        <f t="shared" si="8"/>
        <v>-0.26797779999999993</v>
      </c>
      <c r="G202" s="21">
        <f t="shared" si="8"/>
        <v>-0.40294159999999996</v>
      </c>
      <c r="H202" s="21">
        <f t="shared" si="8"/>
        <v>-0.57633879999999993</v>
      </c>
      <c r="I202" s="21">
        <f t="shared" si="8"/>
        <v>-0.77833760000000007</v>
      </c>
      <c r="J202" s="21">
        <f t="shared" si="8"/>
        <v>-1</v>
      </c>
    </row>
    <row r="203" spans="1:10" ht="20.100000000000001" customHeight="1" x14ac:dyDescent="0.25">
      <c r="A203" s="20">
        <f t="shared" si="6"/>
        <v>0.19999999999999998</v>
      </c>
      <c r="B203" s="21">
        <f t="shared" si="8"/>
        <v>-0.12</v>
      </c>
      <c r="C203" s="21">
        <f t="shared" si="8"/>
        <v>-0.12281599999999999</v>
      </c>
      <c r="D203" s="21">
        <f t="shared" si="8"/>
        <v>-0.142176</v>
      </c>
      <c r="E203" s="21">
        <f t="shared" si="8"/>
        <v>-0.191192</v>
      </c>
      <c r="F203" s="21">
        <f t="shared" si="8"/>
        <v>-0.27928000000000003</v>
      </c>
      <c r="G203" s="21">
        <f t="shared" si="8"/>
        <v>-0.41216000000000008</v>
      </c>
      <c r="H203" s="21">
        <f t="shared" si="8"/>
        <v>-0.58288000000000006</v>
      </c>
      <c r="I203" s="21">
        <f t="shared" si="8"/>
        <v>-0.78176000000000001</v>
      </c>
      <c r="J203" s="21">
        <f t="shared" si="8"/>
        <v>-1</v>
      </c>
    </row>
    <row r="204" spans="1:10" ht="20.100000000000001" customHeight="1" x14ac:dyDescent="0.25">
      <c r="A204" s="20">
        <f t="shared" si="6"/>
        <v>0.21999999999999997</v>
      </c>
      <c r="B204" s="21">
        <f t="shared" si="8"/>
        <v>-0.13419999999999999</v>
      </c>
      <c r="C204" s="21">
        <f t="shared" si="8"/>
        <v>-0.13697055999999999</v>
      </c>
      <c r="D204" s="21">
        <f t="shared" si="8"/>
        <v>-0.15601815999999999</v>
      </c>
      <c r="E204" s="21">
        <f t="shared" si="8"/>
        <v>-0.20424321999999998</v>
      </c>
      <c r="F204" s="21">
        <f t="shared" si="8"/>
        <v>-0.2909098</v>
      </c>
      <c r="G204" s="21">
        <f t="shared" si="8"/>
        <v>-0.42164559999999995</v>
      </c>
      <c r="H204" s="21">
        <f t="shared" si="8"/>
        <v>-0.58961079999999999</v>
      </c>
      <c r="I204" s="21">
        <f t="shared" si="8"/>
        <v>-0.78528160000000002</v>
      </c>
      <c r="J204" s="21">
        <f t="shared" si="8"/>
        <v>-1</v>
      </c>
    </row>
    <row r="205" spans="1:10" ht="20.100000000000001" customHeight="1" x14ac:dyDescent="0.25">
      <c r="A205" s="20">
        <f t="shared" si="6"/>
        <v>0.23999999999999996</v>
      </c>
      <c r="B205" s="21">
        <f t="shared" si="8"/>
        <v>-0.14879999999999999</v>
      </c>
      <c r="C205" s="21">
        <f t="shared" si="8"/>
        <v>-0.15152383999999999</v>
      </c>
      <c r="D205" s="21">
        <f t="shared" si="8"/>
        <v>-0.17025024</v>
      </c>
      <c r="E205" s="21">
        <f t="shared" si="8"/>
        <v>-0.21766207999999998</v>
      </c>
      <c r="F205" s="21">
        <f t="shared" si="8"/>
        <v>-0.3028672</v>
      </c>
      <c r="G205" s="21">
        <f t="shared" si="8"/>
        <v>-0.43139840000000007</v>
      </c>
      <c r="H205" s="21">
        <f t="shared" si="8"/>
        <v>-0.59653120000000004</v>
      </c>
      <c r="I205" s="21">
        <f t="shared" si="8"/>
        <v>-0.7889024</v>
      </c>
      <c r="J205" s="21">
        <f t="shared" si="8"/>
        <v>-1</v>
      </c>
    </row>
    <row r="206" spans="1:10" ht="20.100000000000001" customHeight="1" x14ac:dyDescent="0.25">
      <c r="A206" s="20">
        <f t="shared" ref="A206:A209" si="9">A135</f>
        <v>0.25999999999999995</v>
      </c>
      <c r="B206" s="21">
        <f t="shared" si="8"/>
        <v>-0.1638</v>
      </c>
      <c r="C206" s="21">
        <f t="shared" si="8"/>
        <v>-0.16647583999999999</v>
      </c>
      <c r="D206" s="21">
        <f t="shared" si="8"/>
        <v>-0.18487223999999997</v>
      </c>
      <c r="E206" s="21">
        <f t="shared" si="8"/>
        <v>-0.23144857999999999</v>
      </c>
      <c r="F206" s="21">
        <f t="shared" si="8"/>
        <v>-0.31515219999999999</v>
      </c>
      <c r="G206" s="21">
        <f t="shared" si="8"/>
        <v>-0.44141840000000004</v>
      </c>
      <c r="H206" s="21">
        <f t="shared" si="8"/>
        <v>-0.60364119999999999</v>
      </c>
      <c r="I206" s="21">
        <f t="shared" si="8"/>
        <v>-0.79262240000000006</v>
      </c>
      <c r="J206" s="21">
        <f t="shared" si="8"/>
        <v>-1</v>
      </c>
    </row>
    <row r="207" spans="1:10" ht="20.100000000000001" customHeight="1" x14ac:dyDescent="0.25">
      <c r="A207" s="20">
        <f t="shared" si="9"/>
        <v>0.27999999999999997</v>
      </c>
      <c r="B207" s="21">
        <f t="shared" si="8"/>
        <v>-0.17919999999999997</v>
      </c>
      <c r="C207" s="21">
        <f t="shared" si="8"/>
        <v>-0.18182655999999997</v>
      </c>
      <c r="D207" s="21">
        <f t="shared" si="8"/>
        <v>-0.19988415999999998</v>
      </c>
      <c r="E207" s="21">
        <f t="shared" si="8"/>
        <v>-0.24560271999999997</v>
      </c>
      <c r="F207" s="21">
        <f t="shared" si="8"/>
        <v>-0.32776479999999997</v>
      </c>
      <c r="G207" s="21">
        <f t="shared" si="8"/>
        <v>-0.45170559999999993</v>
      </c>
      <c r="H207" s="21">
        <f t="shared" si="8"/>
        <v>-0.61094080000000006</v>
      </c>
      <c r="I207" s="21">
        <f t="shared" si="8"/>
        <v>-0.79644159999999997</v>
      </c>
      <c r="J207" s="21">
        <f t="shared" si="8"/>
        <v>-1</v>
      </c>
    </row>
    <row r="208" spans="1:10" ht="20.100000000000001" customHeight="1" x14ac:dyDescent="0.25">
      <c r="A208" s="20">
        <f t="shared" si="9"/>
        <v>0.3</v>
      </c>
      <c r="B208" s="21">
        <f t="shared" si="8"/>
        <v>-0.19500000000000001</v>
      </c>
      <c r="C208" s="21">
        <f t="shared" si="8"/>
        <v>-0.197576</v>
      </c>
      <c r="D208" s="21">
        <f t="shared" si="8"/>
        <v>-0.21528600000000001</v>
      </c>
      <c r="E208" s="21">
        <f t="shared" si="8"/>
        <v>-0.26012450000000004</v>
      </c>
      <c r="F208" s="21">
        <f t="shared" si="8"/>
        <v>-0.34070500000000004</v>
      </c>
      <c r="G208" s="21">
        <f t="shared" si="8"/>
        <v>-0.46226</v>
      </c>
      <c r="H208" s="21">
        <f t="shared" si="8"/>
        <v>-0.61843000000000004</v>
      </c>
      <c r="I208" s="21">
        <f t="shared" si="8"/>
        <v>-0.80035999999999996</v>
      </c>
      <c r="J208" s="21">
        <f t="shared" si="8"/>
        <v>-1</v>
      </c>
    </row>
    <row r="209" spans="1:10" ht="20.100000000000001" customHeight="1" x14ac:dyDescent="0.25">
      <c r="A209" s="20">
        <f t="shared" si="9"/>
        <v>0.32</v>
      </c>
      <c r="B209" s="21">
        <f t="shared" si="8"/>
        <v>-0.2112</v>
      </c>
      <c r="C209" s="21">
        <f t="shared" si="8"/>
        <v>-0.21372416000000002</v>
      </c>
      <c r="D209" s="21">
        <f t="shared" si="8"/>
        <v>-0.23107776000000002</v>
      </c>
      <c r="E209" s="21">
        <f t="shared" si="8"/>
        <v>-0.27501392000000002</v>
      </c>
      <c r="F209" s="21">
        <f t="shared" si="8"/>
        <v>-0.35397280000000003</v>
      </c>
      <c r="G209" s="21">
        <f t="shared" si="8"/>
        <v>-0.47308159999999999</v>
      </c>
      <c r="H209" s="21">
        <f t="shared" si="8"/>
        <v>-0.62610879999999991</v>
      </c>
      <c r="I209" s="21">
        <f t="shared" si="8"/>
        <v>-0.80437760000000003</v>
      </c>
      <c r="J209" s="21">
        <f t="shared" si="8"/>
        <v>-1</v>
      </c>
    </row>
    <row r="210" spans="1:10" ht="20.100000000000001" customHeight="1" x14ac:dyDescent="0.25">
      <c r="A210" s="20">
        <f>A139</f>
        <v>0.34</v>
      </c>
      <c r="B210" s="21">
        <f t="shared" ref="B210:J225" si="10">-(B139/100)</f>
        <v>-0.22780000000000006</v>
      </c>
      <c r="C210" s="21">
        <f t="shared" si="10"/>
        <v>-0.23027104000000004</v>
      </c>
      <c r="D210" s="21">
        <f t="shared" si="10"/>
        <v>-0.24725944000000005</v>
      </c>
      <c r="E210" s="21">
        <f t="shared" si="10"/>
        <v>-0.29027098000000001</v>
      </c>
      <c r="F210" s="21">
        <f t="shared" si="10"/>
        <v>-0.36756820000000007</v>
      </c>
      <c r="G210" s="21">
        <f t="shared" si="10"/>
        <v>-0.48417040000000006</v>
      </c>
      <c r="H210" s="21">
        <f t="shared" si="10"/>
        <v>-0.63397720000000002</v>
      </c>
      <c r="I210" s="21">
        <f t="shared" si="10"/>
        <v>-0.80849440000000017</v>
      </c>
      <c r="J210" s="21">
        <f t="shared" si="10"/>
        <v>-1</v>
      </c>
    </row>
    <row r="211" spans="1:10" ht="20.100000000000001" customHeight="1" x14ac:dyDescent="0.25">
      <c r="A211" s="20">
        <f t="shared" ref="A211:A225" si="11">A140</f>
        <v>0.36000000000000004</v>
      </c>
      <c r="B211" s="21">
        <f t="shared" si="10"/>
        <v>-0.24480000000000002</v>
      </c>
      <c r="C211" s="21">
        <f t="shared" si="10"/>
        <v>-0.24721664000000002</v>
      </c>
      <c r="D211" s="21">
        <f t="shared" si="10"/>
        <v>-0.26383104000000002</v>
      </c>
      <c r="E211" s="21">
        <f t="shared" si="10"/>
        <v>-0.30589568</v>
      </c>
      <c r="F211" s="21">
        <f t="shared" si="10"/>
        <v>-0.38149119999999997</v>
      </c>
      <c r="G211" s="21">
        <f t="shared" si="10"/>
        <v>-0.49552639999999998</v>
      </c>
      <c r="H211" s="21">
        <f t="shared" si="10"/>
        <v>-0.64203520000000003</v>
      </c>
      <c r="I211" s="21">
        <f t="shared" si="10"/>
        <v>-0.81271039999999994</v>
      </c>
      <c r="J211" s="21">
        <f t="shared" si="10"/>
        <v>-1</v>
      </c>
    </row>
    <row r="212" spans="1:10" ht="20.100000000000001" customHeight="1" x14ac:dyDescent="0.25">
      <c r="A212" s="20">
        <f t="shared" si="11"/>
        <v>0.38000000000000006</v>
      </c>
      <c r="B212" s="21">
        <f t="shared" si="10"/>
        <v>-0.26220000000000004</v>
      </c>
      <c r="C212" s="21">
        <f t="shared" si="10"/>
        <v>-0.26456096000000007</v>
      </c>
      <c r="D212" s="21">
        <f t="shared" si="10"/>
        <v>-0.28079256000000002</v>
      </c>
      <c r="E212" s="21">
        <f t="shared" si="10"/>
        <v>-0.32188802000000005</v>
      </c>
      <c r="F212" s="21">
        <f t="shared" si="10"/>
        <v>-0.39574180000000003</v>
      </c>
      <c r="G212" s="21">
        <f t="shared" si="10"/>
        <v>-0.50714960000000009</v>
      </c>
      <c r="H212" s="21">
        <f t="shared" si="10"/>
        <v>-0.65028279999999994</v>
      </c>
      <c r="I212" s="21">
        <f t="shared" si="10"/>
        <v>-0.81702560000000002</v>
      </c>
      <c r="J212" s="21">
        <f t="shared" si="10"/>
        <v>-1</v>
      </c>
    </row>
    <row r="213" spans="1:10" ht="20.100000000000001" customHeight="1" x14ac:dyDescent="0.25">
      <c r="A213" s="20">
        <f t="shared" si="11"/>
        <v>0.40000000000000008</v>
      </c>
      <c r="B213" s="21">
        <f t="shared" si="10"/>
        <v>-0.28000000000000008</v>
      </c>
      <c r="C213" s="21">
        <f t="shared" si="10"/>
        <v>-0.28230400000000005</v>
      </c>
      <c r="D213" s="21">
        <f t="shared" si="10"/>
        <v>-0.29814400000000008</v>
      </c>
      <c r="E213" s="21">
        <f t="shared" si="10"/>
        <v>-0.3382480000000001</v>
      </c>
      <c r="F213" s="21">
        <f t="shared" si="10"/>
        <v>-0.41032000000000013</v>
      </c>
      <c r="G213" s="21">
        <f t="shared" si="10"/>
        <v>-0.51904000000000006</v>
      </c>
      <c r="H213" s="21">
        <f t="shared" si="10"/>
        <v>-0.65872000000000019</v>
      </c>
      <c r="I213" s="21">
        <f t="shared" si="10"/>
        <v>-0.82144000000000006</v>
      </c>
      <c r="J213" s="21">
        <f t="shared" si="10"/>
        <v>-1</v>
      </c>
    </row>
    <row r="214" spans="1:10" ht="20.100000000000001" customHeight="1" x14ac:dyDescent="0.25">
      <c r="A214" s="20">
        <f t="shared" si="11"/>
        <v>0.4200000000000001</v>
      </c>
      <c r="B214" s="21">
        <f t="shared" si="10"/>
        <v>-0.29820000000000008</v>
      </c>
      <c r="C214" s="21">
        <f t="shared" si="10"/>
        <v>-0.30044576000000006</v>
      </c>
      <c r="D214" s="21">
        <f t="shared" si="10"/>
        <v>-0.31588536000000006</v>
      </c>
      <c r="E214" s="21">
        <f t="shared" si="10"/>
        <v>-0.3549756200000001</v>
      </c>
      <c r="F214" s="21">
        <f t="shared" si="10"/>
        <v>-0.42522580000000004</v>
      </c>
      <c r="G214" s="21">
        <f t="shared" si="10"/>
        <v>-0.53119760000000016</v>
      </c>
      <c r="H214" s="21">
        <f t="shared" si="10"/>
        <v>-0.66734680000000002</v>
      </c>
      <c r="I214" s="21">
        <f t="shared" si="10"/>
        <v>-0.82595359999999995</v>
      </c>
      <c r="J214" s="21">
        <f t="shared" si="10"/>
        <v>-1</v>
      </c>
    </row>
    <row r="215" spans="1:10" ht="20.100000000000001" customHeight="1" x14ac:dyDescent="0.25">
      <c r="A215" s="20">
        <f t="shared" si="11"/>
        <v>0.44000000000000011</v>
      </c>
      <c r="B215" s="21">
        <f t="shared" si="10"/>
        <v>-0.31680000000000008</v>
      </c>
      <c r="C215" s="21">
        <f t="shared" si="10"/>
        <v>-0.31898624000000003</v>
      </c>
      <c r="D215" s="21">
        <f t="shared" si="10"/>
        <v>-0.33401664000000003</v>
      </c>
      <c r="E215" s="21">
        <f t="shared" si="10"/>
        <v>-0.37207088000000005</v>
      </c>
      <c r="F215" s="21">
        <f t="shared" si="10"/>
        <v>-0.44045920000000011</v>
      </c>
      <c r="G215" s="21">
        <f t="shared" si="10"/>
        <v>-0.54362240000000006</v>
      </c>
      <c r="H215" s="21">
        <f t="shared" si="10"/>
        <v>-0.67616319999999996</v>
      </c>
      <c r="I215" s="21">
        <f t="shared" si="10"/>
        <v>-0.83056640000000004</v>
      </c>
      <c r="J215" s="21">
        <f t="shared" si="10"/>
        <v>-1</v>
      </c>
    </row>
    <row r="216" spans="1:10" ht="20.100000000000001" customHeight="1" x14ac:dyDescent="0.25">
      <c r="A216" s="20">
        <f t="shared" si="11"/>
        <v>0.46000000000000013</v>
      </c>
      <c r="B216" s="21">
        <f t="shared" si="10"/>
        <v>-0.3358000000000001</v>
      </c>
      <c r="C216" s="21">
        <f t="shared" si="10"/>
        <v>-0.33792544000000013</v>
      </c>
      <c r="D216" s="21">
        <f t="shared" si="10"/>
        <v>-0.3525378400000001</v>
      </c>
      <c r="E216" s="21">
        <f t="shared" si="10"/>
        <v>-0.38953378000000016</v>
      </c>
      <c r="F216" s="21">
        <f t="shared" si="10"/>
        <v>-0.4560202000000001</v>
      </c>
      <c r="G216" s="21">
        <f t="shared" si="10"/>
        <v>-0.5563144000000001</v>
      </c>
      <c r="H216" s="21">
        <f t="shared" si="10"/>
        <v>-0.68516920000000003</v>
      </c>
      <c r="I216" s="21">
        <f t="shared" si="10"/>
        <v>-0.83527840000000009</v>
      </c>
      <c r="J216" s="21">
        <f t="shared" si="10"/>
        <v>-1</v>
      </c>
    </row>
    <row r="217" spans="1:10" ht="20.100000000000001" customHeight="1" x14ac:dyDescent="0.25">
      <c r="A217" s="20">
        <f t="shared" si="11"/>
        <v>0.48000000000000015</v>
      </c>
      <c r="B217" s="21">
        <f t="shared" si="10"/>
        <v>-0.35520000000000013</v>
      </c>
      <c r="C217" s="21">
        <f t="shared" si="10"/>
        <v>-0.35726336000000009</v>
      </c>
      <c r="D217" s="21">
        <f t="shared" si="10"/>
        <v>-0.37144896000000011</v>
      </c>
      <c r="E217" s="21">
        <f t="shared" si="10"/>
        <v>-0.40736432000000006</v>
      </c>
      <c r="F217" s="21">
        <f t="shared" si="10"/>
        <v>-0.47190880000000007</v>
      </c>
      <c r="G217" s="21">
        <f t="shared" si="10"/>
        <v>-0.56927360000000005</v>
      </c>
      <c r="H217" s="21">
        <f t="shared" si="10"/>
        <v>-0.69436480000000023</v>
      </c>
      <c r="I217" s="21">
        <f t="shared" si="10"/>
        <v>-0.84008959999999999</v>
      </c>
      <c r="J217" s="21">
        <f t="shared" si="10"/>
        <v>-1</v>
      </c>
    </row>
    <row r="218" spans="1:10" ht="20.100000000000001" customHeight="1" x14ac:dyDescent="0.25">
      <c r="A218" s="20">
        <f t="shared" si="11"/>
        <v>0.50000000000000011</v>
      </c>
      <c r="B218" s="21">
        <f t="shared" si="10"/>
        <v>-0.37500000000000017</v>
      </c>
      <c r="C218" s="21">
        <f t="shared" si="10"/>
        <v>-0.37700000000000017</v>
      </c>
      <c r="D218" s="21">
        <f t="shared" si="10"/>
        <v>-0.39075000000000015</v>
      </c>
      <c r="E218" s="21">
        <f t="shared" si="10"/>
        <v>-0.42556250000000012</v>
      </c>
      <c r="F218" s="21">
        <f t="shared" si="10"/>
        <v>-0.48812500000000014</v>
      </c>
      <c r="G218" s="21">
        <f t="shared" si="10"/>
        <v>-0.58250000000000013</v>
      </c>
      <c r="H218" s="21">
        <f t="shared" si="10"/>
        <v>-0.70374999999999999</v>
      </c>
      <c r="I218" s="21">
        <f t="shared" si="10"/>
        <v>-0.84499999999999997</v>
      </c>
      <c r="J218" s="21">
        <f t="shared" si="10"/>
        <v>-1</v>
      </c>
    </row>
    <row r="219" spans="1:10" ht="20.100000000000001" customHeight="1" x14ac:dyDescent="0.25">
      <c r="A219" s="20">
        <f t="shared" si="11"/>
        <v>0.52000000000000013</v>
      </c>
      <c r="B219" s="21">
        <f t="shared" si="10"/>
        <v>-0.39520000000000011</v>
      </c>
      <c r="C219" s="21">
        <f t="shared" si="10"/>
        <v>-0.3971353600000001</v>
      </c>
      <c r="D219" s="21">
        <f t="shared" si="10"/>
        <v>-0.41044096000000008</v>
      </c>
      <c r="E219" s="21">
        <f t="shared" si="10"/>
        <v>-0.44412832000000008</v>
      </c>
      <c r="F219" s="21">
        <f t="shared" si="10"/>
        <v>-0.50466880000000014</v>
      </c>
      <c r="G219" s="21">
        <f t="shared" si="10"/>
        <v>-0.59599360000000001</v>
      </c>
      <c r="H219" s="21">
        <f t="shared" si="10"/>
        <v>-0.71332480000000009</v>
      </c>
      <c r="I219" s="21">
        <f t="shared" si="10"/>
        <v>-0.85000960000000003</v>
      </c>
      <c r="J219" s="21">
        <f t="shared" si="10"/>
        <v>-1</v>
      </c>
    </row>
    <row r="220" spans="1:10" ht="20.100000000000001" customHeight="1" x14ac:dyDescent="0.25">
      <c r="A220" s="20">
        <f t="shared" si="11"/>
        <v>0.54000000000000015</v>
      </c>
      <c r="B220" s="21">
        <f t="shared" si="10"/>
        <v>-0.41580000000000017</v>
      </c>
      <c r="C220" s="21">
        <f t="shared" si="10"/>
        <v>-0.41766944000000017</v>
      </c>
      <c r="D220" s="21">
        <f t="shared" si="10"/>
        <v>-0.43052184000000016</v>
      </c>
      <c r="E220" s="21">
        <f t="shared" si="10"/>
        <v>-0.46306178000000014</v>
      </c>
      <c r="F220" s="21">
        <f t="shared" si="10"/>
        <v>-0.52154020000000012</v>
      </c>
      <c r="G220" s="21">
        <f t="shared" si="10"/>
        <v>-0.60975440000000014</v>
      </c>
      <c r="H220" s="21">
        <f t="shared" si="10"/>
        <v>-0.72308919999999999</v>
      </c>
      <c r="I220" s="21">
        <f t="shared" si="10"/>
        <v>-0.85511840000000006</v>
      </c>
      <c r="J220" s="21">
        <f t="shared" si="10"/>
        <v>-1</v>
      </c>
    </row>
    <row r="221" spans="1:10" ht="20.100000000000001" customHeight="1" x14ac:dyDescent="0.25">
      <c r="A221" s="20">
        <f t="shared" si="11"/>
        <v>0.56000000000000016</v>
      </c>
      <c r="B221" s="21">
        <f t="shared" si="10"/>
        <v>-0.43680000000000019</v>
      </c>
      <c r="C221" s="21">
        <f t="shared" si="10"/>
        <v>-0.43860224000000025</v>
      </c>
      <c r="D221" s="21">
        <f t="shared" si="10"/>
        <v>-0.45099264000000017</v>
      </c>
      <c r="E221" s="21">
        <f t="shared" si="10"/>
        <v>-0.48236288000000016</v>
      </c>
      <c r="F221" s="21">
        <f t="shared" si="10"/>
        <v>-0.5387392000000002</v>
      </c>
      <c r="G221" s="21">
        <f t="shared" si="10"/>
        <v>-0.62378240000000018</v>
      </c>
      <c r="H221" s="21">
        <f t="shared" si="10"/>
        <v>-0.73304320000000023</v>
      </c>
      <c r="I221" s="21">
        <f t="shared" si="10"/>
        <v>-0.86032640000000005</v>
      </c>
      <c r="J221" s="21">
        <f t="shared" si="10"/>
        <v>-1</v>
      </c>
    </row>
    <row r="222" spans="1:10" ht="20.100000000000001" customHeight="1" x14ac:dyDescent="0.25">
      <c r="A222" s="20">
        <f t="shared" si="11"/>
        <v>0.58000000000000018</v>
      </c>
      <c r="B222" s="21">
        <f t="shared" si="10"/>
        <v>-0.45820000000000016</v>
      </c>
      <c r="C222" s="21">
        <f t="shared" si="10"/>
        <v>-0.45993376000000014</v>
      </c>
      <c r="D222" s="21">
        <f t="shared" si="10"/>
        <v>-0.47185336000000011</v>
      </c>
      <c r="E222" s="21">
        <f t="shared" si="10"/>
        <v>-0.50203162000000012</v>
      </c>
      <c r="F222" s="21">
        <f t="shared" si="10"/>
        <v>-0.55626580000000014</v>
      </c>
      <c r="G222" s="21">
        <f t="shared" si="10"/>
        <v>-0.63807760000000013</v>
      </c>
      <c r="H222" s="21">
        <f t="shared" si="10"/>
        <v>-0.74318680000000004</v>
      </c>
      <c r="I222" s="21">
        <f t="shared" si="10"/>
        <v>-0.8656336</v>
      </c>
      <c r="J222" s="21">
        <f t="shared" si="10"/>
        <v>-1</v>
      </c>
    </row>
    <row r="223" spans="1:10" ht="20.100000000000001" customHeight="1" x14ac:dyDescent="0.25">
      <c r="A223" s="20">
        <f t="shared" si="11"/>
        <v>0.6000000000000002</v>
      </c>
      <c r="B223" s="21">
        <f t="shared" si="10"/>
        <v>-0.4800000000000002</v>
      </c>
      <c r="C223" s="21">
        <f t="shared" si="10"/>
        <v>-0.48166400000000026</v>
      </c>
      <c r="D223" s="21">
        <f t="shared" si="10"/>
        <v>-0.49310400000000021</v>
      </c>
      <c r="E223" s="21">
        <f t="shared" si="10"/>
        <v>-0.5220680000000002</v>
      </c>
      <c r="F223" s="21">
        <f t="shared" si="10"/>
        <v>-0.57412000000000019</v>
      </c>
      <c r="G223" s="21">
        <f t="shared" si="10"/>
        <v>-0.65264000000000011</v>
      </c>
      <c r="H223" s="21">
        <f t="shared" si="10"/>
        <v>-0.75352000000000008</v>
      </c>
      <c r="I223" s="21">
        <f t="shared" si="10"/>
        <v>-0.87104000000000015</v>
      </c>
      <c r="J223" s="21">
        <f t="shared" si="10"/>
        <v>-1</v>
      </c>
    </row>
    <row r="224" spans="1:10" ht="20.100000000000001" customHeight="1" x14ac:dyDescent="0.25">
      <c r="A224" s="20">
        <f t="shared" si="11"/>
        <v>0.62000000000000022</v>
      </c>
      <c r="B224" s="21">
        <f t="shared" si="10"/>
        <v>-0.5022000000000002</v>
      </c>
      <c r="C224" s="21">
        <f t="shared" si="10"/>
        <v>-0.50379296000000018</v>
      </c>
      <c r="D224" s="21">
        <f t="shared" si="10"/>
        <v>-0.51474456000000013</v>
      </c>
      <c r="E224" s="21">
        <f t="shared" si="10"/>
        <v>-0.54247202000000017</v>
      </c>
      <c r="F224" s="21">
        <f t="shared" si="10"/>
        <v>-0.59230180000000021</v>
      </c>
      <c r="G224" s="21">
        <f t="shared" si="10"/>
        <v>-0.66746960000000011</v>
      </c>
      <c r="H224" s="21">
        <f t="shared" si="10"/>
        <v>-0.76404280000000013</v>
      </c>
      <c r="I224" s="21">
        <f t="shared" si="10"/>
        <v>-0.87654560000000004</v>
      </c>
      <c r="J224" s="21">
        <f t="shared" si="10"/>
        <v>-1</v>
      </c>
    </row>
    <row r="225" spans="1:10" ht="20.100000000000001" customHeight="1" x14ac:dyDescent="0.25">
      <c r="A225" s="20">
        <f t="shared" si="11"/>
        <v>0.64000000000000024</v>
      </c>
      <c r="B225" s="21">
        <f t="shared" si="10"/>
        <v>-0.52480000000000027</v>
      </c>
      <c r="C225" s="21">
        <f t="shared" si="10"/>
        <v>-0.52632064000000023</v>
      </c>
      <c r="D225" s="21">
        <f t="shared" si="10"/>
        <v>-0.53677504000000031</v>
      </c>
      <c r="E225" s="21">
        <f t="shared" si="10"/>
        <v>-0.56324368000000025</v>
      </c>
      <c r="F225" s="21">
        <f t="shared" si="10"/>
        <v>-0.61081120000000022</v>
      </c>
      <c r="G225" s="21">
        <f t="shared" si="10"/>
        <v>-0.68256640000000024</v>
      </c>
      <c r="H225" s="21">
        <f t="shared" si="10"/>
        <v>-0.7747552000000002</v>
      </c>
      <c r="I225" s="21">
        <f t="shared" si="10"/>
        <v>-0.88215040000000011</v>
      </c>
      <c r="J225" s="21">
        <f t="shared" si="10"/>
        <v>-1</v>
      </c>
    </row>
    <row r="226" spans="1:10" ht="20.100000000000001" customHeight="1" x14ac:dyDescent="0.25">
      <c r="A226" s="20">
        <f>A155</f>
        <v>0.66000000000000025</v>
      </c>
      <c r="B226" s="21">
        <f t="shared" ref="B226:J241" si="12">-(B155/100)</f>
        <v>-0.54780000000000029</v>
      </c>
      <c r="C226" s="21">
        <f t="shared" si="12"/>
        <v>-0.54924704000000024</v>
      </c>
      <c r="D226" s="21">
        <f t="shared" si="12"/>
        <v>-0.55919544000000032</v>
      </c>
      <c r="E226" s="21">
        <f t="shared" si="12"/>
        <v>-0.58438298000000022</v>
      </c>
      <c r="F226" s="21">
        <f t="shared" si="12"/>
        <v>-0.62964820000000021</v>
      </c>
      <c r="G226" s="21">
        <f t="shared" si="12"/>
        <v>-0.69793040000000017</v>
      </c>
      <c r="H226" s="21">
        <f t="shared" si="12"/>
        <v>-0.78565720000000017</v>
      </c>
      <c r="I226" s="21">
        <f t="shared" si="12"/>
        <v>-0.88785440000000004</v>
      </c>
      <c r="J226" s="21">
        <f t="shared" si="12"/>
        <v>-1</v>
      </c>
    </row>
    <row r="227" spans="1:10" ht="20.100000000000001" customHeight="1" x14ac:dyDescent="0.25">
      <c r="A227" s="20">
        <f t="shared" ref="A227:A243" si="13">A156</f>
        <v>0.68000000000000027</v>
      </c>
      <c r="B227" s="21">
        <f t="shared" si="12"/>
        <v>-0.57120000000000037</v>
      </c>
      <c r="C227" s="21">
        <f t="shared" si="12"/>
        <v>-0.57257216000000044</v>
      </c>
      <c r="D227" s="21">
        <f t="shared" si="12"/>
        <v>-0.58200576000000037</v>
      </c>
      <c r="E227" s="21">
        <f t="shared" si="12"/>
        <v>-0.6058899200000003</v>
      </c>
      <c r="F227" s="21">
        <f t="shared" si="12"/>
        <v>-0.6488128000000003</v>
      </c>
      <c r="G227" s="21">
        <f t="shared" si="12"/>
        <v>-0.71356160000000035</v>
      </c>
      <c r="H227" s="21">
        <f t="shared" si="12"/>
        <v>-0.79674880000000015</v>
      </c>
      <c r="I227" s="21">
        <f t="shared" si="12"/>
        <v>-0.89365760000000027</v>
      </c>
      <c r="J227" s="21">
        <f t="shared" si="12"/>
        <v>-1</v>
      </c>
    </row>
    <row r="228" spans="1:10" ht="20.100000000000001" customHeight="1" x14ac:dyDescent="0.25">
      <c r="A228" s="20">
        <f t="shared" si="13"/>
        <v>0.70000000000000029</v>
      </c>
      <c r="B228" s="21">
        <f t="shared" si="12"/>
        <v>-0.59500000000000031</v>
      </c>
      <c r="C228" s="21">
        <f t="shared" si="12"/>
        <v>-0.59629600000000027</v>
      </c>
      <c r="D228" s="21">
        <f t="shared" si="12"/>
        <v>-0.60520600000000035</v>
      </c>
      <c r="E228" s="21">
        <f t="shared" si="12"/>
        <v>-0.62776450000000028</v>
      </c>
      <c r="F228" s="21">
        <f t="shared" si="12"/>
        <v>-0.66830500000000026</v>
      </c>
      <c r="G228" s="21">
        <f t="shared" si="12"/>
        <v>-0.72946000000000022</v>
      </c>
      <c r="H228" s="21">
        <f t="shared" si="12"/>
        <v>-0.80803000000000014</v>
      </c>
      <c r="I228" s="21">
        <f t="shared" si="12"/>
        <v>-0.89956000000000014</v>
      </c>
      <c r="J228" s="21">
        <f t="shared" si="12"/>
        <v>-1</v>
      </c>
    </row>
    <row r="229" spans="1:10" ht="20.100000000000001" customHeight="1" x14ac:dyDescent="0.25">
      <c r="A229" s="20">
        <f t="shared" si="13"/>
        <v>0.72000000000000031</v>
      </c>
      <c r="B229" s="21">
        <f t="shared" si="12"/>
        <v>-0.61920000000000042</v>
      </c>
      <c r="C229" s="21">
        <f t="shared" si="12"/>
        <v>-0.62041856000000051</v>
      </c>
      <c r="D229" s="21">
        <f t="shared" si="12"/>
        <v>-0.62879616000000038</v>
      </c>
      <c r="E229" s="21">
        <f t="shared" si="12"/>
        <v>-0.65000672000000037</v>
      </c>
      <c r="F229" s="21">
        <f t="shared" si="12"/>
        <v>-0.68812480000000031</v>
      </c>
      <c r="G229" s="21">
        <f t="shared" si="12"/>
        <v>-0.74562560000000033</v>
      </c>
      <c r="H229" s="21">
        <f t="shared" si="12"/>
        <v>-0.81950080000000014</v>
      </c>
      <c r="I229" s="21">
        <f t="shared" si="12"/>
        <v>-0.90556160000000008</v>
      </c>
      <c r="J229" s="21">
        <f t="shared" si="12"/>
        <v>-1</v>
      </c>
    </row>
    <row r="230" spans="1:10" ht="20.100000000000001" customHeight="1" x14ac:dyDescent="0.25">
      <c r="A230" s="20">
        <f t="shared" si="13"/>
        <v>0.74000000000000032</v>
      </c>
      <c r="B230" s="21">
        <f t="shared" si="12"/>
        <v>-0.64380000000000037</v>
      </c>
      <c r="C230" s="21">
        <f t="shared" si="12"/>
        <v>-0.64493984000000038</v>
      </c>
      <c r="D230" s="21">
        <f t="shared" si="12"/>
        <v>-0.65277624000000034</v>
      </c>
      <c r="E230" s="21">
        <f t="shared" si="12"/>
        <v>-0.67261658000000035</v>
      </c>
      <c r="F230" s="21">
        <f t="shared" si="12"/>
        <v>-0.70827220000000035</v>
      </c>
      <c r="G230" s="21">
        <f t="shared" si="12"/>
        <v>-0.76205840000000025</v>
      </c>
      <c r="H230" s="21">
        <f t="shared" si="12"/>
        <v>-0.83116120000000027</v>
      </c>
      <c r="I230" s="21">
        <f t="shared" si="12"/>
        <v>-0.91166240000000021</v>
      </c>
      <c r="J230" s="21">
        <f t="shared" si="12"/>
        <v>-1</v>
      </c>
    </row>
    <row r="231" spans="1:10" ht="20.100000000000001" customHeight="1" x14ac:dyDescent="0.25">
      <c r="A231" s="20">
        <f t="shared" si="13"/>
        <v>0.76000000000000034</v>
      </c>
      <c r="B231" s="21">
        <f t="shared" si="12"/>
        <v>-0.66880000000000051</v>
      </c>
      <c r="C231" s="21">
        <f t="shared" si="12"/>
        <v>-0.66985984000000054</v>
      </c>
      <c r="D231" s="21">
        <f t="shared" si="12"/>
        <v>-0.67714624000000057</v>
      </c>
      <c r="E231" s="21">
        <f t="shared" si="12"/>
        <v>-0.69559408000000045</v>
      </c>
      <c r="F231" s="21">
        <f t="shared" si="12"/>
        <v>-0.72874720000000037</v>
      </c>
      <c r="G231" s="21">
        <f t="shared" si="12"/>
        <v>-0.77875840000000041</v>
      </c>
      <c r="H231" s="21">
        <f t="shared" si="12"/>
        <v>-0.84301120000000029</v>
      </c>
      <c r="I231" s="21">
        <f t="shared" si="12"/>
        <v>-0.91786240000000019</v>
      </c>
      <c r="J231" s="21">
        <f t="shared" si="12"/>
        <v>-1</v>
      </c>
    </row>
    <row r="232" spans="1:10" ht="20.100000000000001" customHeight="1" x14ac:dyDescent="0.25">
      <c r="A232" s="20">
        <f t="shared" si="13"/>
        <v>0.78000000000000036</v>
      </c>
      <c r="B232" s="21">
        <f t="shared" si="12"/>
        <v>-0.69420000000000048</v>
      </c>
      <c r="C232" s="21">
        <f t="shared" si="12"/>
        <v>-0.69517856000000033</v>
      </c>
      <c r="D232" s="21">
        <f t="shared" si="12"/>
        <v>-0.7019061600000005</v>
      </c>
      <c r="E232" s="21">
        <f t="shared" si="12"/>
        <v>-0.71893922000000043</v>
      </c>
      <c r="F232" s="21">
        <f t="shared" si="12"/>
        <v>-0.74954980000000038</v>
      </c>
      <c r="G232" s="21">
        <f t="shared" si="12"/>
        <v>-0.79572560000000037</v>
      </c>
      <c r="H232" s="21">
        <f t="shared" si="12"/>
        <v>-0.85505080000000022</v>
      </c>
      <c r="I232" s="21">
        <f t="shared" si="12"/>
        <v>-0.92416160000000014</v>
      </c>
      <c r="J232" s="21">
        <f t="shared" si="12"/>
        <v>-1</v>
      </c>
    </row>
    <row r="233" spans="1:10" ht="20.100000000000001" customHeight="1" x14ac:dyDescent="0.25">
      <c r="A233" s="20">
        <f t="shared" si="13"/>
        <v>0.80000000000000038</v>
      </c>
      <c r="B233" s="21">
        <f t="shared" si="12"/>
        <v>-0.72000000000000042</v>
      </c>
      <c r="C233" s="21">
        <f t="shared" si="12"/>
        <v>-0.72089600000000043</v>
      </c>
      <c r="D233" s="21">
        <f t="shared" si="12"/>
        <v>-0.72705600000000048</v>
      </c>
      <c r="E233" s="21">
        <f t="shared" si="12"/>
        <v>-0.74265200000000031</v>
      </c>
      <c r="F233" s="21">
        <f t="shared" si="12"/>
        <v>-0.77068000000000036</v>
      </c>
      <c r="G233" s="21">
        <f t="shared" si="12"/>
        <v>-0.81296000000000035</v>
      </c>
      <c r="H233" s="21">
        <f t="shared" si="12"/>
        <v>-0.86728000000000027</v>
      </c>
      <c r="I233" s="21">
        <f t="shared" si="12"/>
        <v>-0.93056000000000016</v>
      </c>
      <c r="J233" s="21">
        <f t="shared" si="12"/>
        <v>-1</v>
      </c>
    </row>
    <row r="234" spans="1:10" ht="20.100000000000001" customHeight="1" x14ac:dyDescent="0.25">
      <c r="A234" s="20">
        <f t="shared" si="13"/>
        <v>0.8200000000000004</v>
      </c>
      <c r="B234" s="21">
        <f t="shared" si="12"/>
        <v>-0.74620000000000042</v>
      </c>
      <c r="C234" s="21">
        <f t="shared" si="12"/>
        <v>-0.74701216000000048</v>
      </c>
      <c r="D234" s="21">
        <f t="shared" si="12"/>
        <v>-0.7525957600000005</v>
      </c>
      <c r="E234" s="21">
        <f t="shared" si="12"/>
        <v>-0.76673242000000041</v>
      </c>
      <c r="F234" s="21">
        <f t="shared" si="12"/>
        <v>-0.79213780000000045</v>
      </c>
      <c r="G234" s="21">
        <f t="shared" si="12"/>
        <v>-0.83046160000000024</v>
      </c>
      <c r="H234" s="21">
        <f t="shared" si="12"/>
        <v>-0.87969880000000023</v>
      </c>
      <c r="I234" s="21">
        <f t="shared" si="12"/>
        <v>-0.93705760000000016</v>
      </c>
      <c r="J234" s="21">
        <f t="shared" si="12"/>
        <v>-1</v>
      </c>
    </row>
    <row r="235" spans="1:10" ht="20.100000000000001" customHeight="1" x14ac:dyDescent="0.25">
      <c r="A235" s="20">
        <f t="shared" si="13"/>
        <v>0.84000000000000041</v>
      </c>
      <c r="B235" s="21">
        <f t="shared" si="12"/>
        <v>-0.7728000000000006</v>
      </c>
      <c r="C235" s="21">
        <f t="shared" si="12"/>
        <v>-0.77352704000000061</v>
      </c>
      <c r="D235" s="21">
        <f t="shared" si="12"/>
        <v>-0.77852544000000057</v>
      </c>
      <c r="E235" s="21">
        <f t="shared" si="12"/>
        <v>-0.79118048000000063</v>
      </c>
      <c r="F235" s="21">
        <f t="shared" si="12"/>
        <v>-0.8139232000000004</v>
      </c>
      <c r="G235" s="21">
        <f t="shared" si="12"/>
        <v>-0.84823040000000038</v>
      </c>
      <c r="H235" s="21">
        <f t="shared" si="12"/>
        <v>-0.89230720000000019</v>
      </c>
      <c r="I235" s="21">
        <f t="shared" si="12"/>
        <v>-0.94365440000000023</v>
      </c>
      <c r="J235" s="21">
        <f t="shared" si="12"/>
        <v>-1</v>
      </c>
    </row>
    <row r="236" spans="1:10" ht="20.100000000000001" customHeight="1" x14ac:dyDescent="0.25">
      <c r="A236" s="20">
        <f t="shared" si="13"/>
        <v>0.86000000000000043</v>
      </c>
      <c r="B236" s="21">
        <f t="shared" si="12"/>
        <v>-0.79980000000000051</v>
      </c>
      <c r="C236" s="21">
        <f t="shared" si="12"/>
        <v>-0.80044064000000048</v>
      </c>
      <c r="D236" s="21">
        <f t="shared" si="12"/>
        <v>-0.80484504000000046</v>
      </c>
      <c r="E236" s="21">
        <f t="shared" si="12"/>
        <v>-0.81599618000000051</v>
      </c>
      <c r="F236" s="21">
        <f t="shared" si="12"/>
        <v>-0.83603620000000034</v>
      </c>
      <c r="G236" s="21">
        <f t="shared" si="12"/>
        <v>-0.86626640000000033</v>
      </c>
      <c r="H236" s="21">
        <f t="shared" si="12"/>
        <v>-0.90510520000000028</v>
      </c>
      <c r="I236" s="21">
        <f t="shared" si="12"/>
        <v>-0.95035040000000004</v>
      </c>
      <c r="J236" s="21">
        <f t="shared" si="12"/>
        <v>-1</v>
      </c>
    </row>
    <row r="237" spans="1:10" ht="20.100000000000001" customHeight="1" x14ac:dyDescent="0.25">
      <c r="A237" s="20">
        <f t="shared" si="13"/>
        <v>0.88000000000000045</v>
      </c>
      <c r="B237" s="21">
        <f t="shared" si="12"/>
        <v>-0.8272000000000006</v>
      </c>
      <c r="C237" s="21">
        <f t="shared" si="12"/>
        <v>-0.82775296000000054</v>
      </c>
      <c r="D237" s="21">
        <f t="shared" si="12"/>
        <v>-0.83155456000000061</v>
      </c>
      <c r="E237" s="21">
        <f t="shared" si="12"/>
        <v>-0.8411795200000004</v>
      </c>
      <c r="F237" s="21">
        <f t="shared" si="12"/>
        <v>-0.85847680000000037</v>
      </c>
      <c r="G237" s="21">
        <f t="shared" si="12"/>
        <v>-0.8845696000000004</v>
      </c>
      <c r="H237" s="21">
        <f t="shared" si="12"/>
        <v>-0.91809280000000026</v>
      </c>
      <c r="I237" s="21">
        <f t="shared" si="12"/>
        <v>-0.95714560000000004</v>
      </c>
      <c r="J237" s="21">
        <f t="shared" si="12"/>
        <v>-1</v>
      </c>
    </row>
    <row r="238" spans="1:10" ht="20.100000000000001" customHeight="1" x14ac:dyDescent="0.25">
      <c r="A238" s="20">
        <f t="shared" si="13"/>
        <v>0.90000000000000047</v>
      </c>
      <c r="B238" s="21">
        <f t="shared" si="12"/>
        <v>-0.85500000000000076</v>
      </c>
      <c r="C238" s="21">
        <f t="shared" si="12"/>
        <v>-0.85546400000000078</v>
      </c>
      <c r="D238" s="21">
        <f t="shared" si="12"/>
        <v>-0.85865400000000069</v>
      </c>
      <c r="E238" s="21">
        <f t="shared" si="12"/>
        <v>-0.86673050000000063</v>
      </c>
      <c r="F238" s="21">
        <f t="shared" si="12"/>
        <v>-0.8812450000000005</v>
      </c>
      <c r="G238" s="21">
        <f t="shared" si="12"/>
        <v>-0.9031400000000005</v>
      </c>
      <c r="H238" s="21">
        <f t="shared" si="12"/>
        <v>-0.93127000000000038</v>
      </c>
      <c r="I238" s="21">
        <f t="shared" si="12"/>
        <v>-0.96404000000000023</v>
      </c>
      <c r="J238" s="21">
        <f t="shared" si="12"/>
        <v>-1</v>
      </c>
    </row>
    <row r="239" spans="1:10" ht="20.100000000000001" customHeight="1" x14ac:dyDescent="0.25">
      <c r="A239" s="20">
        <f t="shared" si="13"/>
        <v>0.92000000000000048</v>
      </c>
      <c r="B239" s="21">
        <f t="shared" si="12"/>
        <v>-0.88320000000000065</v>
      </c>
      <c r="C239" s="21">
        <f t="shared" si="12"/>
        <v>-0.88357376000000054</v>
      </c>
      <c r="D239" s="21">
        <f t="shared" si="12"/>
        <v>-0.8861433600000006</v>
      </c>
      <c r="E239" s="21">
        <f t="shared" si="12"/>
        <v>-0.89264912000000052</v>
      </c>
      <c r="F239" s="21">
        <f t="shared" si="12"/>
        <v>-0.9043408000000005</v>
      </c>
      <c r="G239" s="21">
        <f t="shared" si="12"/>
        <v>-0.9219776000000004</v>
      </c>
      <c r="H239" s="21">
        <f t="shared" si="12"/>
        <v>-0.94463680000000028</v>
      </c>
      <c r="I239" s="21">
        <f t="shared" si="12"/>
        <v>-0.97103360000000005</v>
      </c>
      <c r="J239" s="21">
        <f t="shared" si="12"/>
        <v>-1</v>
      </c>
    </row>
    <row r="240" spans="1:10" ht="20.100000000000001" customHeight="1" x14ac:dyDescent="0.25">
      <c r="A240" s="20">
        <f t="shared" si="13"/>
        <v>0.9400000000000005</v>
      </c>
      <c r="B240" s="21">
        <f t="shared" si="12"/>
        <v>-0.91180000000000083</v>
      </c>
      <c r="C240" s="21">
        <f t="shared" si="12"/>
        <v>-0.91208224000000071</v>
      </c>
      <c r="D240" s="21">
        <f t="shared" si="12"/>
        <v>-0.91402264000000077</v>
      </c>
      <c r="E240" s="21">
        <f t="shared" si="12"/>
        <v>-0.91893538000000075</v>
      </c>
      <c r="F240" s="21">
        <f t="shared" si="12"/>
        <v>-0.92776420000000059</v>
      </c>
      <c r="G240" s="21">
        <f t="shared" si="12"/>
        <v>-0.94108240000000054</v>
      </c>
      <c r="H240" s="21">
        <f t="shared" si="12"/>
        <v>-0.9581932000000003</v>
      </c>
      <c r="I240" s="21">
        <f t="shared" si="12"/>
        <v>-0.97812640000000017</v>
      </c>
      <c r="J240" s="21">
        <f t="shared" si="12"/>
        <v>-1</v>
      </c>
    </row>
    <row r="241" spans="1:10" ht="20.100000000000001" customHeight="1" x14ac:dyDescent="0.25">
      <c r="A241" s="20">
        <f t="shared" si="13"/>
        <v>0.96000000000000052</v>
      </c>
      <c r="B241" s="21">
        <f t="shared" si="12"/>
        <v>-0.94080000000000075</v>
      </c>
      <c r="C241" s="21">
        <f t="shared" si="12"/>
        <v>-0.94098944000000073</v>
      </c>
      <c r="D241" s="21">
        <f t="shared" si="12"/>
        <v>-0.94229184000000077</v>
      </c>
      <c r="E241" s="21">
        <f t="shared" si="12"/>
        <v>-0.94558928000000064</v>
      </c>
      <c r="F241" s="21">
        <f t="shared" si="12"/>
        <v>-0.95151520000000067</v>
      </c>
      <c r="G241" s="21">
        <f t="shared" si="12"/>
        <v>-0.96045440000000037</v>
      </c>
      <c r="H241" s="21">
        <f t="shared" si="12"/>
        <v>-0.97193920000000034</v>
      </c>
      <c r="I241" s="21">
        <f t="shared" si="12"/>
        <v>-0.98531840000000015</v>
      </c>
      <c r="J241" s="21">
        <f t="shared" si="12"/>
        <v>-1</v>
      </c>
    </row>
    <row r="242" spans="1:10" ht="20.100000000000001" customHeight="1" x14ac:dyDescent="0.25">
      <c r="A242" s="20">
        <f t="shared" si="13"/>
        <v>0.98000000000000054</v>
      </c>
      <c r="B242" s="21">
        <f t="shared" ref="B242:J243" si="14">-(B171/100)</f>
        <v>-0.97020000000000084</v>
      </c>
      <c r="C242" s="21">
        <f t="shared" si="14"/>
        <v>-0.97029536000000083</v>
      </c>
      <c r="D242" s="21">
        <f t="shared" si="14"/>
        <v>-0.97095096000000081</v>
      </c>
      <c r="E242" s="21">
        <f t="shared" si="14"/>
        <v>-0.97261082000000076</v>
      </c>
      <c r="F242" s="21">
        <f t="shared" si="14"/>
        <v>-0.97559380000000062</v>
      </c>
      <c r="G242" s="21">
        <f t="shared" si="14"/>
        <v>-0.98009360000000056</v>
      </c>
      <c r="H242" s="21">
        <f t="shared" si="14"/>
        <v>-0.98587480000000038</v>
      </c>
      <c r="I242" s="21">
        <f t="shared" si="14"/>
        <v>-0.9926096000000002</v>
      </c>
      <c r="J242" s="21">
        <f t="shared" si="14"/>
        <v>-1</v>
      </c>
    </row>
    <row r="243" spans="1:10" ht="20.100000000000001" customHeight="1" x14ac:dyDescent="0.25">
      <c r="A243" s="20">
        <f t="shared" si="13"/>
        <v>1.0000000000000004</v>
      </c>
      <c r="B243" s="21">
        <f t="shared" si="14"/>
        <v>-1.0000000000000007</v>
      </c>
      <c r="C243" s="21">
        <f t="shared" si="14"/>
        <v>-1.0000000000000007</v>
      </c>
      <c r="D243" s="21">
        <f t="shared" si="14"/>
        <v>-1.0000000000000007</v>
      </c>
      <c r="E243" s="21">
        <f t="shared" si="14"/>
        <v>-1.0000000000000007</v>
      </c>
      <c r="F243" s="21">
        <f t="shared" si="14"/>
        <v>-1.0000000000000007</v>
      </c>
      <c r="G243" s="21">
        <f t="shared" si="14"/>
        <v>-1.0000000000000004</v>
      </c>
      <c r="H243" s="21">
        <f t="shared" si="14"/>
        <v>-1.0000000000000002</v>
      </c>
      <c r="I243" s="21">
        <f t="shared" si="14"/>
        <v>-1.0000000000000002</v>
      </c>
      <c r="J243" s="21">
        <f t="shared" si="14"/>
        <v>-1</v>
      </c>
    </row>
    <row r="245" spans="1:10" ht="20.100000000000001" customHeight="1" x14ac:dyDescent="0.25">
      <c r="A245" s="226" t="s">
        <v>208</v>
      </c>
      <c r="B245" s="226"/>
      <c r="C245" s="226"/>
      <c r="D245" s="226"/>
      <c r="E245" s="226"/>
      <c r="F245" s="226"/>
      <c r="G245" s="226"/>
      <c r="H245" s="226"/>
      <c r="I245" s="226"/>
      <c r="J245" s="226"/>
    </row>
    <row r="246" spans="1:10" ht="20.100000000000001" customHeight="1" x14ac:dyDescent="0.25">
      <c r="A246" s="226"/>
      <c r="B246" s="226"/>
      <c r="C246" s="226"/>
      <c r="D246" s="226"/>
      <c r="E246" s="226"/>
      <c r="F246" s="226"/>
      <c r="G246" s="226"/>
      <c r="H246" s="226"/>
      <c r="I246" s="226"/>
      <c r="J246" s="226"/>
    </row>
    <row r="247" spans="1:10" ht="20.100000000000001" customHeight="1" x14ac:dyDescent="0.25">
      <c r="A247" s="226"/>
      <c r="B247" s="226"/>
      <c r="C247" s="226"/>
      <c r="D247" s="226"/>
      <c r="E247" s="226"/>
      <c r="F247" s="226"/>
      <c r="G247" s="226"/>
      <c r="H247" s="226"/>
      <c r="I247" s="226"/>
      <c r="J247" s="226"/>
    </row>
    <row r="249" spans="1:10" ht="20.100000000000001" customHeight="1" x14ac:dyDescent="0.25">
      <c r="C249"/>
    </row>
    <row r="256" spans="1:10" ht="20.100000000000001" customHeight="1" x14ac:dyDescent="0.25">
      <c r="A256" s="227" t="s">
        <v>202</v>
      </c>
      <c r="B256" s="230" t="s">
        <v>203</v>
      </c>
      <c r="C256" s="230"/>
      <c r="D256" s="230"/>
      <c r="E256" s="230"/>
      <c r="F256" s="230"/>
      <c r="G256" s="230"/>
      <c r="H256" s="230"/>
      <c r="I256" s="230"/>
      <c r="J256" s="230"/>
    </row>
    <row r="257" spans="1:10" ht="20.100000000000001" customHeight="1" x14ac:dyDescent="0.25">
      <c r="A257" s="228"/>
      <c r="B257" s="231" t="s">
        <v>209</v>
      </c>
      <c r="C257" s="231"/>
      <c r="D257" s="231"/>
      <c r="E257" s="231"/>
      <c r="F257" s="231"/>
      <c r="G257" s="231"/>
      <c r="H257" s="231"/>
      <c r="I257" s="231"/>
      <c r="J257" s="231"/>
    </row>
    <row r="258" spans="1:10" ht="20.100000000000001" customHeight="1" x14ac:dyDescent="0.25">
      <c r="A258" s="228"/>
      <c r="B258" s="232" t="s">
        <v>205</v>
      </c>
      <c r="C258" s="232"/>
      <c r="D258" s="232"/>
      <c r="E258" s="232"/>
      <c r="F258" s="232"/>
      <c r="G258" s="232"/>
      <c r="H258" s="232"/>
      <c r="I258" s="232"/>
      <c r="J258" s="232"/>
    </row>
    <row r="259" spans="1:10" ht="20.100000000000001" customHeight="1" x14ac:dyDescent="0.25">
      <c r="A259" s="229"/>
      <c r="B259" s="14" t="str">
        <f t="shared" ref="B259:J259" si="15">B121</f>
        <v>A</v>
      </c>
      <c r="C259" s="14" t="str">
        <f t="shared" si="15"/>
        <v>B</v>
      </c>
      <c r="D259" s="14" t="str">
        <f t="shared" si="15"/>
        <v>C</v>
      </c>
      <c r="E259" s="14" t="str">
        <f t="shared" si="15"/>
        <v>D</v>
      </c>
      <c r="F259" s="14" t="str">
        <f t="shared" si="15"/>
        <v>E</v>
      </c>
      <c r="G259" s="14" t="str">
        <f t="shared" si="15"/>
        <v>F</v>
      </c>
      <c r="H259" s="14" t="str">
        <f t="shared" si="15"/>
        <v>G</v>
      </c>
      <c r="I259" s="14" t="str">
        <f t="shared" si="15"/>
        <v>H</v>
      </c>
      <c r="J259" s="14" t="str">
        <f t="shared" si="15"/>
        <v>I</v>
      </c>
    </row>
    <row r="260" spans="1:10" ht="20.100000000000001" customHeight="1" x14ac:dyDescent="0.25">
      <c r="A260" s="15">
        <v>0</v>
      </c>
      <c r="B260" s="22">
        <f t="shared" ref="B260:B276" si="16">1+B193</f>
        <v>1</v>
      </c>
      <c r="C260" s="22">
        <f t="shared" ref="C260:J260" si="17">1+C193</f>
        <v>0.99680000000000002</v>
      </c>
      <c r="D260" s="22">
        <f t="shared" si="17"/>
        <v>0.9748</v>
      </c>
      <c r="E260" s="22">
        <f t="shared" si="17"/>
        <v>0.91910000000000003</v>
      </c>
      <c r="F260" s="22">
        <f t="shared" si="17"/>
        <v>0.81899999999999995</v>
      </c>
      <c r="G260" s="22">
        <f t="shared" si="17"/>
        <v>0.66799999999999993</v>
      </c>
      <c r="H260" s="22">
        <f t="shared" si="17"/>
        <v>0.47399999999999998</v>
      </c>
      <c r="I260" s="22">
        <f t="shared" si="17"/>
        <v>0.248</v>
      </c>
      <c r="J260" s="22">
        <f t="shared" si="17"/>
        <v>0</v>
      </c>
    </row>
    <row r="261" spans="1:10" ht="20.100000000000001" customHeight="1" x14ac:dyDescent="0.25">
      <c r="A261" s="15">
        <f>A260+0.02</f>
        <v>0.02</v>
      </c>
      <c r="B261" s="22">
        <f t="shared" si="16"/>
        <v>0.98980000000000001</v>
      </c>
      <c r="C261" s="22">
        <f t="shared" ref="C261:J270" si="18">1+C194</f>
        <v>0.98663263999999995</v>
      </c>
      <c r="D261" s="22">
        <f t="shared" si="18"/>
        <v>0.96485704000000005</v>
      </c>
      <c r="E261" s="22">
        <f t="shared" si="18"/>
        <v>0.90972518000000002</v>
      </c>
      <c r="F261" s="22">
        <f t="shared" si="18"/>
        <v>0.81064619999999998</v>
      </c>
      <c r="G261" s="22">
        <f t="shared" si="18"/>
        <v>0.66118639999999984</v>
      </c>
      <c r="H261" s="22">
        <f t="shared" si="18"/>
        <v>0.46916519999999995</v>
      </c>
      <c r="I261" s="22">
        <f t="shared" si="18"/>
        <v>0.24547039999999998</v>
      </c>
      <c r="J261" s="22">
        <f t="shared" si="18"/>
        <v>0</v>
      </c>
    </row>
    <row r="262" spans="1:10" ht="20.100000000000001" customHeight="1" x14ac:dyDescent="0.25">
      <c r="A262" s="15">
        <f t="shared" ref="A262:A310" si="19">A261+0.02</f>
        <v>0.04</v>
      </c>
      <c r="B262" s="22">
        <f t="shared" si="16"/>
        <v>0.97919999999999996</v>
      </c>
      <c r="C262" s="22">
        <f t="shared" si="18"/>
        <v>0.97606656000000003</v>
      </c>
      <c r="D262" s="22">
        <f t="shared" si="18"/>
        <v>0.95452415999999995</v>
      </c>
      <c r="E262" s="22">
        <f t="shared" si="18"/>
        <v>0.89998272000000001</v>
      </c>
      <c r="F262" s="22">
        <f t="shared" si="18"/>
        <v>0.80196480000000003</v>
      </c>
      <c r="G262" s="22">
        <f t="shared" si="18"/>
        <v>0.65410559999999995</v>
      </c>
      <c r="H262" s="22">
        <f t="shared" si="18"/>
        <v>0.46414080000000002</v>
      </c>
      <c r="I262" s="22">
        <f t="shared" si="18"/>
        <v>0.24284159999999999</v>
      </c>
      <c r="J262" s="22">
        <f t="shared" si="18"/>
        <v>0</v>
      </c>
    </row>
    <row r="263" spans="1:10" ht="20.100000000000001" customHeight="1" x14ac:dyDescent="0.25">
      <c r="A263" s="15">
        <f t="shared" si="19"/>
        <v>0.06</v>
      </c>
      <c r="B263" s="22">
        <f t="shared" si="16"/>
        <v>0.96819999999999995</v>
      </c>
      <c r="C263" s="22">
        <f t="shared" si="18"/>
        <v>0.96510176000000003</v>
      </c>
      <c r="D263" s="22">
        <f t="shared" si="18"/>
        <v>0.94380136000000003</v>
      </c>
      <c r="E263" s="22">
        <f t="shared" si="18"/>
        <v>0.88987262</v>
      </c>
      <c r="F263" s="22">
        <f t="shared" si="18"/>
        <v>0.79295579999999999</v>
      </c>
      <c r="G263" s="22">
        <f t="shared" si="18"/>
        <v>0.64675760000000004</v>
      </c>
      <c r="H263" s="22">
        <f t="shared" si="18"/>
        <v>0.45892679999999997</v>
      </c>
      <c r="I263" s="22">
        <f t="shared" si="18"/>
        <v>0.24011359999999993</v>
      </c>
      <c r="J263" s="22">
        <f t="shared" si="18"/>
        <v>0</v>
      </c>
    </row>
    <row r="264" spans="1:10" ht="20.100000000000001" customHeight="1" x14ac:dyDescent="0.25">
      <c r="A264" s="15">
        <f t="shared" si="19"/>
        <v>0.08</v>
      </c>
      <c r="B264" s="22">
        <f t="shared" si="16"/>
        <v>0.95679999999999998</v>
      </c>
      <c r="C264" s="22">
        <f t="shared" si="18"/>
        <v>0.95373823999999996</v>
      </c>
      <c r="D264" s="22">
        <f t="shared" si="18"/>
        <v>0.93268863999999996</v>
      </c>
      <c r="E264" s="22">
        <f t="shared" si="18"/>
        <v>0.87939487999999999</v>
      </c>
      <c r="F264" s="22">
        <f t="shared" si="18"/>
        <v>0.78361919999999996</v>
      </c>
      <c r="G264" s="22">
        <f t="shared" si="18"/>
        <v>0.63914239999999989</v>
      </c>
      <c r="H264" s="22">
        <f t="shared" si="18"/>
        <v>0.4535231999999999</v>
      </c>
      <c r="I264" s="22">
        <f t="shared" si="18"/>
        <v>0.2372863999999999</v>
      </c>
      <c r="J264" s="22">
        <f t="shared" si="18"/>
        <v>0</v>
      </c>
    </row>
    <row r="265" spans="1:10" ht="20.100000000000001" customHeight="1" x14ac:dyDescent="0.25">
      <c r="A265" s="15">
        <f t="shared" si="19"/>
        <v>0.1</v>
      </c>
      <c r="B265" s="22">
        <f t="shared" si="16"/>
        <v>0.94499999999999995</v>
      </c>
      <c r="C265" s="22">
        <f t="shared" si="18"/>
        <v>0.94197600000000004</v>
      </c>
      <c r="D265" s="22">
        <f t="shared" si="18"/>
        <v>0.92118599999999995</v>
      </c>
      <c r="E265" s="22">
        <f t="shared" si="18"/>
        <v>0.86854949999999997</v>
      </c>
      <c r="F265" s="22">
        <f t="shared" si="18"/>
        <v>0.77395499999999995</v>
      </c>
      <c r="G265" s="22">
        <f t="shared" si="18"/>
        <v>0.63125999999999993</v>
      </c>
      <c r="H265" s="22">
        <f t="shared" si="18"/>
        <v>0.44792999999999994</v>
      </c>
      <c r="I265" s="22">
        <f t="shared" si="18"/>
        <v>0.2343599999999999</v>
      </c>
      <c r="J265" s="22">
        <f t="shared" si="18"/>
        <v>0</v>
      </c>
    </row>
    <row r="266" spans="1:10" ht="20.100000000000001" customHeight="1" x14ac:dyDescent="0.25">
      <c r="A266" s="15">
        <f t="shared" si="19"/>
        <v>0.12000000000000001</v>
      </c>
      <c r="B266" s="22">
        <f t="shared" si="16"/>
        <v>0.93279999999999996</v>
      </c>
      <c r="C266" s="22">
        <f t="shared" si="18"/>
        <v>0.92981504000000004</v>
      </c>
      <c r="D266" s="22">
        <f t="shared" si="18"/>
        <v>0.90929344000000001</v>
      </c>
      <c r="E266" s="22">
        <f t="shared" si="18"/>
        <v>0.85733647999999996</v>
      </c>
      <c r="F266" s="22">
        <f t="shared" si="18"/>
        <v>0.76396319999999995</v>
      </c>
      <c r="G266" s="22">
        <f t="shared" si="18"/>
        <v>0.62311040000000006</v>
      </c>
      <c r="H266" s="22">
        <f t="shared" si="18"/>
        <v>0.44214719999999996</v>
      </c>
      <c r="I266" s="22">
        <f t="shared" si="18"/>
        <v>0.23133440000000005</v>
      </c>
      <c r="J266" s="22">
        <f t="shared" si="18"/>
        <v>0</v>
      </c>
    </row>
    <row r="267" spans="1:10" ht="20.100000000000001" customHeight="1" x14ac:dyDescent="0.25">
      <c r="A267" s="15">
        <f t="shared" si="19"/>
        <v>0.14000000000000001</v>
      </c>
      <c r="B267" s="22">
        <f t="shared" si="16"/>
        <v>0.92020000000000002</v>
      </c>
      <c r="C267" s="22">
        <f t="shared" si="18"/>
        <v>0.91725535999999996</v>
      </c>
      <c r="D267" s="22">
        <f t="shared" si="18"/>
        <v>0.89701096000000002</v>
      </c>
      <c r="E267" s="22">
        <f t="shared" si="18"/>
        <v>0.84575581999999994</v>
      </c>
      <c r="F267" s="22">
        <f t="shared" si="18"/>
        <v>0.75364379999999997</v>
      </c>
      <c r="G267" s="22">
        <f t="shared" si="18"/>
        <v>0.61469359999999995</v>
      </c>
      <c r="H267" s="22">
        <f t="shared" si="18"/>
        <v>0.43617479999999997</v>
      </c>
      <c r="I267" s="22">
        <f t="shared" si="18"/>
        <v>0.22820960000000001</v>
      </c>
      <c r="J267" s="22">
        <f t="shared" si="18"/>
        <v>0</v>
      </c>
    </row>
    <row r="268" spans="1:10" ht="20.100000000000001" customHeight="1" x14ac:dyDescent="0.25">
      <c r="A268" s="15">
        <f t="shared" si="19"/>
        <v>0.16</v>
      </c>
      <c r="B268" s="22">
        <f t="shared" si="16"/>
        <v>0.90720000000000001</v>
      </c>
      <c r="C268" s="22">
        <f t="shared" si="18"/>
        <v>0.90429695999999993</v>
      </c>
      <c r="D268" s="22">
        <f t="shared" si="18"/>
        <v>0.88433856</v>
      </c>
      <c r="E268" s="22">
        <f t="shared" si="18"/>
        <v>0.83380751999999991</v>
      </c>
      <c r="F268" s="22">
        <f t="shared" si="18"/>
        <v>0.74299680000000001</v>
      </c>
      <c r="G268" s="22">
        <f t="shared" si="18"/>
        <v>0.60600959999999993</v>
      </c>
      <c r="H268" s="22">
        <f t="shared" si="18"/>
        <v>0.43001279999999997</v>
      </c>
      <c r="I268" s="22">
        <f t="shared" si="18"/>
        <v>0.22498560000000001</v>
      </c>
      <c r="J268" s="22">
        <f t="shared" si="18"/>
        <v>0</v>
      </c>
    </row>
    <row r="269" spans="1:10" ht="20.100000000000001" customHeight="1" x14ac:dyDescent="0.25">
      <c r="A269" s="15">
        <f t="shared" si="19"/>
        <v>0.18</v>
      </c>
      <c r="B269" s="22">
        <f t="shared" si="16"/>
        <v>0.89380000000000004</v>
      </c>
      <c r="C269" s="22">
        <f t="shared" si="18"/>
        <v>0.89093984000000004</v>
      </c>
      <c r="D269" s="22">
        <f t="shared" si="18"/>
        <v>0.87127624000000004</v>
      </c>
      <c r="E269" s="22">
        <f t="shared" si="18"/>
        <v>0.82149158</v>
      </c>
      <c r="F269" s="22">
        <f t="shared" si="18"/>
        <v>0.73202220000000007</v>
      </c>
      <c r="G269" s="22">
        <f t="shared" si="18"/>
        <v>0.5970584000000001</v>
      </c>
      <c r="H269" s="22">
        <f t="shared" si="18"/>
        <v>0.42366120000000007</v>
      </c>
      <c r="I269" s="22">
        <f t="shared" si="18"/>
        <v>0.22166239999999993</v>
      </c>
      <c r="J269" s="22">
        <f t="shared" si="18"/>
        <v>0</v>
      </c>
    </row>
    <row r="270" spans="1:10" ht="20.100000000000001" customHeight="1" x14ac:dyDescent="0.25">
      <c r="A270" s="15">
        <f t="shared" si="19"/>
        <v>0.19999999999999998</v>
      </c>
      <c r="B270" s="22">
        <f t="shared" si="16"/>
        <v>0.88</v>
      </c>
      <c r="C270" s="22">
        <f t="shared" si="18"/>
        <v>0.87718399999999996</v>
      </c>
      <c r="D270" s="22">
        <f t="shared" si="18"/>
        <v>0.85782400000000003</v>
      </c>
      <c r="E270" s="22">
        <f t="shared" si="18"/>
        <v>0.80880799999999997</v>
      </c>
      <c r="F270" s="22">
        <f t="shared" si="18"/>
        <v>0.72072000000000003</v>
      </c>
      <c r="G270" s="22">
        <f t="shared" si="18"/>
        <v>0.58783999999999992</v>
      </c>
      <c r="H270" s="22">
        <f t="shared" si="18"/>
        <v>0.41711999999999994</v>
      </c>
      <c r="I270" s="22">
        <f t="shared" si="18"/>
        <v>0.21823999999999999</v>
      </c>
      <c r="J270" s="22">
        <f t="shared" si="18"/>
        <v>0</v>
      </c>
    </row>
    <row r="271" spans="1:10" ht="20.100000000000001" customHeight="1" x14ac:dyDescent="0.25">
      <c r="A271" s="15">
        <f t="shared" si="19"/>
        <v>0.21999999999999997</v>
      </c>
      <c r="B271" s="22">
        <f t="shared" si="16"/>
        <v>0.86580000000000001</v>
      </c>
      <c r="C271" s="22">
        <f t="shared" ref="C271:J276" si="20">1+C204</f>
        <v>0.86302944000000004</v>
      </c>
      <c r="D271" s="22">
        <f t="shared" si="20"/>
        <v>0.84398183999999998</v>
      </c>
      <c r="E271" s="22">
        <f t="shared" si="20"/>
        <v>0.79575678000000005</v>
      </c>
      <c r="F271" s="22">
        <f t="shared" si="20"/>
        <v>0.7090902</v>
      </c>
      <c r="G271" s="22">
        <f t="shared" si="20"/>
        <v>0.57835440000000005</v>
      </c>
      <c r="H271" s="22">
        <f t="shared" si="20"/>
        <v>0.41038920000000001</v>
      </c>
      <c r="I271" s="22">
        <f t="shared" si="20"/>
        <v>0.21471839999999998</v>
      </c>
      <c r="J271" s="22">
        <f t="shared" si="20"/>
        <v>0</v>
      </c>
    </row>
    <row r="272" spans="1:10" ht="20.100000000000001" customHeight="1" x14ac:dyDescent="0.25">
      <c r="A272" s="15">
        <f t="shared" si="19"/>
        <v>0.23999999999999996</v>
      </c>
      <c r="B272" s="22">
        <f t="shared" si="16"/>
        <v>0.85119999999999996</v>
      </c>
      <c r="C272" s="22">
        <f t="shared" si="20"/>
        <v>0.84847616000000003</v>
      </c>
      <c r="D272" s="22">
        <f t="shared" si="20"/>
        <v>0.82974976</v>
      </c>
      <c r="E272" s="22">
        <f t="shared" si="20"/>
        <v>0.78233792000000002</v>
      </c>
      <c r="F272" s="22">
        <f t="shared" si="20"/>
        <v>0.6971328</v>
      </c>
      <c r="G272" s="22">
        <f t="shared" si="20"/>
        <v>0.56860159999999993</v>
      </c>
      <c r="H272" s="22">
        <f t="shared" si="20"/>
        <v>0.40346879999999996</v>
      </c>
      <c r="I272" s="22">
        <f t="shared" si="20"/>
        <v>0.2110976</v>
      </c>
      <c r="J272" s="22">
        <f t="shared" si="20"/>
        <v>0</v>
      </c>
    </row>
    <row r="273" spans="1:10" ht="20.100000000000001" customHeight="1" x14ac:dyDescent="0.25">
      <c r="A273" s="15">
        <f t="shared" si="19"/>
        <v>0.25999999999999995</v>
      </c>
      <c r="B273" s="22">
        <f t="shared" si="16"/>
        <v>0.83620000000000005</v>
      </c>
      <c r="C273" s="22">
        <f t="shared" si="20"/>
        <v>0.83352416000000007</v>
      </c>
      <c r="D273" s="22">
        <f t="shared" si="20"/>
        <v>0.81512775999999998</v>
      </c>
      <c r="E273" s="22">
        <f t="shared" si="20"/>
        <v>0.76855141999999999</v>
      </c>
      <c r="F273" s="22">
        <f t="shared" si="20"/>
        <v>0.68484780000000001</v>
      </c>
      <c r="G273" s="22">
        <f t="shared" si="20"/>
        <v>0.5585815999999999</v>
      </c>
      <c r="H273" s="22">
        <f t="shared" si="20"/>
        <v>0.39635880000000001</v>
      </c>
      <c r="I273" s="22">
        <f t="shared" si="20"/>
        <v>0.20737759999999994</v>
      </c>
      <c r="J273" s="22">
        <f t="shared" si="20"/>
        <v>0</v>
      </c>
    </row>
    <row r="274" spans="1:10" ht="20.100000000000001" customHeight="1" x14ac:dyDescent="0.25">
      <c r="A274" s="15">
        <f t="shared" si="19"/>
        <v>0.27999999999999997</v>
      </c>
      <c r="B274" s="22">
        <f t="shared" si="16"/>
        <v>0.82079999999999997</v>
      </c>
      <c r="C274" s="22">
        <f t="shared" si="20"/>
        <v>0.81817344000000003</v>
      </c>
      <c r="D274" s="22">
        <f t="shared" si="20"/>
        <v>0.80011584000000002</v>
      </c>
      <c r="E274" s="22">
        <f t="shared" si="20"/>
        <v>0.75439728000000006</v>
      </c>
      <c r="F274" s="22">
        <f t="shared" si="20"/>
        <v>0.67223520000000003</v>
      </c>
      <c r="G274" s="22">
        <f t="shared" si="20"/>
        <v>0.54829440000000007</v>
      </c>
      <c r="H274" s="22">
        <f t="shared" si="20"/>
        <v>0.38905919999999994</v>
      </c>
      <c r="I274" s="22">
        <f t="shared" si="20"/>
        <v>0.20355840000000003</v>
      </c>
      <c r="J274" s="22">
        <f t="shared" si="20"/>
        <v>0</v>
      </c>
    </row>
    <row r="275" spans="1:10" ht="20.100000000000001" customHeight="1" x14ac:dyDescent="0.25">
      <c r="A275" s="15">
        <f t="shared" si="19"/>
        <v>0.3</v>
      </c>
      <c r="B275" s="22">
        <f t="shared" si="16"/>
        <v>0.80499999999999994</v>
      </c>
      <c r="C275" s="22">
        <f t="shared" si="20"/>
        <v>0.80242400000000003</v>
      </c>
      <c r="D275" s="22">
        <f t="shared" si="20"/>
        <v>0.78471400000000002</v>
      </c>
      <c r="E275" s="22">
        <f t="shared" si="20"/>
        <v>0.73987549999999991</v>
      </c>
      <c r="F275" s="22">
        <f t="shared" si="20"/>
        <v>0.65929499999999996</v>
      </c>
      <c r="G275" s="22">
        <f t="shared" si="20"/>
        <v>0.53774</v>
      </c>
      <c r="H275" s="22">
        <f t="shared" si="20"/>
        <v>0.38156999999999996</v>
      </c>
      <c r="I275" s="22">
        <f t="shared" si="20"/>
        <v>0.19964000000000004</v>
      </c>
      <c r="J275" s="22">
        <f t="shared" si="20"/>
        <v>0</v>
      </c>
    </row>
    <row r="276" spans="1:10" ht="20.100000000000001" customHeight="1" x14ac:dyDescent="0.25">
      <c r="A276" s="15">
        <f t="shared" si="19"/>
        <v>0.32</v>
      </c>
      <c r="B276" s="22">
        <f t="shared" si="16"/>
        <v>0.78879999999999995</v>
      </c>
      <c r="C276" s="22">
        <f t="shared" si="20"/>
        <v>0.78627583999999995</v>
      </c>
      <c r="D276" s="22">
        <f t="shared" si="20"/>
        <v>0.76892223999999998</v>
      </c>
      <c r="E276" s="22">
        <f t="shared" si="20"/>
        <v>0.72498607999999998</v>
      </c>
      <c r="F276" s="22">
        <f t="shared" si="20"/>
        <v>0.64602720000000002</v>
      </c>
      <c r="G276" s="22">
        <f t="shared" si="20"/>
        <v>0.52691840000000001</v>
      </c>
      <c r="H276" s="22">
        <f t="shared" si="20"/>
        <v>0.37389120000000009</v>
      </c>
      <c r="I276" s="22">
        <f t="shared" si="20"/>
        <v>0.19562239999999997</v>
      </c>
      <c r="J276" s="22">
        <f t="shared" si="20"/>
        <v>0</v>
      </c>
    </row>
    <row r="277" spans="1:10" ht="20.100000000000001" customHeight="1" x14ac:dyDescent="0.25">
      <c r="A277" s="15">
        <f t="shared" si="19"/>
        <v>0.34</v>
      </c>
      <c r="B277" s="22">
        <f t="shared" ref="B277:J292" si="21">1+B210</f>
        <v>0.7722</v>
      </c>
      <c r="C277" s="22">
        <f t="shared" si="21"/>
        <v>0.76972895999999991</v>
      </c>
      <c r="D277" s="22">
        <f t="shared" si="21"/>
        <v>0.75274055999999989</v>
      </c>
      <c r="E277" s="22">
        <f t="shared" si="21"/>
        <v>0.70972901999999993</v>
      </c>
      <c r="F277" s="22">
        <f t="shared" si="21"/>
        <v>0.63243179999999999</v>
      </c>
      <c r="G277" s="22">
        <f t="shared" si="21"/>
        <v>0.5158296</v>
      </c>
      <c r="H277" s="22">
        <f t="shared" si="21"/>
        <v>0.36602279999999998</v>
      </c>
      <c r="I277" s="22">
        <f t="shared" si="21"/>
        <v>0.19150559999999983</v>
      </c>
      <c r="J277" s="22">
        <f t="shared" si="21"/>
        <v>0</v>
      </c>
    </row>
    <row r="278" spans="1:10" ht="20.100000000000001" customHeight="1" x14ac:dyDescent="0.25">
      <c r="A278" s="15">
        <f t="shared" si="19"/>
        <v>0.36000000000000004</v>
      </c>
      <c r="B278" s="22">
        <f t="shared" si="21"/>
        <v>0.75519999999999998</v>
      </c>
      <c r="C278" s="22">
        <f t="shared" si="21"/>
        <v>0.75278336000000001</v>
      </c>
      <c r="D278" s="22">
        <f t="shared" si="21"/>
        <v>0.73616895999999998</v>
      </c>
      <c r="E278" s="22">
        <f t="shared" si="21"/>
        <v>0.69410432</v>
      </c>
      <c r="F278" s="22">
        <f t="shared" si="21"/>
        <v>0.61850880000000008</v>
      </c>
      <c r="G278" s="22">
        <f t="shared" si="21"/>
        <v>0.50447360000000008</v>
      </c>
      <c r="H278" s="22">
        <f t="shared" si="21"/>
        <v>0.35796479999999997</v>
      </c>
      <c r="I278" s="22">
        <f t="shared" si="21"/>
        <v>0.18728960000000006</v>
      </c>
      <c r="J278" s="22">
        <f t="shared" si="21"/>
        <v>0</v>
      </c>
    </row>
    <row r="279" spans="1:10" ht="20.100000000000001" customHeight="1" x14ac:dyDescent="0.25">
      <c r="A279" s="15">
        <f t="shared" si="19"/>
        <v>0.38000000000000006</v>
      </c>
      <c r="B279" s="22">
        <f t="shared" si="21"/>
        <v>0.73780000000000001</v>
      </c>
      <c r="C279" s="22">
        <f t="shared" si="21"/>
        <v>0.73543903999999993</v>
      </c>
      <c r="D279" s="22">
        <f t="shared" si="21"/>
        <v>0.71920743999999992</v>
      </c>
      <c r="E279" s="22">
        <f t="shared" si="21"/>
        <v>0.67811197999999995</v>
      </c>
      <c r="F279" s="22">
        <f t="shared" si="21"/>
        <v>0.60425819999999997</v>
      </c>
      <c r="G279" s="22">
        <f t="shared" si="21"/>
        <v>0.49285039999999991</v>
      </c>
      <c r="H279" s="22">
        <f t="shared" si="21"/>
        <v>0.34971720000000006</v>
      </c>
      <c r="I279" s="22">
        <f t="shared" si="21"/>
        <v>0.18297439999999998</v>
      </c>
      <c r="J279" s="22">
        <f t="shared" si="21"/>
        <v>0</v>
      </c>
    </row>
    <row r="280" spans="1:10" ht="20.100000000000001" customHeight="1" x14ac:dyDescent="0.25">
      <c r="A280" s="15">
        <f t="shared" si="19"/>
        <v>0.40000000000000008</v>
      </c>
      <c r="B280" s="22">
        <f t="shared" si="21"/>
        <v>0.72</v>
      </c>
      <c r="C280" s="22">
        <f t="shared" si="21"/>
        <v>0.71769599999999989</v>
      </c>
      <c r="D280" s="22">
        <f t="shared" si="21"/>
        <v>0.70185599999999992</v>
      </c>
      <c r="E280" s="22">
        <f t="shared" si="21"/>
        <v>0.6617519999999999</v>
      </c>
      <c r="F280" s="22">
        <f t="shared" si="21"/>
        <v>0.58967999999999987</v>
      </c>
      <c r="G280" s="22">
        <f t="shared" si="21"/>
        <v>0.48095999999999994</v>
      </c>
      <c r="H280" s="22">
        <f t="shared" si="21"/>
        <v>0.34127999999999981</v>
      </c>
      <c r="I280" s="22">
        <f t="shared" si="21"/>
        <v>0.17855999999999994</v>
      </c>
      <c r="J280" s="22">
        <f t="shared" si="21"/>
        <v>0</v>
      </c>
    </row>
    <row r="281" spans="1:10" ht="20.100000000000001" customHeight="1" x14ac:dyDescent="0.25">
      <c r="A281" s="15">
        <f t="shared" si="19"/>
        <v>0.4200000000000001</v>
      </c>
      <c r="B281" s="22">
        <f t="shared" si="21"/>
        <v>0.70179999999999998</v>
      </c>
      <c r="C281" s="22">
        <f t="shared" si="21"/>
        <v>0.69955423999999988</v>
      </c>
      <c r="D281" s="22">
        <f t="shared" si="21"/>
        <v>0.68411464</v>
      </c>
      <c r="E281" s="22">
        <f t="shared" si="21"/>
        <v>0.64502437999999995</v>
      </c>
      <c r="F281" s="22">
        <f t="shared" si="21"/>
        <v>0.57477420000000001</v>
      </c>
      <c r="G281" s="22">
        <f t="shared" si="21"/>
        <v>0.46880239999999984</v>
      </c>
      <c r="H281" s="22">
        <f t="shared" si="21"/>
        <v>0.33265319999999998</v>
      </c>
      <c r="I281" s="22">
        <f t="shared" si="21"/>
        <v>0.17404640000000005</v>
      </c>
      <c r="J281" s="22">
        <f t="shared" si="21"/>
        <v>0</v>
      </c>
    </row>
    <row r="282" spans="1:10" ht="20.100000000000001" customHeight="1" x14ac:dyDescent="0.25">
      <c r="A282" s="15">
        <f t="shared" si="19"/>
        <v>0.44000000000000011</v>
      </c>
      <c r="B282" s="22">
        <f t="shared" si="21"/>
        <v>0.68319999999999992</v>
      </c>
      <c r="C282" s="22">
        <f t="shared" si="21"/>
        <v>0.68101375999999991</v>
      </c>
      <c r="D282" s="22">
        <f t="shared" si="21"/>
        <v>0.66598336000000002</v>
      </c>
      <c r="E282" s="22">
        <f t="shared" si="21"/>
        <v>0.6279291199999999</v>
      </c>
      <c r="F282" s="22">
        <f t="shared" si="21"/>
        <v>0.55954079999999995</v>
      </c>
      <c r="G282" s="22">
        <f t="shared" si="21"/>
        <v>0.45637759999999994</v>
      </c>
      <c r="H282" s="22">
        <f t="shared" si="21"/>
        <v>0.32383680000000004</v>
      </c>
      <c r="I282" s="22">
        <f t="shared" si="21"/>
        <v>0.16943359999999996</v>
      </c>
      <c r="J282" s="22">
        <f t="shared" si="21"/>
        <v>0</v>
      </c>
    </row>
    <row r="283" spans="1:10" ht="20.100000000000001" customHeight="1" x14ac:dyDescent="0.25">
      <c r="A283" s="15">
        <f t="shared" si="19"/>
        <v>0.46000000000000013</v>
      </c>
      <c r="B283" s="22">
        <f t="shared" si="21"/>
        <v>0.6641999999999999</v>
      </c>
      <c r="C283" s="22">
        <f t="shared" si="21"/>
        <v>0.66207455999999987</v>
      </c>
      <c r="D283" s="22">
        <f t="shared" si="21"/>
        <v>0.6474621599999999</v>
      </c>
      <c r="E283" s="22">
        <f t="shared" si="21"/>
        <v>0.61046621999999984</v>
      </c>
      <c r="F283" s="22">
        <f t="shared" si="21"/>
        <v>0.5439797999999999</v>
      </c>
      <c r="G283" s="22">
        <f t="shared" si="21"/>
        <v>0.4436855999999999</v>
      </c>
      <c r="H283" s="22">
        <f t="shared" si="21"/>
        <v>0.31483079999999997</v>
      </c>
      <c r="I283" s="22">
        <f t="shared" si="21"/>
        <v>0.16472159999999991</v>
      </c>
      <c r="J283" s="22">
        <f t="shared" si="21"/>
        <v>0</v>
      </c>
    </row>
    <row r="284" spans="1:10" ht="20.100000000000001" customHeight="1" x14ac:dyDescent="0.25">
      <c r="A284" s="15">
        <f t="shared" si="19"/>
        <v>0.48000000000000015</v>
      </c>
      <c r="B284" s="22">
        <f t="shared" si="21"/>
        <v>0.64479999999999982</v>
      </c>
      <c r="C284" s="22">
        <f t="shared" si="21"/>
        <v>0.64273663999999986</v>
      </c>
      <c r="D284" s="22">
        <f t="shared" si="21"/>
        <v>0.62855103999999984</v>
      </c>
      <c r="E284" s="22">
        <f t="shared" si="21"/>
        <v>0.59263567999999989</v>
      </c>
      <c r="F284" s="22">
        <f t="shared" si="21"/>
        <v>0.52809119999999998</v>
      </c>
      <c r="G284" s="22">
        <f t="shared" si="21"/>
        <v>0.43072639999999995</v>
      </c>
      <c r="H284" s="22">
        <f t="shared" si="21"/>
        <v>0.30563519999999977</v>
      </c>
      <c r="I284" s="22">
        <f t="shared" si="21"/>
        <v>0.15991040000000001</v>
      </c>
      <c r="J284" s="22">
        <f t="shared" si="21"/>
        <v>0</v>
      </c>
    </row>
    <row r="285" spans="1:10" ht="20.100000000000001" customHeight="1" x14ac:dyDescent="0.25">
      <c r="A285" s="15">
        <f t="shared" si="19"/>
        <v>0.50000000000000011</v>
      </c>
      <c r="B285" s="22">
        <f t="shared" si="21"/>
        <v>0.62499999999999978</v>
      </c>
      <c r="C285" s="22">
        <f t="shared" si="21"/>
        <v>0.62299999999999978</v>
      </c>
      <c r="D285" s="22">
        <f t="shared" si="21"/>
        <v>0.60924999999999985</v>
      </c>
      <c r="E285" s="22">
        <f t="shared" si="21"/>
        <v>0.57443749999999993</v>
      </c>
      <c r="F285" s="22">
        <f t="shared" si="21"/>
        <v>0.51187499999999986</v>
      </c>
      <c r="G285" s="22">
        <f t="shared" si="21"/>
        <v>0.41749999999999987</v>
      </c>
      <c r="H285" s="22">
        <f t="shared" si="21"/>
        <v>0.29625000000000001</v>
      </c>
      <c r="I285" s="22">
        <f t="shared" si="21"/>
        <v>0.15500000000000003</v>
      </c>
      <c r="J285" s="22">
        <f t="shared" si="21"/>
        <v>0</v>
      </c>
    </row>
    <row r="286" spans="1:10" ht="20.100000000000001" customHeight="1" x14ac:dyDescent="0.25">
      <c r="A286" s="15">
        <f t="shared" si="19"/>
        <v>0.52000000000000013</v>
      </c>
      <c r="B286" s="22">
        <f t="shared" si="21"/>
        <v>0.60479999999999989</v>
      </c>
      <c r="C286" s="22">
        <f t="shared" si="21"/>
        <v>0.60286463999999995</v>
      </c>
      <c r="D286" s="22">
        <f t="shared" si="21"/>
        <v>0.58955903999999992</v>
      </c>
      <c r="E286" s="22">
        <f t="shared" si="21"/>
        <v>0.55587167999999987</v>
      </c>
      <c r="F286" s="22">
        <f t="shared" si="21"/>
        <v>0.49533119999999986</v>
      </c>
      <c r="G286" s="22">
        <f t="shared" si="21"/>
        <v>0.40400639999999999</v>
      </c>
      <c r="H286" s="22">
        <f t="shared" si="21"/>
        <v>0.28667519999999991</v>
      </c>
      <c r="I286" s="22">
        <f t="shared" si="21"/>
        <v>0.14999039999999997</v>
      </c>
      <c r="J286" s="22">
        <f t="shared" si="21"/>
        <v>0</v>
      </c>
    </row>
    <row r="287" spans="1:10" ht="20.100000000000001" customHeight="1" x14ac:dyDescent="0.25">
      <c r="A287" s="15">
        <f t="shared" si="19"/>
        <v>0.54000000000000015</v>
      </c>
      <c r="B287" s="22">
        <f t="shared" si="21"/>
        <v>0.58419999999999983</v>
      </c>
      <c r="C287" s="22">
        <f t="shared" si="21"/>
        <v>0.58233055999999983</v>
      </c>
      <c r="D287" s="22">
        <f t="shared" si="21"/>
        <v>0.56947815999999984</v>
      </c>
      <c r="E287" s="22">
        <f t="shared" si="21"/>
        <v>0.53693821999999991</v>
      </c>
      <c r="F287" s="22">
        <f t="shared" si="21"/>
        <v>0.47845979999999988</v>
      </c>
      <c r="G287" s="22">
        <f t="shared" si="21"/>
        <v>0.39024559999999986</v>
      </c>
      <c r="H287" s="22">
        <f t="shared" si="21"/>
        <v>0.27691080000000001</v>
      </c>
      <c r="I287" s="22">
        <f t="shared" si="21"/>
        <v>0.14488159999999994</v>
      </c>
      <c r="J287" s="22">
        <f t="shared" si="21"/>
        <v>0</v>
      </c>
    </row>
    <row r="288" spans="1:10" ht="20.100000000000001" customHeight="1" x14ac:dyDescent="0.25">
      <c r="A288" s="15">
        <f t="shared" si="19"/>
        <v>0.56000000000000016</v>
      </c>
      <c r="B288" s="22">
        <f t="shared" si="21"/>
        <v>0.56319999999999981</v>
      </c>
      <c r="C288" s="22">
        <f t="shared" si="21"/>
        <v>0.56139775999999975</v>
      </c>
      <c r="D288" s="22">
        <f t="shared" si="21"/>
        <v>0.54900735999999983</v>
      </c>
      <c r="E288" s="22">
        <f t="shared" si="21"/>
        <v>0.51763711999999984</v>
      </c>
      <c r="F288" s="22">
        <f t="shared" si="21"/>
        <v>0.4612607999999998</v>
      </c>
      <c r="G288" s="22">
        <f t="shared" si="21"/>
        <v>0.37621759999999982</v>
      </c>
      <c r="H288" s="22">
        <f t="shared" si="21"/>
        <v>0.26695679999999977</v>
      </c>
      <c r="I288" s="22">
        <f t="shared" si="21"/>
        <v>0.13967359999999995</v>
      </c>
      <c r="J288" s="22">
        <f t="shared" si="21"/>
        <v>0</v>
      </c>
    </row>
    <row r="289" spans="1:10" ht="20.100000000000001" customHeight="1" x14ac:dyDescent="0.25">
      <c r="A289" s="15">
        <f t="shared" si="19"/>
        <v>0.58000000000000018</v>
      </c>
      <c r="B289" s="22">
        <f t="shared" si="21"/>
        <v>0.54179999999999984</v>
      </c>
      <c r="C289" s="22">
        <f t="shared" si="21"/>
        <v>0.54006623999999981</v>
      </c>
      <c r="D289" s="22">
        <f t="shared" si="21"/>
        <v>0.52814663999999989</v>
      </c>
      <c r="E289" s="22">
        <f t="shared" si="21"/>
        <v>0.49796837999999988</v>
      </c>
      <c r="F289" s="22">
        <f t="shared" si="21"/>
        <v>0.44373419999999986</v>
      </c>
      <c r="G289" s="22">
        <f t="shared" si="21"/>
        <v>0.36192239999999987</v>
      </c>
      <c r="H289" s="22">
        <f t="shared" si="21"/>
        <v>0.25681319999999996</v>
      </c>
      <c r="I289" s="22">
        <f t="shared" si="21"/>
        <v>0.1343664</v>
      </c>
      <c r="J289" s="22">
        <f t="shared" si="21"/>
        <v>0</v>
      </c>
    </row>
    <row r="290" spans="1:10" ht="20.100000000000001" customHeight="1" x14ac:dyDescent="0.25">
      <c r="A290" s="15">
        <f t="shared" si="19"/>
        <v>0.6000000000000002</v>
      </c>
      <c r="B290" s="22">
        <f t="shared" si="21"/>
        <v>0.5199999999999998</v>
      </c>
      <c r="C290" s="22">
        <f t="shared" si="21"/>
        <v>0.51833599999999969</v>
      </c>
      <c r="D290" s="22">
        <f t="shared" si="21"/>
        <v>0.50689599999999979</v>
      </c>
      <c r="E290" s="22">
        <f t="shared" si="21"/>
        <v>0.4779319999999998</v>
      </c>
      <c r="F290" s="22">
        <f t="shared" si="21"/>
        <v>0.42587999999999981</v>
      </c>
      <c r="G290" s="22">
        <f t="shared" si="21"/>
        <v>0.34735999999999989</v>
      </c>
      <c r="H290" s="22">
        <f t="shared" si="21"/>
        <v>0.24647999999999992</v>
      </c>
      <c r="I290" s="22">
        <f t="shared" si="21"/>
        <v>0.12895999999999985</v>
      </c>
      <c r="J290" s="22">
        <f t="shared" si="21"/>
        <v>0</v>
      </c>
    </row>
    <row r="291" spans="1:10" ht="20.100000000000001" customHeight="1" x14ac:dyDescent="0.25">
      <c r="A291" s="15">
        <f t="shared" si="19"/>
        <v>0.62000000000000022</v>
      </c>
      <c r="B291" s="22">
        <f t="shared" si="21"/>
        <v>0.4977999999999998</v>
      </c>
      <c r="C291" s="22">
        <f t="shared" si="21"/>
        <v>0.49620703999999982</v>
      </c>
      <c r="D291" s="22">
        <f t="shared" si="21"/>
        <v>0.48525543999999987</v>
      </c>
      <c r="E291" s="22">
        <f t="shared" si="21"/>
        <v>0.45752797999999983</v>
      </c>
      <c r="F291" s="22">
        <f t="shared" si="21"/>
        <v>0.40769819999999979</v>
      </c>
      <c r="G291" s="22">
        <f t="shared" si="21"/>
        <v>0.33253039999999989</v>
      </c>
      <c r="H291" s="22">
        <f t="shared" si="21"/>
        <v>0.23595719999999987</v>
      </c>
      <c r="I291" s="22">
        <f t="shared" si="21"/>
        <v>0.12345439999999996</v>
      </c>
      <c r="J291" s="22">
        <f t="shared" si="21"/>
        <v>0</v>
      </c>
    </row>
    <row r="292" spans="1:10" ht="20.100000000000001" customHeight="1" x14ac:dyDescent="0.25">
      <c r="A292" s="15">
        <f t="shared" si="19"/>
        <v>0.64000000000000024</v>
      </c>
      <c r="B292" s="22">
        <f t="shared" si="21"/>
        <v>0.47519999999999973</v>
      </c>
      <c r="C292" s="22">
        <f t="shared" si="21"/>
        <v>0.47367935999999977</v>
      </c>
      <c r="D292" s="22">
        <f t="shared" si="21"/>
        <v>0.46322495999999969</v>
      </c>
      <c r="E292" s="22">
        <f t="shared" si="21"/>
        <v>0.43675631999999975</v>
      </c>
      <c r="F292" s="22">
        <f t="shared" si="21"/>
        <v>0.38918879999999978</v>
      </c>
      <c r="G292" s="22">
        <f t="shared" si="21"/>
        <v>0.31743359999999976</v>
      </c>
      <c r="H292" s="22">
        <f t="shared" si="21"/>
        <v>0.2252447999999998</v>
      </c>
      <c r="I292" s="22">
        <f t="shared" si="21"/>
        <v>0.11784959999999989</v>
      </c>
      <c r="J292" s="22">
        <f t="shared" si="21"/>
        <v>0</v>
      </c>
    </row>
    <row r="293" spans="1:10" ht="20.100000000000001" customHeight="1" x14ac:dyDescent="0.25">
      <c r="A293" s="15">
        <f t="shared" si="19"/>
        <v>0.66000000000000025</v>
      </c>
      <c r="B293" s="22">
        <f t="shared" ref="B293:J308" si="22">1+B226</f>
        <v>0.45219999999999971</v>
      </c>
      <c r="C293" s="22">
        <f t="shared" si="22"/>
        <v>0.45075295999999976</v>
      </c>
      <c r="D293" s="22">
        <f t="shared" si="22"/>
        <v>0.44080455999999968</v>
      </c>
      <c r="E293" s="22">
        <f t="shared" si="22"/>
        <v>0.41561701999999978</v>
      </c>
      <c r="F293" s="22">
        <f t="shared" si="22"/>
        <v>0.37035179999999979</v>
      </c>
      <c r="G293" s="22">
        <f t="shared" si="22"/>
        <v>0.30206959999999983</v>
      </c>
      <c r="H293" s="22">
        <f t="shared" si="22"/>
        <v>0.21434279999999983</v>
      </c>
      <c r="I293" s="22">
        <f t="shared" si="22"/>
        <v>0.11214559999999996</v>
      </c>
      <c r="J293" s="22">
        <f t="shared" si="22"/>
        <v>0</v>
      </c>
    </row>
    <row r="294" spans="1:10" ht="20.100000000000001" customHeight="1" x14ac:dyDescent="0.25">
      <c r="A294" s="15">
        <f t="shared" si="19"/>
        <v>0.68000000000000027</v>
      </c>
      <c r="B294" s="22">
        <f t="shared" si="22"/>
        <v>0.42879999999999963</v>
      </c>
      <c r="C294" s="22">
        <f t="shared" si="22"/>
        <v>0.42742783999999956</v>
      </c>
      <c r="D294" s="22">
        <f t="shared" si="22"/>
        <v>0.41799423999999963</v>
      </c>
      <c r="E294" s="22">
        <f t="shared" si="22"/>
        <v>0.3941100799999997</v>
      </c>
      <c r="F294" s="22">
        <f t="shared" si="22"/>
        <v>0.3511871999999997</v>
      </c>
      <c r="G294" s="22">
        <f t="shared" si="22"/>
        <v>0.28643839999999965</v>
      </c>
      <c r="H294" s="22">
        <f t="shared" si="22"/>
        <v>0.20325119999999985</v>
      </c>
      <c r="I294" s="22">
        <f t="shared" si="22"/>
        <v>0.10634239999999973</v>
      </c>
      <c r="J294" s="22">
        <f t="shared" si="22"/>
        <v>0</v>
      </c>
    </row>
    <row r="295" spans="1:10" ht="20.100000000000001" customHeight="1" x14ac:dyDescent="0.25">
      <c r="A295" s="15">
        <f t="shared" si="19"/>
        <v>0.70000000000000029</v>
      </c>
      <c r="B295" s="22">
        <f t="shared" si="22"/>
        <v>0.40499999999999969</v>
      </c>
      <c r="C295" s="22">
        <f t="shared" si="22"/>
        <v>0.40370399999999973</v>
      </c>
      <c r="D295" s="22">
        <f t="shared" si="22"/>
        <v>0.39479399999999965</v>
      </c>
      <c r="E295" s="22">
        <f t="shared" si="22"/>
        <v>0.37223549999999972</v>
      </c>
      <c r="F295" s="22">
        <f t="shared" si="22"/>
        <v>0.33169499999999974</v>
      </c>
      <c r="G295" s="22">
        <f t="shared" si="22"/>
        <v>0.27053999999999978</v>
      </c>
      <c r="H295" s="22">
        <f t="shared" si="22"/>
        <v>0.19196999999999986</v>
      </c>
      <c r="I295" s="22">
        <f t="shared" si="22"/>
        <v>0.10043999999999986</v>
      </c>
      <c r="J295" s="22">
        <f t="shared" si="22"/>
        <v>0</v>
      </c>
    </row>
    <row r="296" spans="1:10" ht="20.100000000000001" customHeight="1" x14ac:dyDescent="0.25">
      <c r="A296" s="15">
        <f t="shared" si="19"/>
        <v>0.72000000000000031</v>
      </c>
      <c r="B296" s="22">
        <f t="shared" si="22"/>
        <v>0.38079999999999958</v>
      </c>
      <c r="C296" s="22">
        <f t="shared" si="22"/>
        <v>0.37958143999999949</v>
      </c>
      <c r="D296" s="22">
        <f t="shared" si="22"/>
        <v>0.37120383999999962</v>
      </c>
      <c r="E296" s="22">
        <f t="shared" si="22"/>
        <v>0.34999327999999963</v>
      </c>
      <c r="F296" s="22">
        <f t="shared" si="22"/>
        <v>0.31187519999999969</v>
      </c>
      <c r="G296" s="22">
        <f t="shared" si="22"/>
        <v>0.25437439999999967</v>
      </c>
      <c r="H296" s="22">
        <f t="shared" si="22"/>
        <v>0.18049919999999986</v>
      </c>
      <c r="I296" s="22">
        <f t="shared" si="22"/>
        <v>9.4438399999999922E-2</v>
      </c>
      <c r="J296" s="22">
        <f t="shared" si="22"/>
        <v>0</v>
      </c>
    </row>
    <row r="297" spans="1:10" ht="20.100000000000001" customHeight="1" x14ac:dyDescent="0.25">
      <c r="A297" s="15">
        <f t="shared" si="19"/>
        <v>0.74000000000000032</v>
      </c>
      <c r="B297" s="22">
        <f t="shared" si="22"/>
        <v>0.35619999999999963</v>
      </c>
      <c r="C297" s="22">
        <f t="shared" si="22"/>
        <v>0.35506015999999962</v>
      </c>
      <c r="D297" s="22">
        <f t="shared" si="22"/>
        <v>0.34722375999999966</v>
      </c>
      <c r="E297" s="22">
        <f t="shared" si="22"/>
        <v>0.32738341999999965</v>
      </c>
      <c r="F297" s="22">
        <f t="shared" si="22"/>
        <v>0.29172779999999965</v>
      </c>
      <c r="G297" s="22">
        <f t="shared" si="22"/>
        <v>0.23794159999999975</v>
      </c>
      <c r="H297" s="22">
        <f t="shared" si="22"/>
        <v>0.16883879999999973</v>
      </c>
      <c r="I297" s="22">
        <f t="shared" si="22"/>
        <v>8.8337599999999794E-2</v>
      </c>
      <c r="J297" s="22">
        <f t="shared" si="22"/>
        <v>0</v>
      </c>
    </row>
    <row r="298" spans="1:10" ht="20.100000000000001" customHeight="1" x14ac:dyDescent="0.25">
      <c r="A298" s="15">
        <f t="shared" si="19"/>
        <v>0.76000000000000034</v>
      </c>
      <c r="B298" s="22">
        <f t="shared" si="22"/>
        <v>0.33119999999999949</v>
      </c>
      <c r="C298" s="22">
        <f t="shared" si="22"/>
        <v>0.33014015999999946</v>
      </c>
      <c r="D298" s="22">
        <f t="shared" si="22"/>
        <v>0.32285375999999943</v>
      </c>
      <c r="E298" s="22">
        <f t="shared" si="22"/>
        <v>0.30440591999999955</v>
      </c>
      <c r="F298" s="22">
        <f t="shared" si="22"/>
        <v>0.27125279999999963</v>
      </c>
      <c r="G298" s="22">
        <f t="shared" si="22"/>
        <v>0.22124159999999959</v>
      </c>
      <c r="H298" s="22">
        <f t="shared" si="22"/>
        <v>0.15698879999999971</v>
      </c>
      <c r="I298" s="22">
        <f t="shared" si="22"/>
        <v>8.2137599999999811E-2</v>
      </c>
      <c r="J298" s="22">
        <f t="shared" si="22"/>
        <v>0</v>
      </c>
    </row>
    <row r="299" spans="1:10" ht="20.100000000000001" customHeight="1" x14ac:dyDescent="0.25">
      <c r="A299" s="15">
        <f t="shared" si="19"/>
        <v>0.78000000000000036</v>
      </c>
      <c r="B299" s="22">
        <f t="shared" si="22"/>
        <v>0.30579999999999952</v>
      </c>
      <c r="C299" s="22">
        <f t="shared" si="22"/>
        <v>0.30482143999999967</v>
      </c>
      <c r="D299" s="22">
        <f t="shared" si="22"/>
        <v>0.2980938399999995</v>
      </c>
      <c r="E299" s="22">
        <f t="shared" si="22"/>
        <v>0.28106077999999957</v>
      </c>
      <c r="F299" s="22">
        <f t="shared" si="22"/>
        <v>0.25045019999999962</v>
      </c>
      <c r="G299" s="22">
        <f t="shared" si="22"/>
        <v>0.20427439999999963</v>
      </c>
      <c r="H299" s="22">
        <f t="shared" si="22"/>
        <v>0.14494919999999978</v>
      </c>
      <c r="I299" s="22">
        <f t="shared" si="22"/>
        <v>7.5838399999999861E-2</v>
      </c>
      <c r="J299" s="22">
        <f t="shared" si="22"/>
        <v>0</v>
      </c>
    </row>
    <row r="300" spans="1:10" ht="20.100000000000001" customHeight="1" x14ac:dyDescent="0.25">
      <c r="A300" s="15">
        <f t="shared" si="19"/>
        <v>0.80000000000000038</v>
      </c>
      <c r="B300" s="22">
        <f t="shared" si="22"/>
        <v>0.27999999999999958</v>
      </c>
      <c r="C300" s="22">
        <f t="shared" si="22"/>
        <v>0.27910399999999957</v>
      </c>
      <c r="D300" s="22">
        <f t="shared" si="22"/>
        <v>0.27294399999999952</v>
      </c>
      <c r="E300" s="22">
        <f t="shared" si="22"/>
        <v>0.25734799999999969</v>
      </c>
      <c r="F300" s="22">
        <f t="shared" si="22"/>
        <v>0.22931999999999964</v>
      </c>
      <c r="G300" s="22">
        <f t="shared" si="22"/>
        <v>0.18703999999999965</v>
      </c>
      <c r="H300" s="22">
        <f t="shared" si="22"/>
        <v>0.13271999999999973</v>
      </c>
      <c r="I300" s="22">
        <f t="shared" si="22"/>
        <v>6.9439999999999835E-2</v>
      </c>
      <c r="J300" s="22">
        <f t="shared" si="22"/>
        <v>0</v>
      </c>
    </row>
    <row r="301" spans="1:10" ht="20.100000000000001" customHeight="1" x14ac:dyDescent="0.25">
      <c r="A301" s="15">
        <f t="shared" si="19"/>
        <v>0.8200000000000004</v>
      </c>
      <c r="B301" s="22">
        <f t="shared" si="22"/>
        <v>0.25379999999999958</v>
      </c>
      <c r="C301" s="22">
        <f t="shared" si="22"/>
        <v>0.25298783999999952</v>
      </c>
      <c r="D301" s="22">
        <f t="shared" si="22"/>
        <v>0.2474042399999995</v>
      </c>
      <c r="E301" s="22">
        <f t="shared" si="22"/>
        <v>0.23326757999999959</v>
      </c>
      <c r="F301" s="22">
        <f t="shared" si="22"/>
        <v>0.20786219999999955</v>
      </c>
      <c r="G301" s="22">
        <f t="shared" si="22"/>
        <v>0.16953839999999976</v>
      </c>
      <c r="H301" s="22">
        <f t="shared" si="22"/>
        <v>0.12030119999999977</v>
      </c>
      <c r="I301" s="22">
        <f t="shared" si="22"/>
        <v>6.2942399999999843E-2</v>
      </c>
      <c r="J301" s="22">
        <f t="shared" si="22"/>
        <v>0</v>
      </c>
    </row>
    <row r="302" spans="1:10" ht="20.100000000000001" customHeight="1" x14ac:dyDescent="0.25">
      <c r="A302" s="15">
        <f t="shared" si="19"/>
        <v>0.84000000000000041</v>
      </c>
      <c r="B302" s="22">
        <f t="shared" si="22"/>
        <v>0.2271999999999994</v>
      </c>
      <c r="C302" s="22">
        <f t="shared" si="22"/>
        <v>0.22647295999999939</v>
      </c>
      <c r="D302" s="22">
        <f t="shared" si="22"/>
        <v>0.22147455999999943</v>
      </c>
      <c r="E302" s="22">
        <f t="shared" si="22"/>
        <v>0.20881951999999937</v>
      </c>
      <c r="F302" s="22">
        <f t="shared" si="22"/>
        <v>0.1860767999999996</v>
      </c>
      <c r="G302" s="22">
        <f t="shared" si="22"/>
        <v>0.15176959999999962</v>
      </c>
      <c r="H302" s="22">
        <f t="shared" si="22"/>
        <v>0.10769279999999981</v>
      </c>
      <c r="I302" s="22">
        <f t="shared" si="22"/>
        <v>5.6345599999999774E-2</v>
      </c>
      <c r="J302" s="22">
        <f t="shared" si="22"/>
        <v>0</v>
      </c>
    </row>
    <row r="303" spans="1:10" ht="20.100000000000001" customHeight="1" x14ac:dyDescent="0.25">
      <c r="A303" s="15">
        <f t="shared" si="19"/>
        <v>0.86000000000000043</v>
      </c>
      <c r="B303" s="22">
        <f t="shared" si="22"/>
        <v>0.20019999999999949</v>
      </c>
      <c r="C303" s="22">
        <f t="shared" si="22"/>
        <v>0.19955935999999952</v>
      </c>
      <c r="D303" s="22">
        <f t="shared" si="22"/>
        <v>0.19515495999999954</v>
      </c>
      <c r="E303" s="22">
        <f t="shared" si="22"/>
        <v>0.18400381999999949</v>
      </c>
      <c r="F303" s="22">
        <f t="shared" si="22"/>
        <v>0.16396379999999966</v>
      </c>
      <c r="G303" s="22">
        <f t="shared" si="22"/>
        <v>0.13373359999999967</v>
      </c>
      <c r="H303" s="22">
        <f t="shared" si="22"/>
        <v>9.4894799999999724E-2</v>
      </c>
      <c r="I303" s="22">
        <f t="shared" si="22"/>
        <v>4.964959999999996E-2</v>
      </c>
      <c r="J303" s="22">
        <f t="shared" si="22"/>
        <v>0</v>
      </c>
    </row>
    <row r="304" spans="1:10" ht="20.100000000000001" customHeight="1" x14ac:dyDescent="0.25">
      <c r="A304" s="15">
        <f t="shared" si="19"/>
        <v>0.88000000000000045</v>
      </c>
      <c r="B304" s="22">
        <f t="shared" si="22"/>
        <v>0.1727999999999994</v>
      </c>
      <c r="C304" s="22">
        <f t="shared" si="22"/>
        <v>0.17224703999999946</v>
      </c>
      <c r="D304" s="22">
        <f t="shared" si="22"/>
        <v>0.16844543999999939</v>
      </c>
      <c r="E304" s="22">
        <f t="shared" si="22"/>
        <v>0.1588204799999996</v>
      </c>
      <c r="F304" s="22">
        <f t="shared" si="22"/>
        <v>0.14152319999999963</v>
      </c>
      <c r="G304" s="22">
        <f t="shared" si="22"/>
        <v>0.1154303999999996</v>
      </c>
      <c r="H304" s="22">
        <f t="shared" si="22"/>
        <v>8.1907199999999736E-2</v>
      </c>
      <c r="I304" s="22">
        <f t="shared" si="22"/>
        <v>4.2854399999999959E-2</v>
      </c>
      <c r="J304" s="22">
        <f t="shared" si="22"/>
        <v>0</v>
      </c>
    </row>
    <row r="305" spans="1:10" ht="20.100000000000001" customHeight="1" x14ac:dyDescent="0.25">
      <c r="A305" s="15">
        <f t="shared" si="19"/>
        <v>0.90000000000000047</v>
      </c>
      <c r="B305" s="22">
        <f t="shared" si="22"/>
        <v>0.14499999999999924</v>
      </c>
      <c r="C305" s="22">
        <f t="shared" si="22"/>
        <v>0.14453599999999922</v>
      </c>
      <c r="D305" s="22">
        <f t="shared" si="22"/>
        <v>0.14134599999999931</v>
      </c>
      <c r="E305" s="22">
        <f t="shared" si="22"/>
        <v>0.13326949999999937</v>
      </c>
      <c r="F305" s="22">
        <f t="shared" si="22"/>
        <v>0.1187549999999995</v>
      </c>
      <c r="G305" s="22">
        <f t="shared" si="22"/>
        <v>9.6859999999999502E-2</v>
      </c>
      <c r="H305" s="22">
        <f t="shared" si="22"/>
        <v>6.8729999999999625E-2</v>
      </c>
      <c r="I305" s="22">
        <f t="shared" si="22"/>
        <v>3.595999999999977E-2</v>
      </c>
      <c r="J305" s="22">
        <f t="shared" si="22"/>
        <v>0</v>
      </c>
    </row>
    <row r="306" spans="1:10" ht="20.100000000000001" customHeight="1" x14ac:dyDescent="0.25">
      <c r="A306" s="15">
        <f t="shared" si="19"/>
        <v>0.92000000000000048</v>
      </c>
      <c r="B306" s="22">
        <f t="shared" si="22"/>
        <v>0.11679999999999935</v>
      </c>
      <c r="C306" s="22">
        <f t="shared" si="22"/>
        <v>0.11642623999999946</v>
      </c>
      <c r="D306" s="22">
        <f t="shared" si="22"/>
        <v>0.1138566399999994</v>
      </c>
      <c r="E306" s="22">
        <f t="shared" si="22"/>
        <v>0.10735087999999948</v>
      </c>
      <c r="F306" s="22">
        <f t="shared" si="22"/>
        <v>9.56591999999995E-2</v>
      </c>
      <c r="G306" s="22">
        <f t="shared" si="22"/>
        <v>7.8022399999999603E-2</v>
      </c>
      <c r="H306" s="22">
        <f t="shared" si="22"/>
        <v>5.5363199999999724E-2</v>
      </c>
      <c r="I306" s="22">
        <f t="shared" si="22"/>
        <v>2.8966399999999948E-2</v>
      </c>
      <c r="J306" s="22">
        <f t="shared" si="22"/>
        <v>0</v>
      </c>
    </row>
    <row r="307" spans="1:10" ht="20.100000000000001" customHeight="1" x14ac:dyDescent="0.25">
      <c r="A307" s="15">
        <f t="shared" si="19"/>
        <v>0.9400000000000005</v>
      </c>
      <c r="B307" s="22">
        <f t="shared" si="22"/>
        <v>8.8199999999999168E-2</v>
      </c>
      <c r="C307" s="22">
        <f t="shared" si="22"/>
        <v>8.791775999999929E-2</v>
      </c>
      <c r="D307" s="22">
        <f t="shared" si="22"/>
        <v>8.5977359999999226E-2</v>
      </c>
      <c r="E307" s="22">
        <f t="shared" si="22"/>
        <v>8.1064619999999254E-2</v>
      </c>
      <c r="F307" s="22">
        <f t="shared" si="22"/>
        <v>7.2235799999999406E-2</v>
      </c>
      <c r="G307" s="22">
        <f t="shared" si="22"/>
        <v>5.8917599999999459E-2</v>
      </c>
      <c r="H307" s="22">
        <f t="shared" si="22"/>
        <v>4.18067999999997E-2</v>
      </c>
      <c r="I307" s="22">
        <f t="shared" si="22"/>
        <v>2.1873599999999827E-2</v>
      </c>
      <c r="J307" s="22">
        <f t="shared" si="22"/>
        <v>0</v>
      </c>
    </row>
    <row r="308" spans="1:10" ht="20.100000000000001" customHeight="1" x14ac:dyDescent="0.25">
      <c r="A308" s="15">
        <f t="shared" si="19"/>
        <v>0.96000000000000052</v>
      </c>
      <c r="B308" s="22">
        <f t="shared" si="22"/>
        <v>5.9199999999999253E-2</v>
      </c>
      <c r="C308" s="22">
        <f t="shared" si="22"/>
        <v>5.9010559999999268E-2</v>
      </c>
      <c r="D308" s="22">
        <f t="shared" si="22"/>
        <v>5.7708159999999231E-2</v>
      </c>
      <c r="E308" s="22">
        <f t="shared" si="22"/>
        <v>5.4410719999999357E-2</v>
      </c>
      <c r="F308" s="22">
        <f t="shared" si="22"/>
        <v>4.8484799999999328E-2</v>
      </c>
      <c r="G308" s="22">
        <f t="shared" si="22"/>
        <v>3.9545599999999625E-2</v>
      </c>
      <c r="H308" s="22">
        <f t="shared" si="22"/>
        <v>2.8060799999999664E-2</v>
      </c>
      <c r="I308" s="22">
        <f t="shared" si="22"/>
        <v>1.468159999999985E-2</v>
      </c>
      <c r="J308" s="22">
        <f t="shared" si="22"/>
        <v>0</v>
      </c>
    </row>
    <row r="309" spans="1:10" ht="20.100000000000001" customHeight="1" x14ac:dyDescent="0.25">
      <c r="A309" s="15">
        <f t="shared" si="19"/>
        <v>0.98000000000000054</v>
      </c>
      <c r="B309" s="22">
        <f t="shared" ref="B309:J310" si="23">1+B242</f>
        <v>2.979999999999916E-2</v>
      </c>
      <c r="C309" s="22">
        <f t="shared" si="23"/>
        <v>2.9704639999999172E-2</v>
      </c>
      <c r="D309" s="22">
        <f t="shared" si="23"/>
        <v>2.9049039999999193E-2</v>
      </c>
      <c r="E309" s="22">
        <f t="shared" si="23"/>
        <v>2.7389179999999236E-2</v>
      </c>
      <c r="F309" s="22">
        <f t="shared" si="23"/>
        <v>2.4406199999999378E-2</v>
      </c>
      <c r="G309" s="22">
        <f t="shared" si="23"/>
        <v>1.9906399999999436E-2</v>
      </c>
      <c r="H309" s="22">
        <f t="shared" si="23"/>
        <v>1.4125199999999616E-2</v>
      </c>
      <c r="I309" s="22">
        <f t="shared" si="23"/>
        <v>7.3903999999997971E-3</v>
      </c>
      <c r="J309" s="22">
        <f t="shared" si="23"/>
        <v>0</v>
      </c>
    </row>
    <row r="310" spans="1:10" ht="20.100000000000001" customHeight="1" x14ac:dyDescent="0.25">
      <c r="A310" s="15">
        <f t="shared" si="19"/>
        <v>1.0000000000000004</v>
      </c>
      <c r="B310" s="22">
        <f t="shared" si="23"/>
        <v>0</v>
      </c>
      <c r="C310" s="22">
        <f t="shared" si="23"/>
        <v>0</v>
      </c>
      <c r="D310" s="22">
        <f t="shared" si="23"/>
        <v>0</v>
      </c>
      <c r="E310" s="22">
        <f t="shared" si="23"/>
        <v>0</v>
      </c>
      <c r="F310" s="22">
        <f t="shared" si="23"/>
        <v>0</v>
      </c>
      <c r="G310" s="22">
        <f t="shared" si="23"/>
        <v>0</v>
      </c>
      <c r="H310" s="22">
        <f t="shared" si="23"/>
        <v>0</v>
      </c>
      <c r="I310" s="22">
        <f t="shared" si="23"/>
        <v>0</v>
      </c>
      <c r="J310" s="22">
        <f t="shared" si="23"/>
        <v>0</v>
      </c>
    </row>
    <row r="312" spans="1:10" ht="20.100000000000001" customHeight="1" x14ac:dyDescent="0.25">
      <c r="A312" s="226" t="s">
        <v>210</v>
      </c>
      <c r="B312" s="226"/>
      <c r="C312" s="226"/>
      <c r="D312" s="226"/>
      <c r="E312" s="226"/>
      <c r="F312" s="226"/>
      <c r="G312" s="226"/>
      <c r="H312" s="226"/>
      <c r="I312" s="226"/>
      <c r="J312" s="226"/>
    </row>
    <row r="313" spans="1:10" ht="20.100000000000001" customHeight="1" x14ac:dyDescent="0.25">
      <c r="A313" s="226"/>
      <c r="B313" s="226"/>
      <c r="C313" s="226"/>
      <c r="D313" s="226"/>
      <c r="E313" s="226"/>
      <c r="F313" s="226"/>
      <c r="G313" s="226"/>
      <c r="H313" s="226"/>
      <c r="I313" s="226"/>
      <c r="J313" s="226"/>
    </row>
    <row r="315" spans="1:10" ht="20.100000000000001" customHeight="1" x14ac:dyDescent="0.25">
      <c r="C315"/>
    </row>
    <row r="322" spans="1:21" ht="20.100000000000001" customHeight="1" x14ac:dyDescent="0.25">
      <c r="A322" s="226" t="s">
        <v>65</v>
      </c>
      <c r="B322" s="226"/>
      <c r="C322" s="226"/>
      <c r="D322" s="226"/>
      <c r="E322" s="226"/>
      <c r="F322" s="226"/>
      <c r="G322" s="226"/>
      <c r="H322" s="226"/>
      <c r="I322" s="226"/>
      <c r="J322" s="226"/>
    </row>
    <row r="323" spans="1:21" ht="20.100000000000001" customHeight="1" x14ac:dyDescent="0.25">
      <c r="A323" s="226" t="s">
        <v>66</v>
      </c>
      <c r="B323" s="226"/>
      <c r="C323" s="226"/>
      <c r="D323" s="226"/>
      <c r="E323" s="226"/>
      <c r="F323" s="226"/>
      <c r="G323" s="226"/>
      <c r="H323" s="226"/>
      <c r="I323" s="226"/>
      <c r="J323" s="226"/>
      <c r="K323" s="4"/>
      <c r="L323" s="4"/>
      <c r="M323" s="4"/>
      <c r="N323" s="4"/>
      <c r="O323" s="4"/>
      <c r="P323" s="4"/>
      <c r="Q323" s="4"/>
      <c r="R323" s="4"/>
    </row>
    <row r="324" spans="1:21" ht="39.950000000000003" customHeight="1" x14ac:dyDescent="0.25">
      <c r="A324" s="226" t="s">
        <v>88</v>
      </c>
      <c r="B324" s="226"/>
      <c r="C324" s="226"/>
      <c r="D324" s="226"/>
      <c r="E324" s="226"/>
      <c r="F324" s="226"/>
      <c r="G324" s="226"/>
      <c r="H324" s="226"/>
      <c r="I324" s="226"/>
      <c r="J324" s="226"/>
    </row>
    <row r="325" spans="1:21" ht="20.100000000000001" customHeight="1" x14ac:dyDescent="0.25">
      <c r="A325" s="226" t="s">
        <v>211</v>
      </c>
      <c r="B325" s="226"/>
      <c r="C325" s="226"/>
      <c r="D325" s="226"/>
      <c r="E325" s="226"/>
      <c r="F325" s="226"/>
      <c r="G325" s="226"/>
      <c r="H325" s="226"/>
      <c r="I325" s="226"/>
      <c r="J325" s="226"/>
    </row>
    <row r="326" spans="1:21" ht="20.100000000000001" customHeight="1" x14ac:dyDescent="0.25">
      <c r="A326" s="226" t="s">
        <v>212</v>
      </c>
      <c r="B326" s="226"/>
      <c r="C326" s="226"/>
      <c r="D326" s="226"/>
      <c r="E326" s="226"/>
      <c r="F326" s="226"/>
      <c r="G326" s="226"/>
      <c r="H326" s="226"/>
      <c r="I326" s="226"/>
      <c r="J326" s="226"/>
    </row>
    <row r="327" spans="1:21" ht="39.950000000000003" customHeight="1" x14ac:dyDescent="0.25">
      <c r="A327" s="226" t="s">
        <v>213</v>
      </c>
      <c r="B327" s="226"/>
      <c r="C327" s="226"/>
      <c r="D327" s="226"/>
      <c r="E327" s="226"/>
      <c r="F327" s="226"/>
      <c r="G327" s="226"/>
      <c r="H327" s="226"/>
      <c r="I327" s="226"/>
      <c r="J327" s="226"/>
    </row>
    <row r="328" spans="1:21" ht="39.950000000000003" customHeight="1" x14ac:dyDescent="0.25">
      <c r="A328" s="226" t="s">
        <v>214</v>
      </c>
      <c r="B328" s="226"/>
      <c r="C328" s="226"/>
      <c r="D328" s="226"/>
      <c r="E328" s="226"/>
      <c r="F328" s="226"/>
      <c r="G328" s="226"/>
      <c r="H328" s="226"/>
      <c r="I328" s="226"/>
      <c r="J328" s="226"/>
    </row>
    <row r="329" spans="1:21" ht="20.100000000000001" customHeight="1" x14ac:dyDescent="0.25">
      <c r="A329" s="226" t="s">
        <v>215</v>
      </c>
      <c r="B329" s="226"/>
      <c r="C329" s="226"/>
      <c r="D329" s="226"/>
      <c r="E329" s="226"/>
      <c r="F329" s="226"/>
      <c r="G329" s="226"/>
      <c r="H329" s="226"/>
      <c r="I329" s="226"/>
      <c r="J329" s="226"/>
    </row>
    <row r="330" spans="1:21" ht="20.100000000000001" customHeight="1" x14ac:dyDescent="0.25">
      <c r="A330" s="226" t="s">
        <v>89</v>
      </c>
      <c r="B330" s="226"/>
      <c r="C330" s="226"/>
      <c r="D330" s="226"/>
      <c r="E330" s="226"/>
      <c r="F330" s="226"/>
      <c r="G330" s="226"/>
      <c r="H330" s="226"/>
      <c r="I330" s="226"/>
      <c r="J330" s="226"/>
    </row>
    <row r="331" spans="1:21" ht="39.950000000000003" customHeight="1" x14ac:dyDescent="0.25">
      <c r="A331" s="226" t="s">
        <v>216</v>
      </c>
      <c r="B331" s="226"/>
      <c r="C331" s="226"/>
      <c r="D331" s="226"/>
      <c r="E331" s="226"/>
      <c r="F331" s="226"/>
      <c r="G331" s="226"/>
      <c r="H331" s="226"/>
      <c r="I331" s="226"/>
      <c r="J331" s="226"/>
    </row>
    <row r="332" spans="1:21" ht="39.950000000000003" customHeight="1" x14ac:dyDescent="0.25">
      <c r="A332" s="226" t="s">
        <v>217</v>
      </c>
      <c r="B332" s="226"/>
      <c r="C332" s="226"/>
      <c r="D332" s="226"/>
      <c r="E332" s="226"/>
      <c r="F332" s="226"/>
      <c r="G332" s="226"/>
      <c r="H332" s="226"/>
      <c r="I332" s="226"/>
      <c r="J332" s="226"/>
    </row>
    <row r="333" spans="1:21" ht="39.950000000000003" customHeight="1" x14ac:dyDescent="0.25">
      <c r="A333" s="226" t="s">
        <v>91</v>
      </c>
      <c r="B333" s="226"/>
      <c r="C333" s="226"/>
      <c r="D333" s="226"/>
      <c r="E333" s="226"/>
      <c r="F333" s="226"/>
      <c r="G333" s="226"/>
      <c r="H333" s="226"/>
      <c r="I333" s="226"/>
      <c r="J333" s="226"/>
    </row>
    <row r="334" spans="1:21" ht="39.950000000000003" customHeight="1" x14ac:dyDescent="0.25">
      <c r="A334" s="226" t="s">
        <v>218</v>
      </c>
      <c r="B334" s="226"/>
      <c r="C334" s="226"/>
      <c r="D334" s="226"/>
      <c r="E334" s="226"/>
      <c r="F334" s="226"/>
      <c r="G334" s="226"/>
      <c r="H334" s="226"/>
      <c r="I334" s="226"/>
      <c r="J334" s="226"/>
      <c r="L334" s="7"/>
      <c r="M334" s="7"/>
      <c r="N334" s="7"/>
      <c r="O334" s="7"/>
      <c r="P334" s="7"/>
      <c r="Q334" s="7"/>
      <c r="R334" s="7"/>
      <c r="S334" s="7"/>
      <c r="T334" s="7"/>
      <c r="U334" s="7"/>
    </row>
    <row r="335" spans="1:21" ht="39.950000000000003" customHeight="1" x14ac:dyDescent="0.25">
      <c r="A335" s="226" t="s">
        <v>90</v>
      </c>
      <c r="B335" s="226"/>
      <c r="C335" s="226"/>
      <c r="D335" s="226"/>
      <c r="E335" s="226"/>
      <c r="F335" s="226"/>
      <c r="G335" s="226"/>
      <c r="H335" s="226"/>
      <c r="I335" s="226"/>
      <c r="J335" s="226"/>
      <c r="L335" s="7"/>
      <c r="M335" s="7"/>
      <c r="N335" s="7"/>
      <c r="O335" s="7"/>
      <c r="P335" s="7"/>
      <c r="Q335" s="7"/>
      <c r="R335" s="7"/>
      <c r="S335" s="7"/>
      <c r="T335" s="7"/>
      <c r="U335" s="7"/>
    </row>
    <row r="336" spans="1:21" ht="39.950000000000003" customHeight="1" x14ac:dyDescent="0.25">
      <c r="A336" s="226" t="s">
        <v>219</v>
      </c>
      <c r="B336" s="226"/>
      <c r="C336" s="226"/>
      <c r="D336" s="226"/>
      <c r="E336" s="226"/>
      <c r="F336" s="226"/>
      <c r="G336" s="226"/>
      <c r="H336" s="226"/>
      <c r="I336" s="226"/>
      <c r="J336" s="226"/>
      <c r="L336" s="7"/>
      <c r="M336" s="7"/>
      <c r="N336" s="7"/>
      <c r="O336" s="7"/>
      <c r="P336" s="7"/>
      <c r="Q336" s="7"/>
      <c r="R336" s="7"/>
      <c r="S336" s="7"/>
      <c r="T336" s="7"/>
      <c r="U336" s="7"/>
    </row>
    <row r="337" spans="1:10" ht="20.100000000000001" customHeight="1" x14ac:dyDescent="0.25">
      <c r="A337" s="226" t="s">
        <v>220</v>
      </c>
      <c r="B337" s="226"/>
      <c r="C337" s="226"/>
      <c r="D337" s="226"/>
      <c r="E337" s="226"/>
      <c r="F337" s="226"/>
      <c r="G337" s="226"/>
      <c r="H337" s="226"/>
      <c r="I337" s="226"/>
      <c r="J337" s="226"/>
    </row>
    <row r="338" spans="1:10" ht="20.100000000000001" customHeight="1" x14ac:dyDescent="0.25">
      <c r="A338" s="226" t="s">
        <v>221</v>
      </c>
      <c r="B338" s="226"/>
      <c r="C338" s="226"/>
      <c r="D338" s="226"/>
      <c r="E338" s="226"/>
      <c r="F338" s="226"/>
      <c r="G338" s="226"/>
      <c r="H338" s="226"/>
      <c r="I338" s="226"/>
      <c r="J338" s="226"/>
    </row>
    <row r="339" spans="1:10" ht="39.950000000000003" customHeight="1" x14ac:dyDescent="0.25">
      <c r="A339" s="226" t="s">
        <v>222</v>
      </c>
      <c r="B339" s="226"/>
      <c r="C339" s="226"/>
      <c r="D339" s="226"/>
      <c r="E339" s="226"/>
      <c r="F339" s="226"/>
      <c r="G339" s="226"/>
      <c r="H339" s="226"/>
      <c r="I339" s="226"/>
      <c r="J339" s="226"/>
    </row>
    <row r="340" spans="1:10" ht="20.100000000000001" customHeight="1" x14ac:dyDescent="0.25">
      <c r="A340" s="226" t="s">
        <v>223</v>
      </c>
      <c r="B340" s="226"/>
      <c r="C340" s="226"/>
      <c r="D340" s="226"/>
      <c r="E340" s="226"/>
      <c r="F340" s="226"/>
      <c r="G340" s="226"/>
      <c r="H340" s="226"/>
      <c r="I340" s="226"/>
      <c r="J340" s="226"/>
    </row>
    <row r="341" spans="1:10" ht="20.100000000000001" customHeight="1" x14ac:dyDescent="0.25">
      <c r="A341" s="226"/>
      <c r="B341" s="226"/>
      <c r="C341" s="226"/>
      <c r="D341" s="226"/>
      <c r="E341" s="226"/>
      <c r="F341" s="226"/>
      <c r="G341" s="226"/>
      <c r="H341" s="226"/>
      <c r="I341" s="226"/>
      <c r="J341" s="226"/>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TERRENO E BENFEITORIAS</vt:lpstr>
      <vt:lpstr>VANTAGEM DA COISA FEITA</vt:lpstr>
      <vt:lpstr>DEPRECIAÇÃO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2025-10-23T23:38:31Z</dcterms:modified>
</cp:coreProperties>
</file>