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1767BC6245DFF04E/Documentos/Projetos/FATORES - PLANILHAS/URBANAS/II/"/>
    </mc:Choice>
  </mc:AlternateContent>
  <xr:revisionPtr revIDLastSave="666" documentId="8_{F564095A-09E3-4C90-ABEE-469C1B914B2F}" xr6:coauthVersionLast="47" xr6:coauthVersionMax="47" xr10:uidLastSave="{DB30E8D4-D5A7-4290-9A98-4A9AC859E15C}"/>
  <bookViews>
    <workbookView xWindow="-28920" yWindow="-120" windowWidth="29040" windowHeight="15720" tabRatio="901" xr2:uid="{C3A22E73-4D52-4DA0-A647-BA53DE8F5818}"/>
  </bookViews>
  <sheets>
    <sheet name="TERRENO E BENFEITORIAS" sheetId="4" r:id="rId1"/>
    <sheet name="VANTAGEM DA COISA FEITA" sheetId="26" r:id="rId2"/>
    <sheet name="DEPRECIAÇÃO" sheetId="27" r:id="rId3"/>
    <sheet name="LAUDO DE VISTORIA" sheetId="24" r:id="rId4"/>
  </sheets>
  <definedNames>
    <definedName name="_xlnm._FilterDatabase" localSheetId="0" hidden="1">'TERRENO E BENFEITORIAS'!$B$24:$R$29</definedName>
    <definedName name="_xlnm.Print_Area" localSheetId="3">'LAUDO DE VISTORIA'!$A$1:$AM$143</definedName>
    <definedName name="_xlnm.Print_Area" localSheetId="0">'TERRENO E BENFEITORIAS'!$A$1:$R$391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3" i="4" l="1"/>
  <c r="N163" i="4"/>
  <c r="M163" i="4"/>
  <c r="L163" i="4"/>
  <c r="K163" i="4"/>
  <c r="J163" i="4"/>
  <c r="I163" i="4"/>
  <c r="O162" i="4"/>
  <c r="N162" i="4"/>
  <c r="M162" i="4"/>
  <c r="L162" i="4"/>
  <c r="K162" i="4"/>
  <c r="J162" i="4"/>
  <c r="I162" i="4"/>
  <c r="O161" i="4"/>
  <c r="N161" i="4"/>
  <c r="M161" i="4"/>
  <c r="L161" i="4"/>
  <c r="K161" i="4"/>
  <c r="J161" i="4"/>
  <c r="I161" i="4"/>
  <c r="O160" i="4"/>
  <c r="N160" i="4"/>
  <c r="M160" i="4"/>
  <c r="L160" i="4"/>
  <c r="K160" i="4"/>
  <c r="J160" i="4"/>
  <c r="I160" i="4"/>
  <c r="O159" i="4"/>
  <c r="N159" i="4"/>
  <c r="M159" i="4"/>
  <c r="L159" i="4"/>
  <c r="K159" i="4"/>
  <c r="J159" i="4"/>
  <c r="I159" i="4"/>
  <c r="M139" i="4"/>
  <c r="J152" i="4" s="1"/>
  <c r="M140" i="4"/>
  <c r="K152" i="4" s="1"/>
  <c r="M141" i="4"/>
  <c r="L152" i="4" s="1"/>
  <c r="M142" i="4"/>
  <c r="M152" i="4" s="1"/>
  <c r="M143" i="4"/>
  <c r="N152" i="4" s="1"/>
  <c r="M144" i="4"/>
  <c r="O152" i="4" s="1"/>
  <c r="M138" i="4"/>
  <c r="I152" i="4" s="1"/>
  <c r="G252" i="4"/>
  <c r="G253" i="4"/>
  <c r="G254" i="4"/>
  <c r="G255" i="4"/>
  <c r="G251" i="4"/>
  <c r="G181" i="4"/>
  <c r="G182" i="4"/>
  <c r="G183" i="4"/>
  <c r="G184" i="4"/>
  <c r="G180" i="4"/>
  <c r="G215" i="4"/>
  <c r="G216" i="4"/>
  <c r="G217" i="4"/>
  <c r="G218" i="4"/>
  <c r="G214" i="4"/>
  <c r="P162" i="4" l="1"/>
  <c r="F169" i="4" s="1"/>
  <c r="P161" i="4"/>
  <c r="F168" i="4" s="1"/>
  <c r="J55" i="4"/>
  <c r="J54" i="4"/>
  <c r="H26" i="4"/>
  <c r="H27" i="4"/>
  <c r="N26" i="4"/>
  <c r="N27" i="4"/>
  <c r="M372" i="4"/>
  <c r="K369" i="4"/>
  <c r="M362" i="4" s="1"/>
  <c r="Q367" i="4"/>
  <c r="Q366" i="4"/>
  <c r="Q365" i="4"/>
  <c r="Q364" i="4"/>
  <c r="Q363" i="4"/>
  <c r="Q362" i="4"/>
  <c r="Q361" i="4"/>
  <c r="Q360" i="4"/>
  <c r="Q359" i="4"/>
  <c r="Q358" i="4"/>
  <c r="Q357" i="4"/>
  <c r="Q356" i="4"/>
  <c r="Q355" i="4"/>
  <c r="Q354" i="4"/>
  <c r="Q353" i="4"/>
  <c r="P26" i="4" l="1"/>
  <c r="B54" i="4" s="1"/>
  <c r="P27" i="4"/>
  <c r="B55" i="4" s="1"/>
  <c r="M367" i="4"/>
  <c r="M366" i="4"/>
  <c r="M365" i="4"/>
  <c r="M364" i="4"/>
  <c r="M363" i="4"/>
  <c r="M353" i="4"/>
  <c r="M361" i="4"/>
  <c r="M360" i="4"/>
  <c r="M356" i="4"/>
  <c r="M359" i="4"/>
  <c r="M358" i="4"/>
  <c r="M357" i="4"/>
  <c r="M355" i="4"/>
  <c r="M354" i="4"/>
  <c r="Q369" i="4"/>
  <c r="M371" i="4" l="1"/>
  <c r="M373" i="4" s="1"/>
  <c r="L409" i="4" s="1"/>
  <c r="W417" i="4" l="1"/>
  <c r="K418" i="4" l="1"/>
  <c r="W418" i="4" s="1"/>
  <c r="W419" i="4" s="1" a="1"/>
  <c r="W419" i="4" s="1"/>
  <c r="L424" i="4" s="1"/>
  <c r="F402" i="4"/>
  <c r="F401" i="4"/>
  <c r="Z392" i="4"/>
  <c r="E380" i="4"/>
  <c r="A261" i="27"/>
  <c r="A262" i="27" s="1"/>
  <c r="A263" i="27" s="1"/>
  <c r="A264" i="27" s="1"/>
  <c r="A265" i="27" s="1"/>
  <c r="A266" i="27" s="1"/>
  <c r="A267" i="27" s="1"/>
  <c r="A268" i="27" s="1"/>
  <c r="A269" i="27" s="1"/>
  <c r="A270" i="27" s="1"/>
  <c r="A271" i="27" s="1"/>
  <c r="A272" i="27" s="1"/>
  <c r="A273" i="27" s="1"/>
  <c r="A274" i="27" s="1"/>
  <c r="A275" i="27" s="1"/>
  <c r="A276" i="27" s="1"/>
  <c r="A277" i="27" s="1"/>
  <c r="A278" i="27" s="1"/>
  <c r="A279" i="27" s="1"/>
  <c r="A280" i="27" s="1"/>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A306" i="27" s="1"/>
  <c r="A307" i="27" s="1"/>
  <c r="A308" i="27" s="1"/>
  <c r="A309" i="27" s="1"/>
  <c r="A310" i="27" s="1"/>
  <c r="J259" i="27"/>
  <c r="I259" i="27"/>
  <c r="H259" i="27"/>
  <c r="G259" i="27"/>
  <c r="F259" i="27"/>
  <c r="E259" i="27"/>
  <c r="D259" i="27"/>
  <c r="C259" i="27"/>
  <c r="B259" i="27"/>
  <c r="J193" i="27"/>
  <c r="J260" i="27" s="1"/>
  <c r="I193" i="27"/>
  <c r="I260" i="27" s="1"/>
  <c r="H193" i="27"/>
  <c r="H260" i="27" s="1"/>
  <c r="G193" i="27"/>
  <c r="G260" i="27" s="1"/>
  <c r="F193" i="27"/>
  <c r="F260" i="27" s="1"/>
  <c r="E193" i="27"/>
  <c r="E260" i="27" s="1"/>
  <c r="D193" i="27"/>
  <c r="D260" i="27" s="1"/>
  <c r="C193" i="27"/>
  <c r="C260" i="27" s="1"/>
  <c r="B193" i="27"/>
  <c r="B260" i="27" s="1"/>
  <c r="A193" i="27"/>
  <c r="J192" i="27"/>
  <c r="I192" i="27"/>
  <c r="H192" i="27"/>
  <c r="G192" i="27"/>
  <c r="F192" i="27"/>
  <c r="E192" i="27"/>
  <c r="D192" i="27"/>
  <c r="C192" i="27"/>
  <c r="B192" i="27"/>
  <c r="A192" i="27"/>
  <c r="J191" i="27"/>
  <c r="I191" i="27"/>
  <c r="H191" i="27"/>
  <c r="G191" i="27"/>
  <c r="F191" i="27"/>
  <c r="E191" i="27"/>
  <c r="D191" i="27"/>
  <c r="C191" i="27"/>
  <c r="B191" i="27"/>
  <c r="A191" i="27"/>
  <c r="J190" i="27"/>
  <c r="I190" i="27"/>
  <c r="H190" i="27"/>
  <c r="G190" i="27"/>
  <c r="F190" i="27"/>
  <c r="E190" i="27"/>
  <c r="D190" i="27"/>
  <c r="C190" i="27"/>
  <c r="A190" i="27"/>
  <c r="J189" i="27"/>
  <c r="I189" i="27"/>
  <c r="H189" i="27"/>
  <c r="G189" i="27"/>
  <c r="F189" i="27"/>
  <c r="E189" i="27"/>
  <c r="D189" i="27"/>
  <c r="C189" i="27"/>
  <c r="B189" i="27"/>
  <c r="A189" i="27"/>
  <c r="A123" i="27"/>
  <c r="B123" i="27" s="1"/>
  <c r="J123" i="27" s="1"/>
  <c r="J194" i="27" s="1"/>
  <c r="J261" i="27" s="1"/>
  <c r="AN81" i="26"/>
  <c r="AQ80" i="26"/>
  <c r="AP80" i="26"/>
  <c r="AN78" i="26"/>
  <c r="AQ77" i="26"/>
  <c r="AN76" i="26"/>
  <c r="AN74" i="26"/>
  <c r="AQ73" i="26"/>
  <c r="AP73" i="26"/>
  <c r="AN73" i="26"/>
  <c r="AN71" i="26"/>
  <c r="AQ70" i="26"/>
  <c r="AP70" i="26"/>
  <c r="AN70" i="26"/>
  <c r="AN69" i="26"/>
  <c r="AN68" i="26"/>
  <c r="AQ66" i="26"/>
  <c r="AP66" i="26"/>
  <c r="AQ65" i="26"/>
  <c r="AN64" i="26"/>
  <c r="AQ63" i="26"/>
  <c r="AP63" i="26"/>
  <c r="AO63" i="26"/>
  <c r="AN63" i="26"/>
  <c r="AN62" i="26"/>
  <c r="AN61" i="26"/>
  <c r="AQ60" i="26"/>
  <c r="AP60" i="26"/>
  <c r="AQ59" i="26"/>
  <c r="AP59" i="26"/>
  <c r="AN59" i="26"/>
  <c r="AN58" i="26"/>
  <c r="AN57" i="26"/>
  <c r="AQ56" i="26"/>
  <c r="AP56" i="26"/>
  <c r="AN56" i="26"/>
  <c r="AN54" i="26"/>
  <c r="AQ53" i="26"/>
  <c r="AP53" i="26"/>
  <c r="AN51" i="26"/>
  <c r="AN50" i="26"/>
  <c r="AP49" i="26"/>
  <c r="AN47" i="26"/>
  <c r="AP46" i="26"/>
  <c r="AN44" i="26"/>
  <c r="AM44" i="26"/>
  <c r="AM45" i="26" s="1"/>
  <c r="AM46" i="26" s="1"/>
  <c r="AM47" i="26" s="1"/>
  <c r="AM48" i="26" s="1"/>
  <c r="AM49" i="26" s="1"/>
  <c r="AM50" i="26" s="1"/>
  <c r="AM51" i="26" s="1"/>
  <c r="AM52" i="26" s="1"/>
  <c r="AM53" i="26" s="1"/>
  <c r="AM54" i="26" s="1"/>
  <c r="AM55" i="26" s="1"/>
  <c r="AM56" i="26" s="1"/>
  <c r="AM57" i="26" s="1"/>
  <c r="AM58" i="26" s="1"/>
  <c r="AM59" i="26" s="1"/>
  <c r="AM60" i="26" s="1"/>
  <c r="AM61" i="26" s="1"/>
  <c r="AM62" i="26" s="1"/>
  <c r="AM63" i="26" s="1"/>
  <c r="AM64" i="26" s="1"/>
  <c r="AM65" i="26" s="1"/>
  <c r="AM66" i="26" s="1"/>
  <c r="AM67" i="26" s="1"/>
  <c r="AM68" i="26" s="1"/>
  <c r="AM69" i="26" s="1"/>
  <c r="AM70" i="26" s="1"/>
  <c r="AM71" i="26" s="1"/>
  <c r="AM72" i="26" s="1"/>
  <c r="AM73" i="26" s="1"/>
  <c r="AM74" i="26" s="1"/>
  <c r="AM75" i="26" s="1"/>
  <c r="AM76" i="26" s="1"/>
  <c r="AM77" i="26" s="1"/>
  <c r="AM78" i="26" s="1"/>
  <c r="AM79" i="26" s="1"/>
  <c r="AM80" i="26" s="1"/>
  <c r="AM81" i="26" s="1"/>
  <c r="AQ42" i="26"/>
  <c r="BB41" i="26"/>
  <c r="AQ41" i="26" s="1"/>
  <c r="AZ41" i="26"/>
  <c r="AP41" i="26" s="1"/>
  <c r="AX41" i="26"/>
  <c r="AV41" i="26"/>
  <c r="AO41" i="26"/>
  <c r="AN41" i="26"/>
  <c r="AN52" i="26" s="1"/>
  <c r="AM41" i="26"/>
  <c r="AM42" i="26" s="1"/>
  <c r="AM43" i="26" s="1"/>
  <c r="BB40" i="26"/>
  <c r="AQ40" i="26" s="1"/>
  <c r="AZ40" i="26"/>
  <c r="AX40" i="26"/>
  <c r="AO40" i="26" s="1"/>
  <c r="AV40" i="26"/>
  <c r="AN40" i="26" s="1"/>
  <c r="AP40" i="26"/>
  <c r="AM40" i="26"/>
  <c r="BB39" i="26"/>
  <c r="AQ39" i="26" s="1"/>
  <c r="AZ39" i="26"/>
  <c r="AP39" i="26" s="1"/>
  <c r="AX39" i="26"/>
  <c r="AO39" i="26" s="1"/>
  <c r="AV39" i="26"/>
  <c r="AN39" i="26" s="1"/>
  <c r="AM39" i="26"/>
  <c r="BB38" i="26"/>
  <c r="AZ38" i="26"/>
  <c r="AX38" i="26"/>
  <c r="AV38" i="26"/>
  <c r="AN38" i="26" s="1"/>
  <c r="AQ38" i="26"/>
  <c r="AP38" i="26"/>
  <c r="AO38" i="26"/>
  <c r="AM38" i="26"/>
  <c r="BB37" i="26"/>
  <c r="AQ37" i="26" s="1"/>
  <c r="AZ37" i="26"/>
  <c r="AP37" i="26" s="1"/>
  <c r="AX37" i="26"/>
  <c r="AV37" i="26"/>
  <c r="AO37" i="26"/>
  <c r="AN37" i="26"/>
  <c r="AM37" i="26"/>
  <c r="BB36" i="26"/>
  <c r="AQ36" i="26" s="1"/>
  <c r="AZ36" i="26"/>
  <c r="AP36" i="26" s="1"/>
  <c r="AX36" i="26"/>
  <c r="AO36" i="26" s="1"/>
  <c r="AV36" i="26"/>
  <c r="AN36" i="26" s="1"/>
  <c r="AM36" i="26"/>
  <c r="BB35" i="26"/>
  <c r="AZ35" i="26"/>
  <c r="AX35" i="26"/>
  <c r="AV35" i="26"/>
  <c r="AN35" i="26" s="1"/>
  <c r="AQ35" i="26"/>
  <c r="AP35" i="26"/>
  <c r="AO35" i="26"/>
  <c r="AM35" i="26"/>
  <c r="BB34" i="26"/>
  <c r="AZ34" i="26"/>
  <c r="AX34" i="26"/>
  <c r="AV34" i="26"/>
  <c r="AQ34" i="26"/>
  <c r="AP34" i="26"/>
  <c r="AO34" i="26"/>
  <c r="AN34" i="26"/>
  <c r="AM34" i="26"/>
  <c r="BB33" i="26"/>
  <c r="AQ33" i="26" s="1"/>
  <c r="AZ33" i="26"/>
  <c r="AP33" i="26" s="1"/>
  <c r="AX33" i="26"/>
  <c r="AO33" i="26" s="1"/>
  <c r="AV33" i="26"/>
  <c r="AN33" i="26"/>
  <c r="AM33" i="26"/>
  <c r="BB32" i="26"/>
  <c r="AQ32" i="26" s="1"/>
  <c r="AZ32" i="26"/>
  <c r="AP32" i="26" s="1"/>
  <c r="AX32" i="26"/>
  <c r="AO32" i="26" s="1"/>
  <c r="AW32" i="26"/>
  <c r="AY32" i="26" s="1"/>
  <c r="BA32" i="26" s="1"/>
  <c r="AV32" i="26"/>
  <c r="AN32" i="26"/>
  <c r="AM32" i="26"/>
  <c r="BB31" i="26"/>
  <c r="AZ31" i="26"/>
  <c r="AX31" i="26"/>
  <c r="AO31" i="26" s="1"/>
  <c r="AV31" i="26"/>
  <c r="AN31" i="26" s="1"/>
  <c r="AQ31" i="26"/>
  <c r="AP31" i="26"/>
  <c r="AM31" i="26"/>
  <c r="BB30" i="26"/>
  <c r="AQ30" i="26" s="1"/>
  <c r="AZ30" i="26"/>
  <c r="AP30" i="26" s="1"/>
  <c r="AX30" i="26"/>
  <c r="AO30" i="26" s="1"/>
  <c r="AV30" i="26"/>
  <c r="AN30" i="26" s="1"/>
  <c r="AM30" i="26"/>
  <c r="BB29" i="26"/>
  <c r="AZ29" i="26"/>
  <c r="AX29" i="26"/>
  <c r="AV29" i="26"/>
  <c r="AN29" i="26" s="1"/>
  <c r="AQ29" i="26"/>
  <c r="AP29" i="26"/>
  <c r="AO29" i="26"/>
  <c r="AM29" i="26"/>
  <c r="BB28" i="26"/>
  <c r="AQ28" i="26" s="1"/>
  <c r="AZ28" i="26"/>
  <c r="AP28" i="26" s="1"/>
  <c r="AX28" i="26"/>
  <c r="AV28" i="26"/>
  <c r="AO28" i="26"/>
  <c r="AN28" i="26"/>
  <c r="AM28" i="26"/>
  <c r="BB27" i="26"/>
  <c r="AQ27" i="26" s="1"/>
  <c r="AZ27" i="26"/>
  <c r="AP27" i="26" s="1"/>
  <c r="AX27" i="26"/>
  <c r="AO27" i="26" s="1"/>
  <c r="AV27" i="26"/>
  <c r="AN27" i="26" s="1"/>
  <c r="AM27" i="26"/>
  <c r="BB26" i="26"/>
  <c r="AZ26" i="26"/>
  <c r="AP26" i="26" s="1"/>
  <c r="AX26" i="26"/>
  <c r="AO26" i="26" s="1"/>
  <c r="AV26" i="26"/>
  <c r="AQ26" i="26"/>
  <c r="AN26" i="26"/>
  <c r="AM26" i="26"/>
  <c r="BB25" i="26"/>
  <c r="AZ25" i="26"/>
  <c r="AX25" i="26"/>
  <c r="AV25" i="26"/>
  <c r="AQ25" i="26"/>
  <c r="AP25" i="26"/>
  <c r="AO25" i="26"/>
  <c r="AN25" i="26"/>
  <c r="AM25" i="26"/>
  <c r="BB24" i="26"/>
  <c r="AQ24" i="26" s="1"/>
  <c r="AZ24" i="26"/>
  <c r="AP24" i="26" s="1"/>
  <c r="AX24" i="26"/>
  <c r="AV24" i="26"/>
  <c r="AO24" i="26"/>
  <c r="AN24" i="26"/>
  <c r="AM24" i="26"/>
  <c r="BB23" i="26"/>
  <c r="AQ23" i="26" s="1"/>
  <c r="AZ23" i="26"/>
  <c r="AP23" i="26" s="1"/>
  <c r="AX23" i="26"/>
  <c r="AO23" i="26" s="1"/>
  <c r="AV23" i="26"/>
  <c r="AN23" i="26" s="1"/>
  <c r="AM23" i="26"/>
  <c r="BB22" i="26"/>
  <c r="AZ22" i="26"/>
  <c r="AX22" i="26"/>
  <c r="AV22" i="26"/>
  <c r="AQ22" i="26"/>
  <c r="AP22" i="26"/>
  <c r="AO22" i="26"/>
  <c r="AN22" i="26"/>
  <c r="AM22" i="26"/>
  <c r="BB21" i="26"/>
  <c r="AZ21" i="26"/>
  <c r="AX21" i="26"/>
  <c r="AV21" i="26"/>
  <c r="AQ21" i="26"/>
  <c r="AP21" i="26"/>
  <c r="AO21" i="26"/>
  <c r="AN21" i="26"/>
  <c r="AM21" i="26"/>
  <c r="BB20" i="26"/>
  <c r="AQ20" i="26" s="1"/>
  <c r="AZ20" i="26"/>
  <c r="AP20" i="26" s="1"/>
  <c r="AX20" i="26"/>
  <c r="AO20" i="26" s="1"/>
  <c r="AV20" i="26"/>
  <c r="AN20" i="26"/>
  <c r="AM20" i="26"/>
  <c r="BB19" i="26"/>
  <c r="AZ19" i="26"/>
  <c r="AX19" i="26"/>
  <c r="AO19" i="26" s="1"/>
  <c r="AV19" i="26"/>
  <c r="AN19" i="26" s="1"/>
  <c r="AQ19" i="26"/>
  <c r="AP19" i="26"/>
  <c r="AM19" i="26"/>
  <c r="BB18" i="26"/>
  <c r="AQ18" i="26" s="1"/>
  <c r="AZ18" i="26"/>
  <c r="AP18" i="26" s="1"/>
  <c r="AX18" i="26"/>
  <c r="AO18" i="26" s="1"/>
  <c r="AV18" i="26"/>
  <c r="AN18" i="26" s="1"/>
  <c r="AM18" i="26"/>
  <c r="BB17" i="26"/>
  <c r="AZ17" i="26"/>
  <c r="AX17" i="26"/>
  <c r="AV17" i="26"/>
  <c r="AN17" i="26" s="1"/>
  <c r="AQ17" i="26"/>
  <c r="AP17" i="26"/>
  <c r="AO17" i="26"/>
  <c r="AM17" i="26"/>
  <c r="BB16" i="26"/>
  <c r="AQ16" i="26" s="1"/>
  <c r="AZ16" i="26"/>
  <c r="AP16" i="26" s="1"/>
  <c r="AX16" i="26"/>
  <c r="AV16" i="26"/>
  <c r="AO16" i="26"/>
  <c r="AN16" i="26"/>
  <c r="AM16" i="26"/>
  <c r="BB15" i="26"/>
  <c r="AQ15" i="26" s="1"/>
  <c r="AZ15" i="26"/>
  <c r="AP15" i="26" s="1"/>
  <c r="AX15" i="26"/>
  <c r="AO15" i="26" s="1"/>
  <c r="AV15" i="26"/>
  <c r="AN15" i="26" s="1"/>
  <c r="AM15" i="26"/>
  <c r="BB14" i="26"/>
  <c r="AZ14" i="26"/>
  <c r="AP14" i="26" s="1"/>
  <c r="AX14" i="26"/>
  <c r="AO14" i="26" s="1"/>
  <c r="AV14" i="26"/>
  <c r="AQ14" i="26"/>
  <c r="AN14" i="26"/>
  <c r="AM14" i="26"/>
  <c r="BB13" i="26"/>
  <c r="AZ13" i="26"/>
  <c r="AX13" i="26"/>
  <c r="AV13" i="26"/>
  <c r="AQ13" i="26"/>
  <c r="AP13" i="26"/>
  <c r="AO13" i="26"/>
  <c r="AN13" i="26"/>
  <c r="AM13" i="26"/>
  <c r="BB12" i="26"/>
  <c r="AQ12" i="26" s="1"/>
  <c r="AZ12" i="26"/>
  <c r="AP12" i="26" s="1"/>
  <c r="AX12" i="26"/>
  <c r="AV12" i="26"/>
  <c r="AO12" i="26"/>
  <c r="AN12" i="26"/>
  <c r="AM12" i="26"/>
  <c r="M146" i="4"/>
  <c r="C123" i="27" l="1"/>
  <c r="C194" i="27" s="1"/>
  <c r="C261" i="27" s="1"/>
  <c r="A194" i="27"/>
  <c r="I404" i="4"/>
  <c r="I405" i="4" s="1"/>
  <c r="I406" i="4" s="1"/>
  <c r="I123" i="27"/>
  <c r="I194" i="27" s="1"/>
  <c r="I261" i="27" s="1"/>
  <c r="H123" i="27"/>
  <c r="H194" i="27" s="1"/>
  <c r="H261" i="27" s="1"/>
  <c r="G123" i="27"/>
  <c r="G194" i="27" s="1"/>
  <c r="G261" i="27" s="1"/>
  <c r="F123" i="27"/>
  <c r="F194" i="27" s="1"/>
  <c r="F261" i="27" s="1"/>
  <c r="E123" i="27"/>
  <c r="E194" i="27" s="1"/>
  <c r="E261" i="27" s="1"/>
  <c r="D123" i="27"/>
  <c r="D194" i="27" s="1"/>
  <c r="D261" i="27" s="1"/>
  <c r="B194" i="27"/>
  <c r="B261" i="27" s="1"/>
  <c r="A124" i="27"/>
  <c r="AO70" i="26"/>
  <c r="AO72" i="26"/>
  <c r="AO60" i="26"/>
  <c r="AO48" i="26"/>
  <c r="AO79" i="26"/>
  <c r="AO67" i="26"/>
  <c r="AO55" i="26"/>
  <c r="AO43" i="26"/>
  <c r="AO74" i="26"/>
  <c r="AO62" i="26"/>
  <c r="AO50" i="26"/>
  <c r="AO81" i="26"/>
  <c r="AO77" i="26"/>
  <c r="AO73" i="26"/>
  <c r="AO69" i="26"/>
  <c r="AO59" i="26"/>
  <c r="AO56" i="26"/>
  <c r="AO53" i="26"/>
  <c r="AO76" i="26"/>
  <c r="AO52" i="26"/>
  <c r="AO49" i="26"/>
  <c r="AO46" i="26"/>
  <c r="AO80" i="26"/>
  <c r="AO65" i="26"/>
  <c r="AO45" i="26"/>
  <c r="AO42" i="26"/>
  <c r="AO68" i="26"/>
  <c r="AO64" i="26"/>
  <c r="AO61" i="26"/>
  <c r="AO58" i="26"/>
  <c r="AO75" i="26"/>
  <c r="AO71" i="26"/>
  <c r="AO57" i="26"/>
  <c r="AO54" i="26"/>
  <c r="AO51" i="26"/>
  <c r="AO78" i="26"/>
  <c r="AO47" i="26"/>
  <c r="AO44" i="26"/>
  <c r="AO66" i="26"/>
  <c r="AP77" i="26"/>
  <c r="AP65" i="26"/>
  <c r="AP79" i="26"/>
  <c r="AP67" i="26"/>
  <c r="AP55" i="26"/>
  <c r="AP43" i="26"/>
  <c r="AP74" i="26"/>
  <c r="AP62" i="26"/>
  <c r="AP50" i="26"/>
  <c r="AP81" i="26"/>
  <c r="AP69" i="26"/>
  <c r="AP57" i="26"/>
  <c r="AP45" i="26"/>
  <c r="AP76" i="26"/>
  <c r="AP44" i="26"/>
  <c r="AP47" i="26"/>
  <c r="AQ72" i="26"/>
  <c r="AQ74" i="26"/>
  <c r="AQ62" i="26"/>
  <c r="AQ50" i="26"/>
  <c r="AQ81" i="26"/>
  <c r="AQ69" i="26"/>
  <c r="AQ57" i="26"/>
  <c r="AQ45" i="26"/>
  <c r="AQ76" i="26"/>
  <c r="AQ64" i="26"/>
  <c r="AQ52" i="26"/>
  <c r="AQ44" i="26"/>
  <c r="AQ47" i="26"/>
  <c r="AQ67" i="26"/>
  <c r="AP78" i="26"/>
  <c r="AP48" i="26"/>
  <c r="AP51" i="26"/>
  <c r="AP54" i="26"/>
  <c r="AQ78" i="26"/>
  <c r="AN42" i="26"/>
  <c r="AN45" i="26"/>
  <c r="AQ48" i="26"/>
  <c r="AQ51" i="26"/>
  <c r="AQ54" i="26"/>
  <c r="AP71" i="26"/>
  <c r="AP75" i="26"/>
  <c r="AQ79" i="26"/>
  <c r="AP58" i="26"/>
  <c r="AP61" i="26"/>
  <c r="AP64" i="26"/>
  <c r="AP68" i="26"/>
  <c r="AQ71" i="26"/>
  <c r="AQ75" i="26"/>
  <c r="AN80" i="26"/>
  <c r="AP42" i="26"/>
  <c r="AN46" i="26"/>
  <c r="AN49" i="26"/>
  <c r="AQ55" i="26"/>
  <c r="AQ58" i="26"/>
  <c r="AQ61" i="26"/>
  <c r="AQ68" i="26"/>
  <c r="AP72" i="26"/>
  <c r="AP52" i="26"/>
  <c r="AN75" i="26"/>
  <c r="AN77" i="26"/>
  <c r="AN65" i="26"/>
  <c r="AN53" i="26"/>
  <c r="AN72" i="26"/>
  <c r="AN60" i="26"/>
  <c r="AN48" i="26"/>
  <c r="AN79" i="26"/>
  <c r="AN67" i="26"/>
  <c r="AN55" i="26"/>
  <c r="AN43" i="26"/>
  <c r="AQ43" i="26"/>
  <c r="AQ46" i="26"/>
  <c r="AQ49" i="26"/>
  <c r="AN66" i="26"/>
  <c r="L410" i="4" l="1"/>
  <c r="L412" i="4" s="1"/>
  <c r="L421" i="4" s="1"/>
  <c r="X426" i="4" s="1"/>
  <c r="A125" i="27"/>
  <c r="B124" i="27"/>
  <c r="A195" i="27"/>
  <c r="J124" i="27" l="1"/>
  <c r="J195" i="27" s="1"/>
  <c r="J262" i="27" s="1"/>
  <c r="I124" i="27"/>
  <c r="I195" i="27" s="1"/>
  <c r="I262" i="27" s="1"/>
  <c r="H124" i="27"/>
  <c r="H195" i="27" s="1"/>
  <c r="H262" i="27" s="1"/>
  <c r="G124" i="27"/>
  <c r="G195" i="27" s="1"/>
  <c r="G262" i="27" s="1"/>
  <c r="B195" i="27"/>
  <c r="B262" i="27" s="1"/>
  <c r="F124" i="27"/>
  <c r="F195" i="27" s="1"/>
  <c r="F262" i="27" s="1"/>
  <c r="D124" i="27"/>
  <c r="D195" i="27" s="1"/>
  <c r="D262" i="27" s="1"/>
  <c r="C124" i="27"/>
  <c r="C195" i="27" s="1"/>
  <c r="C262" i="27" s="1"/>
  <c r="E124" i="27"/>
  <c r="E195" i="27" s="1"/>
  <c r="E262" i="27" s="1"/>
  <c r="A196" i="27"/>
  <c r="A126" i="27"/>
  <c r="B125" i="27"/>
  <c r="B196" i="27" l="1"/>
  <c r="B263" i="27" s="1"/>
  <c r="J125" i="27"/>
  <c r="J196" i="27" s="1"/>
  <c r="J263" i="27" s="1"/>
  <c r="I125" i="27"/>
  <c r="I196" i="27" s="1"/>
  <c r="I263" i="27" s="1"/>
  <c r="H125" i="27"/>
  <c r="H196" i="27" s="1"/>
  <c r="H263" i="27" s="1"/>
  <c r="F125" i="27"/>
  <c r="F196" i="27" s="1"/>
  <c r="F263" i="27" s="1"/>
  <c r="D125" i="27"/>
  <c r="D196" i="27" s="1"/>
  <c r="D263" i="27" s="1"/>
  <c r="C125" i="27"/>
  <c r="C196" i="27" s="1"/>
  <c r="C263" i="27" s="1"/>
  <c r="G125" i="27"/>
  <c r="G196" i="27" s="1"/>
  <c r="G263" i="27" s="1"/>
  <c r="E125" i="27"/>
  <c r="E196" i="27" s="1"/>
  <c r="E263" i="27" s="1"/>
  <c r="A197" i="27"/>
  <c r="B126" i="27"/>
  <c r="A127" i="27"/>
  <c r="B127" i="27" l="1"/>
  <c r="A198" i="27"/>
  <c r="A128" i="27"/>
  <c r="B197" i="27"/>
  <c r="B264" i="27" s="1"/>
  <c r="C126" i="27"/>
  <c r="C197" i="27" s="1"/>
  <c r="C264" i="27" s="1"/>
  <c r="J126" i="27"/>
  <c r="J197" i="27" s="1"/>
  <c r="J264" i="27" s="1"/>
  <c r="H126" i="27"/>
  <c r="H197" i="27" s="1"/>
  <c r="H264" i="27" s="1"/>
  <c r="F126" i="27"/>
  <c r="F197" i="27" s="1"/>
  <c r="F264" i="27" s="1"/>
  <c r="D126" i="27"/>
  <c r="D197" i="27" s="1"/>
  <c r="D264" i="27" s="1"/>
  <c r="I126" i="27"/>
  <c r="I197" i="27" s="1"/>
  <c r="I264" i="27" s="1"/>
  <c r="E126" i="27"/>
  <c r="E197" i="27" s="1"/>
  <c r="E264" i="27" s="1"/>
  <c r="G126" i="27"/>
  <c r="G197" i="27" s="1"/>
  <c r="G264" i="27" s="1"/>
  <c r="A199" i="27" l="1"/>
  <c r="B128" i="27"/>
  <c r="A129" i="27"/>
  <c r="B198" i="27"/>
  <c r="B265" i="27" s="1"/>
  <c r="E127" i="27"/>
  <c r="E198" i="27" s="1"/>
  <c r="E265" i="27" s="1"/>
  <c r="D127" i="27"/>
  <c r="D198" i="27" s="1"/>
  <c r="D265" i="27" s="1"/>
  <c r="C127" i="27"/>
  <c r="C198" i="27" s="1"/>
  <c r="C265" i="27" s="1"/>
  <c r="J127" i="27"/>
  <c r="J198" i="27" s="1"/>
  <c r="J265" i="27" s="1"/>
  <c r="H127" i="27"/>
  <c r="H198" i="27" s="1"/>
  <c r="H265" i="27" s="1"/>
  <c r="I127" i="27"/>
  <c r="I198" i="27" s="1"/>
  <c r="I265" i="27" s="1"/>
  <c r="F127" i="27"/>
  <c r="F198" i="27" s="1"/>
  <c r="F265" i="27" s="1"/>
  <c r="G127" i="27"/>
  <c r="G198" i="27" s="1"/>
  <c r="G265" i="27" s="1"/>
  <c r="A200" i="27" l="1"/>
  <c r="B129" i="27"/>
  <c r="A130" i="27"/>
  <c r="G128" i="27"/>
  <c r="G199" i="27" s="1"/>
  <c r="G266" i="27" s="1"/>
  <c r="F128" i="27"/>
  <c r="F199" i="27" s="1"/>
  <c r="F266" i="27" s="1"/>
  <c r="E128" i="27"/>
  <c r="E199" i="27" s="1"/>
  <c r="E266" i="27" s="1"/>
  <c r="D128" i="27"/>
  <c r="D199" i="27" s="1"/>
  <c r="D266" i="27" s="1"/>
  <c r="B199" i="27"/>
  <c r="B266" i="27" s="1"/>
  <c r="C128" i="27"/>
  <c r="C199" i="27" s="1"/>
  <c r="C266" i="27" s="1"/>
  <c r="J128" i="27"/>
  <c r="J199" i="27" s="1"/>
  <c r="J266" i="27" s="1"/>
  <c r="I128" i="27"/>
  <c r="I199" i="27" s="1"/>
  <c r="I266" i="27" s="1"/>
  <c r="H128" i="27"/>
  <c r="H199" i="27" s="1"/>
  <c r="H266" i="27" s="1"/>
  <c r="A131" i="27" l="1"/>
  <c r="A201" i="27"/>
  <c r="B130" i="27"/>
  <c r="I129" i="27"/>
  <c r="I200" i="27" s="1"/>
  <c r="I267" i="27" s="1"/>
  <c r="H129" i="27"/>
  <c r="H200" i="27" s="1"/>
  <c r="H267" i="27" s="1"/>
  <c r="G129" i="27"/>
  <c r="G200" i="27" s="1"/>
  <c r="G267" i="27" s="1"/>
  <c r="F129" i="27"/>
  <c r="F200" i="27" s="1"/>
  <c r="F267" i="27" s="1"/>
  <c r="E129" i="27"/>
  <c r="E200" i="27" s="1"/>
  <c r="E267" i="27" s="1"/>
  <c r="D129" i="27"/>
  <c r="D200" i="27" s="1"/>
  <c r="D267" i="27" s="1"/>
  <c r="B200" i="27"/>
  <c r="B267" i="27" s="1"/>
  <c r="J129" i="27"/>
  <c r="J200" i="27" s="1"/>
  <c r="J267" i="27" s="1"/>
  <c r="C129" i="27"/>
  <c r="C200" i="27" s="1"/>
  <c r="C267" i="27" s="1"/>
  <c r="J130" i="27" l="1"/>
  <c r="J201" i="27" s="1"/>
  <c r="J268" i="27" s="1"/>
  <c r="I130" i="27"/>
  <c r="I201" i="27" s="1"/>
  <c r="I268" i="27" s="1"/>
  <c r="H130" i="27"/>
  <c r="H201" i="27" s="1"/>
  <c r="H268" i="27" s="1"/>
  <c r="G130" i="27"/>
  <c r="G201" i="27" s="1"/>
  <c r="G268" i="27" s="1"/>
  <c r="F130" i="27"/>
  <c r="F201" i="27" s="1"/>
  <c r="F268" i="27" s="1"/>
  <c r="D130" i="27"/>
  <c r="D201" i="27" s="1"/>
  <c r="D268" i="27" s="1"/>
  <c r="B201" i="27"/>
  <c r="B268" i="27" s="1"/>
  <c r="E130" i="27"/>
  <c r="E201" i="27" s="1"/>
  <c r="E268" i="27" s="1"/>
  <c r="C130" i="27"/>
  <c r="C201" i="27" s="1"/>
  <c r="C268" i="27" s="1"/>
  <c r="A202" i="27"/>
  <c r="A132" i="27"/>
  <c r="B131" i="27"/>
  <c r="B202" i="27" l="1"/>
  <c r="B269" i="27" s="1"/>
  <c r="J131" i="27"/>
  <c r="J202" i="27" s="1"/>
  <c r="J269" i="27" s="1"/>
  <c r="I131" i="27"/>
  <c r="I202" i="27" s="1"/>
  <c r="I269" i="27" s="1"/>
  <c r="H131" i="27"/>
  <c r="H202" i="27" s="1"/>
  <c r="H269" i="27" s="1"/>
  <c r="F131" i="27"/>
  <c r="F202" i="27" s="1"/>
  <c r="F269" i="27" s="1"/>
  <c r="D131" i="27"/>
  <c r="D202" i="27" s="1"/>
  <c r="D269" i="27" s="1"/>
  <c r="E131" i="27"/>
  <c r="E202" i="27" s="1"/>
  <c r="E269" i="27" s="1"/>
  <c r="C131" i="27"/>
  <c r="C202" i="27" s="1"/>
  <c r="C269" i="27" s="1"/>
  <c r="G131" i="27"/>
  <c r="G202" i="27" s="1"/>
  <c r="G269" i="27" s="1"/>
  <c r="A203" i="27"/>
  <c r="B132" i="27"/>
  <c r="A133" i="27"/>
  <c r="B133" i="27" l="1"/>
  <c r="A204" i="27"/>
  <c r="A134" i="27"/>
  <c r="B203" i="27"/>
  <c r="B270" i="27" s="1"/>
  <c r="C132" i="27"/>
  <c r="C203" i="27" s="1"/>
  <c r="C270" i="27" s="1"/>
  <c r="J132" i="27"/>
  <c r="J203" i="27" s="1"/>
  <c r="J270" i="27" s="1"/>
  <c r="H132" i="27"/>
  <c r="H203" i="27" s="1"/>
  <c r="H270" i="27" s="1"/>
  <c r="F132" i="27"/>
  <c r="F203" i="27" s="1"/>
  <c r="F270" i="27" s="1"/>
  <c r="E132" i="27"/>
  <c r="E203" i="27" s="1"/>
  <c r="E270" i="27" s="1"/>
  <c r="I132" i="27"/>
  <c r="I203" i="27" s="1"/>
  <c r="I270" i="27" s="1"/>
  <c r="G132" i="27"/>
  <c r="G203" i="27" s="1"/>
  <c r="G270" i="27" s="1"/>
  <c r="D132" i="27"/>
  <c r="D203" i="27" s="1"/>
  <c r="D270" i="27" s="1"/>
  <c r="B134" i="27" l="1"/>
  <c r="A135" i="27"/>
  <c r="A205" i="27"/>
  <c r="B204" i="27"/>
  <c r="B271" i="27" s="1"/>
  <c r="E133" i="27"/>
  <c r="E204" i="27" s="1"/>
  <c r="E271" i="27" s="1"/>
  <c r="D133" i="27"/>
  <c r="D204" i="27" s="1"/>
  <c r="D271" i="27" s="1"/>
  <c r="C133" i="27"/>
  <c r="C204" i="27" s="1"/>
  <c r="C271" i="27" s="1"/>
  <c r="J133" i="27"/>
  <c r="J204" i="27" s="1"/>
  <c r="J271" i="27" s="1"/>
  <c r="H133" i="27"/>
  <c r="H204" i="27" s="1"/>
  <c r="H271" i="27" s="1"/>
  <c r="G133" i="27"/>
  <c r="G204" i="27" s="1"/>
  <c r="G271" i="27" s="1"/>
  <c r="I133" i="27"/>
  <c r="I204" i="27" s="1"/>
  <c r="I271" i="27" s="1"/>
  <c r="F133" i="27"/>
  <c r="F204" i="27" s="1"/>
  <c r="F271" i="27" s="1"/>
  <c r="A206" i="27" l="1"/>
  <c r="B135" i="27"/>
  <c r="A136" i="27"/>
  <c r="G134" i="27"/>
  <c r="G205" i="27" s="1"/>
  <c r="G272" i="27" s="1"/>
  <c r="F134" i="27"/>
  <c r="F205" i="27" s="1"/>
  <c r="F272" i="27" s="1"/>
  <c r="E134" i="27"/>
  <c r="E205" i="27" s="1"/>
  <c r="E272" i="27" s="1"/>
  <c r="D134" i="27"/>
  <c r="D205" i="27" s="1"/>
  <c r="D272" i="27" s="1"/>
  <c r="C134" i="27"/>
  <c r="C205" i="27" s="1"/>
  <c r="C272" i="27" s="1"/>
  <c r="B205" i="27"/>
  <c r="B272" i="27" s="1"/>
  <c r="J134" i="27"/>
  <c r="J205" i="27" s="1"/>
  <c r="J272" i="27" s="1"/>
  <c r="I134" i="27"/>
  <c r="I205" i="27" s="1"/>
  <c r="I272" i="27" s="1"/>
  <c r="H134" i="27"/>
  <c r="H205" i="27" s="1"/>
  <c r="H272" i="27" s="1"/>
  <c r="A137" i="27" l="1"/>
  <c r="B136" i="27"/>
  <c r="A207" i="27"/>
  <c r="B206" i="27"/>
  <c r="B273" i="27" s="1"/>
  <c r="I135" i="27"/>
  <c r="I206" i="27" s="1"/>
  <c r="I273" i="27" s="1"/>
  <c r="H135" i="27"/>
  <c r="H206" i="27" s="1"/>
  <c r="H273" i="27" s="1"/>
  <c r="G135" i="27"/>
  <c r="G206" i="27" s="1"/>
  <c r="G273" i="27" s="1"/>
  <c r="F135" i="27"/>
  <c r="F206" i="27" s="1"/>
  <c r="F273" i="27" s="1"/>
  <c r="E135" i="27"/>
  <c r="E206" i="27" s="1"/>
  <c r="E273" i="27" s="1"/>
  <c r="D135" i="27"/>
  <c r="D206" i="27" s="1"/>
  <c r="D273" i="27" s="1"/>
  <c r="J135" i="27"/>
  <c r="J206" i="27" s="1"/>
  <c r="J273" i="27" s="1"/>
  <c r="C135" i="27"/>
  <c r="C206" i="27" s="1"/>
  <c r="C273" i="27" s="1"/>
  <c r="J136" i="27" l="1"/>
  <c r="J207" i="27" s="1"/>
  <c r="J274" i="27" s="1"/>
  <c r="I136" i="27"/>
  <c r="I207" i="27" s="1"/>
  <c r="I274" i="27" s="1"/>
  <c r="H136" i="27"/>
  <c r="H207" i="27" s="1"/>
  <c r="H274" i="27" s="1"/>
  <c r="G136" i="27"/>
  <c r="G207" i="27" s="1"/>
  <c r="G274" i="27" s="1"/>
  <c r="F136" i="27"/>
  <c r="F207" i="27" s="1"/>
  <c r="F274" i="27" s="1"/>
  <c r="B207" i="27"/>
  <c r="B274" i="27" s="1"/>
  <c r="D136" i="27"/>
  <c r="D207" i="27" s="1"/>
  <c r="D274" i="27" s="1"/>
  <c r="E136" i="27"/>
  <c r="E207" i="27" s="1"/>
  <c r="E274" i="27" s="1"/>
  <c r="C136" i="27"/>
  <c r="C207" i="27" s="1"/>
  <c r="C274" i="27" s="1"/>
  <c r="A208" i="27"/>
  <c r="A138" i="27"/>
  <c r="B137" i="27"/>
  <c r="A209" i="27" l="1"/>
  <c r="B138" i="27"/>
  <c r="A139" i="27"/>
  <c r="B208" i="27"/>
  <c r="B275" i="27" s="1"/>
  <c r="J137" i="27"/>
  <c r="J208" i="27" s="1"/>
  <c r="J275" i="27" s="1"/>
  <c r="I137" i="27"/>
  <c r="I208" i="27" s="1"/>
  <c r="I275" i="27" s="1"/>
  <c r="H137" i="27"/>
  <c r="H208" i="27" s="1"/>
  <c r="H275" i="27" s="1"/>
  <c r="F137" i="27"/>
  <c r="F208" i="27" s="1"/>
  <c r="F275" i="27" s="1"/>
  <c r="D137" i="27"/>
  <c r="D208" i="27" s="1"/>
  <c r="D275" i="27" s="1"/>
  <c r="C137" i="27"/>
  <c r="C208" i="27" s="1"/>
  <c r="C275" i="27" s="1"/>
  <c r="G137" i="27"/>
  <c r="G208" i="27" s="1"/>
  <c r="G275" i="27" s="1"/>
  <c r="E137" i="27"/>
  <c r="E208" i="27" s="1"/>
  <c r="E275" i="27" s="1"/>
  <c r="A210" i="27" l="1"/>
  <c r="B139" i="27"/>
  <c r="A140" i="27"/>
  <c r="B209" i="27"/>
  <c r="B276" i="27" s="1"/>
  <c r="C138" i="27"/>
  <c r="C209" i="27" s="1"/>
  <c r="C276" i="27" s="1"/>
  <c r="J138" i="27"/>
  <c r="J209" i="27" s="1"/>
  <c r="J276" i="27" s="1"/>
  <c r="H138" i="27"/>
  <c r="H209" i="27" s="1"/>
  <c r="H276" i="27" s="1"/>
  <c r="F138" i="27"/>
  <c r="F209" i="27" s="1"/>
  <c r="F276" i="27" s="1"/>
  <c r="G138" i="27"/>
  <c r="G209" i="27" s="1"/>
  <c r="G276" i="27" s="1"/>
  <c r="E138" i="27"/>
  <c r="E209" i="27" s="1"/>
  <c r="E276" i="27" s="1"/>
  <c r="D138" i="27"/>
  <c r="D209" i="27" s="1"/>
  <c r="D276" i="27" s="1"/>
  <c r="I138" i="27"/>
  <c r="I209" i="27" s="1"/>
  <c r="I276" i="27" s="1"/>
  <c r="B140" i="27" l="1"/>
  <c r="A141" i="27"/>
  <c r="A211" i="27"/>
  <c r="B210" i="27"/>
  <c r="B277" i="27" s="1"/>
  <c r="E139" i="27"/>
  <c r="E210" i="27" s="1"/>
  <c r="E277" i="27" s="1"/>
  <c r="D139" i="27"/>
  <c r="D210" i="27" s="1"/>
  <c r="D277" i="27" s="1"/>
  <c r="C139" i="27"/>
  <c r="C210" i="27" s="1"/>
  <c r="C277" i="27" s="1"/>
  <c r="J139" i="27"/>
  <c r="J210" i="27" s="1"/>
  <c r="J277" i="27" s="1"/>
  <c r="H139" i="27"/>
  <c r="H210" i="27" s="1"/>
  <c r="H277" i="27" s="1"/>
  <c r="G139" i="27"/>
  <c r="G210" i="27" s="1"/>
  <c r="G277" i="27" s="1"/>
  <c r="I139" i="27"/>
  <c r="I210" i="27" s="1"/>
  <c r="I277" i="27" s="1"/>
  <c r="F139" i="27"/>
  <c r="F210" i="27" s="1"/>
  <c r="F277" i="27" s="1"/>
  <c r="B141" i="27" l="1"/>
  <c r="A142" i="27"/>
  <c r="A212" i="27"/>
  <c r="G140" i="27"/>
  <c r="G211" i="27" s="1"/>
  <c r="G278" i="27" s="1"/>
  <c r="F140" i="27"/>
  <c r="F211" i="27" s="1"/>
  <c r="F278" i="27" s="1"/>
  <c r="E140" i="27"/>
  <c r="E211" i="27" s="1"/>
  <c r="E278" i="27" s="1"/>
  <c r="D140" i="27"/>
  <c r="D211" i="27" s="1"/>
  <c r="D278" i="27" s="1"/>
  <c r="C140" i="27"/>
  <c r="C211" i="27" s="1"/>
  <c r="C278" i="27" s="1"/>
  <c r="B211" i="27"/>
  <c r="B278" i="27" s="1"/>
  <c r="J140" i="27"/>
  <c r="J211" i="27" s="1"/>
  <c r="J278" i="27" s="1"/>
  <c r="H140" i="27"/>
  <c r="H211" i="27" s="1"/>
  <c r="H278" i="27" s="1"/>
  <c r="I140" i="27"/>
  <c r="I211" i="27" s="1"/>
  <c r="I278" i="27" s="1"/>
  <c r="A143" i="27" l="1"/>
  <c r="A213" i="27"/>
  <c r="B142" i="27"/>
  <c r="I141" i="27"/>
  <c r="I212" i="27" s="1"/>
  <c r="I279" i="27" s="1"/>
  <c r="H141" i="27"/>
  <c r="H212" i="27" s="1"/>
  <c r="H279" i="27" s="1"/>
  <c r="G141" i="27"/>
  <c r="G212" i="27" s="1"/>
  <c r="G279" i="27" s="1"/>
  <c r="F141" i="27"/>
  <c r="F212" i="27" s="1"/>
  <c r="F279" i="27" s="1"/>
  <c r="E141" i="27"/>
  <c r="E212" i="27" s="1"/>
  <c r="E279" i="27" s="1"/>
  <c r="B212" i="27"/>
  <c r="B279" i="27" s="1"/>
  <c r="D141" i="27"/>
  <c r="D212" i="27" s="1"/>
  <c r="D279" i="27" s="1"/>
  <c r="J141" i="27"/>
  <c r="J212" i="27" s="1"/>
  <c r="J279" i="27" s="1"/>
  <c r="C141" i="27"/>
  <c r="C212" i="27" s="1"/>
  <c r="C279" i="27" s="1"/>
  <c r="B213" i="27" l="1"/>
  <c r="B280" i="27" s="1"/>
  <c r="J142" i="27"/>
  <c r="J213" i="27" s="1"/>
  <c r="J280" i="27" s="1"/>
  <c r="I142" i="27"/>
  <c r="I213" i="27" s="1"/>
  <c r="I280" i="27" s="1"/>
  <c r="H142" i="27"/>
  <c r="H213" i="27" s="1"/>
  <c r="H280" i="27" s="1"/>
  <c r="G142" i="27"/>
  <c r="G213" i="27" s="1"/>
  <c r="G280" i="27" s="1"/>
  <c r="F142" i="27"/>
  <c r="F213" i="27" s="1"/>
  <c r="F280" i="27" s="1"/>
  <c r="D142" i="27"/>
  <c r="D213" i="27" s="1"/>
  <c r="D280" i="27" s="1"/>
  <c r="C142" i="27"/>
  <c r="C213" i="27" s="1"/>
  <c r="C280" i="27" s="1"/>
  <c r="E142" i="27"/>
  <c r="E213" i="27" s="1"/>
  <c r="E280" i="27" s="1"/>
  <c r="A214" i="27"/>
  <c r="A144" i="27"/>
  <c r="B143" i="27"/>
  <c r="B214" i="27" l="1"/>
  <c r="B281" i="27" s="1"/>
  <c r="J143" i="27"/>
  <c r="J214" i="27" s="1"/>
  <c r="J281" i="27" s="1"/>
  <c r="I143" i="27"/>
  <c r="I214" i="27" s="1"/>
  <c r="I281" i="27" s="1"/>
  <c r="H143" i="27"/>
  <c r="H214" i="27" s="1"/>
  <c r="H281" i="27" s="1"/>
  <c r="F143" i="27"/>
  <c r="F214" i="27" s="1"/>
  <c r="F281" i="27" s="1"/>
  <c r="D143" i="27"/>
  <c r="D214" i="27" s="1"/>
  <c r="D281" i="27" s="1"/>
  <c r="C143" i="27"/>
  <c r="C214" i="27" s="1"/>
  <c r="C281" i="27" s="1"/>
  <c r="G143" i="27"/>
  <c r="G214" i="27" s="1"/>
  <c r="G281" i="27" s="1"/>
  <c r="E143" i="27"/>
  <c r="E214" i="27" s="1"/>
  <c r="E281" i="27" s="1"/>
  <c r="A215" i="27"/>
  <c r="B144" i="27"/>
  <c r="A145" i="27"/>
  <c r="A216" i="27" l="1"/>
  <c r="B145" i="27"/>
  <c r="A146" i="27"/>
  <c r="B215" i="27"/>
  <c r="B282" i="27" s="1"/>
  <c r="C144" i="27"/>
  <c r="C215" i="27" s="1"/>
  <c r="C282" i="27" s="1"/>
  <c r="J144" i="27"/>
  <c r="J215" i="27" s="1"/>
  <c r="J282" i="27" s="1"/>
  <c r="H144" i="27"/>
  <c r="H215" i="27" s="1"/>
  <c r="H282" i="27" s="1"/>
  <c r="F144" i="27"/>
  <c r="F215" i="27" s="1"/>
  <c r="F282" i="27" s="1"/>
  <c r="E144" i="27"/>
  <c r="E215" i="27" s="1"/>
  <c r="E282" i="27" s="1"/>
  <c r="I144" i="27"/>
  <c r="I215" i="27" s="1"/>
  <c r="I282" i="27" s="1"/>
  <c r="G144" i="27"/>
  <c r="G215" i="27" s="1"/>
  <c r="G282" i="27" s="1"/>
  <c r="D144" i="27"/>
  <c r="D215" i="27" s="1"/>
  <c r="D282" i="27" s="1"/>
  <c r="A217" i="27" l="1"/>
  <c r="B146" i="27"/>
  <c r="A147" i="27"/>
  <c r="B216" i="27"/>
  <c r="B283" i="27" s="1"/>
  <c r="E145" i="27"/>
  <c r="E216" i="27" s="1"/>
  <c r="E283" i="27" s="1"/>
  <c r="D145" i="27"/>
  <c r="D216" i="27" s="1"/>
  <c r="D283" i="27" s="1"/>
  <c r="C145" i="27"/>
  <c r="C216" i="27" s="1"/>
  <c r="C283" i="27" s="1"/>
  <c r="J145" i="27"/>
  <c r="J216" i="27" s="1"/>
  <c r="J283" i="27" s="1"/>
  <c r="H145" i="27"/>
  <c r="H216" i="27" s="1"/>
  <c r="H283" i="27" s="1"/>
  <c r="I145" i="27"/>
  <c r="I216" i="27" s="1"/>
  <c r="I283" i="27" s="1"/>
  <c r="G145" i="27"/>
  <c r="G216" i="27" s="1"/>
  <c r="G283" i="27" s="1"/>
  <c r="F145" i="27"/>
  <c r="F216" i="27" s="1"/>
  <c r="F283" i="27" s="1"/>
  <c r="G146" i="27" l="1"/>
  <c r="G217" i="27" s="1"/>
  <c r="G284" i="27" s="1"/>
  <c r="F146" i="27"/>
  <c r="F217" i="27" s="1"/>
  <c r="F284" i="27" s="1"/>
  <c r="E146" i="27"/>
  <c r="E217" i="27" s="1"/>
  <c r="E284" i="27" s="1"/>
  <c r="B217" i="27"/>
  <c r="B284" i="27" s="1"/>
  <c r="D146" i="27"/>
  <c r="D217" i="27" s="1"/>
  <c r="D284" i="27" s="1"/>
  <c r="C146" i="27"/>
  <c r="C217" i="27" s="1"/>
  <c r="C284" i="27" s="1"/>
  <c r="J146" i="27"/>
  <c r="J217" i="27" s="1"/>
  <c r="J284" i="27" s="1"/>
  <c r="H146" i="27"/>
  <c r="H217" i="27" s="1"/>
  <c r="H284" i="27" s="1"/>
  <c r="I146" i="27"/>
  <c r="I217" i="27" s="1"/>
  <c r="I284" i="27" s="1"/>
  <c r="A218" i="27"/>
  <c r="B147" i="27"/>
  <c r="A148" i="27"/>
  <c r="A149" i="27" l="1"/>
  <c r="B148" i="27"/>
  <c r="A219" i="27"/>
  <c r="I147" i="27"/>
  <c r="I218" i="27" s="1"/>
  <c r="I285" i="27" s="1"/>
  <c r="H147" i="27"/>
  <c r="H218" i="27" s="1"/>
  <c r="H285" i="27" s="1"/>
  <c r="G147" i="27"/>
  <c r="G218" i="27" s="1"/>
  <c r="G285" i="27" s="1"/>
  <c r="F147" i="27"/>
  <c r="F218" i="27" s="1"/>
  <c r="F285" i="27" s="1"/>
  <c r="E147" i="27"/>
  <c r="E218" i="27" s="1"/>
  <c r="E285" i="27" s="1"/>
  <c r="D147" i="27"/>
  <c r="D218" i="27" s="1"/>
  <c r="D285" i="27" s="1"/>
  <c r="C147" i="27"/>
  <c r="C218" i="27" s="1"/>
  <c r="C285" i="27" s="1"/>
  <c r="J147" i="27"/>
  <c r="J218" i="27" s="1"/>
  <c r="J285" i="27" s="1"/>
  <c r="B218" i="27"/>
  <c r="B285" i="27" s="1"/>
  <c r="J148" i="27" l="1"/>
  <c r="J219" i="27" s="1"/>
  <c r="J286" i="27" s="1"/>
  <c r="I148" i="27"/>
  <c r="I219" i="27" s="1"/>
  <c r="I286" i="27" s="1"/>
  <c r="H148" i="27"/>
  <c r="H219" i="27" s="1"/>
  <c r="H286" i="27" s="1"/>
  <c r="G148" i="27"/>
  <c r="G219" i="27" s="1"/>
  <c r="G286" i="27" s="1"/>
  <c r="F148" i="27"/>
  <c r="F219" i="27" s="1"/>
  <c r="F286" i="27" s="1"/>
  <c r="B219" i="27"/>
  <c r="B286" i="27" s="1"/>
  <c r="D148" i="27"/>
  <c r="D219" i="27" s="1"/>
  <c r="D286" i="27" s="1"/>
  <c r="E148" i="27"/>
  <c r="E219" i="27" s="1"/>
  <c r="E286" i="27" s="1"/>
  <c r="C148" i="27"/>
  <c r="C219" i="27" s="1"/>
  <c r="C286" i="27" s="1"/>
  <c r="A220" i="27"/>
  <c r="A150" i="27"/>
  <c r="B149" i="27"/>
  <c r="A221" i="27" l="1"/>
  <c r="B150" i="27"/>
  <c r="A151" i="27"/>
  <c r="B220" i="27"/>
  <c r="B287" i="27" s="1"/>
  <c r="J149" i="27"/>
  <c r="J220" i="27" s="1"/>
  <c r="J287" i="27" s="1"/>
  <c r="I149" i="27"/>
  <c r="I220" i="27" s="1"/>
  <c r="I287" i="27" s="1"/>
  <c r="H149" i="27"/>
  <c r="H220" i="27" s="1"/>
  <c r="H287" i="27" s="1"/>
  <c r="F149" i="27"/>
  <c r="F220" i="27" s="1"/>
  <c r="F287" i="27" s="1"/>
  <c r="D149" i="27"/>
  <c r="D220" i="27" s="1"/>
  <c r="D287" i="27" s="1"/>
  <c r="E149" i="27"/>
  <c r="E220" i="27" s="1"/>
  <c r="E287" i="27" s="1"/>
  <c r="C149" i="27"/>
  <c r="C220" i="27" s="1"/>
  <c r="C287" i="27" s="1"/>
  <c r="G149" i="27"/>
  <c r="G220" i="27" s="1"/>
  <c r="G287" i="27" s="1"/>
  <c r="A222" i="27" l="1"/>
  <c r="B151" i="27"/>
  <c r="A152" i="27"/>
  <c r="B221" i="27"/>
  <c r="B288" i="27" s="1"/>
  <c r="C150" i="27"/>
  <c r="C221" i="27" s="1"/>
  <c r="C288" i="27" s="1"/>
  <c r="J150" i="27"/>
  <c r="J221" i="27" s="1"/>
  <c r="J288" i="27" s="1"/>
  <c r="H150" i="27"/>
  <c r="H221" i="27" s="1"/>
  <c r="H288" i="27" s="1"/>
  <c r="F150" i="27"/>
  <c r="F221" i="27" s="1"/>
  <c r="F288" i="27" s="1"/>
  <c r="I150" i="27"/>
  <c r="I221" i="27" s="1"/>
  <c r="I288" i="27" s="1"/>
  <c r="E150" i="27"/>
  <c r="E221" i="27" s="1"/>
  <c r="E288" i="27" s="1"/>
  <c r="G150" i="27"/>
  <c r="G221" i="27" s="1"/>
  <c r="G288" i="27" s="1"/>
  <c r="D150" i="27"/>
  <c r="D221" i="27" s="1"/>
  <c r="D288" i="27" s="1"/>
  <c r="B222" i="27" l="1"/>
  <c r="B289" i="27" s="1"/>
  <c r="E151" i="27"/>
  <c r="E222" i="27" s="1"/>
  <c r="E289" i="27" s="1"/>
  <c r="D151" i="27"/>
  <c r="D222" i="27" s="1"/>
  <c r="D289" i="27" s="1"/>
  <c r="C151" i="27"/>
  <c r="C222" i="27" s="1"/>
  <c r="C289" i="27" s="1"/>
  <c r="J151" i="27"/>
  <c r="J222" i="27" s="1"/>
  <c r="J289" i="27" s="1"/>
  <c r="H151" i="27"/>
  <c r="H222" i="27" s="1"/>
  <c r="H289" i="27" s="1"/>
  <c r="G151" i="27"/>
  <c r="G222" i="27" s="1"/>
  <c r="G289" i="27" s="1"/>
  <c r="I151" i="27"/>
  <c r="I222" i="27" s="1"/>
  <c r="I289" i="27" s="1"/>
  <c r="F151" i="27"/>
  <c r="F222" i="27" s="1"/>
  <c r="F289" i="27" s="1"/>
  <c r="B152" i="27"/>
  <c r="A223" i="27"/>
  <c r="A153" i="27"/>
  <c r="G152" i="27" l="1"/>
  <c r="G223" i="27" s="1"/>
  <c r="G290" i="27" s="1"/>
  <c r="F152" i="27"/>
  <c r="F223" i="27" s="1"/>
  <c r="F290" i="27" s="1"/>
  <c r="E152" i="27"/>
  <c r="E223" i="27" s="1"/>
  <c r="E290" i="27" s="1"/>
  <c r="D152" i="27"/>
  <c r="D223" i="27" s="1"/>
  <c r="D290" i="27" s="1"/>
  <c r="C152" i="27"/>
  <c r="C223" i="27" s="1"/>
  <c r="C290" i="27" s="1"/>
  <c r="B223" i="27"/>
  <c r="B290" i="27" s="1"/>
  <c r="J152" i="27"/>
  <c r="J223" i="27" s="1"/>
  <c r="J290" i="27" s="1"/>
  <c r="I152" i="27"/>
  <c r="I223" i="27" s="1"/>
  <c r="I290" i="27" s="1"/>
  <c r="H152" i="27"/>
  <c r="H223" i="27" s="1"/>
  <c r="H290" i="27" s="1"/>
  <c r="B153" i="27"/>
  <c r="A224" i="27"/>
  <c r="A154" i="27"/>
  <c r="I153" i="27" l="1"/>
  <c r="I224" i="27" s="1"/>
  <c r="I291" i="27" s="1"/>
  <c r="H153" i="27"/>
  <c r="H224" i="27" s="1"/>
  <c r="H291" i="27" s="1"/>
  <c r="G153" i="27"/>
  <c r="G224" i="27" s="1"/>
  <c r="G291" i="27" s="1"/>
  <c r="F153" i="27"/>
  <c r="F224" i="27" s="1"/>
  <c r="F291" i="27" s="1"/>
  <c r="E153" i="27"/>
  <c r="E224" i="27" s="1"/>
  <c r="E291" i="27" s="1"/>
  <c r="B224" i="27"/>
  <c r="B291" i="27" s="1"/>
  <c r="D153" i="27"/>
  <c r="D224" i="27" s="1"/>
  <c r="D291" i="27" s="1"/>
  <c r="J153" i="27"/>
  <c r="J224" i="27" s="1"/>
  <c r="J291" i="27" s="1"/>
  <c r="C153" i="27"/>
  <c r="C224" i="27" s="1"/>
  <c r="C291" i="27" s="1"/>
  <c r="A155" i="27"/>
  <c r="A225" i="27"/>
  <c r="B154" i="27"/>
  <c r="B225" i="27" l="1"/>
  <c r="B292" i="27" s="1"/>
  <c r="J154" i="27"/>
  <c r="J225" i="27" s="1"/>
  <c r="J292" i="27" s="1"/>
  <c r="I154" i="27"/>
  <c r="I225" i="27" s="1"/>
  <c r="I292" i="27" s="1"/>
  <c r="H154" i="27"/>
  <c r="H225" i="27" s="1"/>
  <c r="H292" i="27" s="1"/>
  <c r="G154" i="27"/>
  <c r="G225" i="27" s="1"/>
  <c r="G292" i="27" s="1"/>
  <c r="F154" i="27"/>
  <c r="F225" i="27" s="1"/>
  <c r="F292" i="27" s="1"/>
  <c r="D154" i="27"/>
  <c r="D225" i="27" s="1"/>
  <c r="D292" i="27" s="1"/>
  <c r="E154" i="27"/>
  <c r="E225" i="27" s="1"/>
  <c r="E292" i="27" s="1"/>
  <c r="C154" i="27"/>
  <c r="C225" i="27" s="1"/>
  <c r="C292" i="27" s="1"/>
  <c r="A226" i="27"/>
  <c r="A156" i="27"/>
  <c r="B155" i="27"/>
  <c r="B226" i="27" l="1"/>
  <c r="B293" i="27" s="1"/>
  <c r="J155" i="27"/>
  <c r="J226" i="27" s="1"/>
  <c r="J293" i="27" s="1"/>
  <c r="I155" i="27"/>
  <c r="I226" i="27" s="1"/>
  <c r="I293" i="27" s="1"/>
  <c r="H155" i="27"/>
  <c r="H226" i="27" s="1"/>
  <c r="H293" i="27" s="1"/>
  <c r="F155" i="27"/>
  <c r="F226" i="27" s="1"/>
  <c r="F293" i="27" s="1"/>
  <c r="D155" i="27"/>
  <c r="D226" i="27" s="1"/>
  <c r="D293" i="27" s="1"/>
  <c r="C155" i="27"/>
  <c r="C226" i="27" s="1"/>
  <c r="C293" i="27" s="1"/>
  <c r="G155" i="27"/>
  <c r="G226" i="27" s="1"/>
  <c r="G293" i="27" s="1"/>
  <c r="E155" i="27"/>
  <c r="E226" i="27" s="1"/>
  <c r="E293" i="27" s="1"/>
  <c r="A227" i="27"/>
  <c r="B156" i="27"/>
  <c r="A157" i="27"/>
  <c r="B227" i="27" l="1"/>
  <c r="B294" i="27" s="1"/>
  <c r="C156" i="27"/>
  <c r="C227" i="27" s="1"/>
  <c r="C294" i="27" s="1"/>
  <c r="J156" i="27"/>
  <c r="J227" i="27" s="1"/>
  <c r="J294" i="27" s="1"/>
  <c r="H156" i="27"/>
  <c r="H227" i="27" s="1"/>
  <c r="H294" i="27" s="1"/>
  <c r="F156" i="27"/>
  <c r="F227" i="27" s="1"/>
  <c r="F294" i="27" s="1"/>
  <c r="G156" i="27"/>
  <c r="G227" i="27" s="1"/>
  <c r="G294" i="27" s="1"/>
  <c r="E156" i="27"/>
  <c r="E227" i="27" s="1"/>
  <c r="E294" i="27" s="1"/>
  <c r="D156" i="27"/>
  <c r="D227" i="27" s="1"/>
  <c r="D294" i="27" s="1"/>
  <c r="I156" i="27"/>
  <c r="I227" i="27" s="1"/>
  <c r="I294" i="27" s="1"/>
  <c r="A228" i="27"/>
  <c r="B157" i="27"/>
  <c r="A158" i="27"/>
  <c r="A229" i="27" l="1"/>
  <c r="B158" i="27"/>
  <c r="A159" i="27"/>
  <c r="B228" i="27"/>
  <c r="B295" i="27" s="1"/>
  <c r="E157" i="27"/>
  <c r="E228" i="27" s="1"/>
  <c r="E295" i="27" s="1"/>
  <c r="D157" i="27"/>
  <c r="D228" i="27" s="1"/>
  <c r="D295" i="27" s="1"/>
  <c r="C157" i="27"/>
  <c r="C228" i="27" s="1"/>
  <c r="C295" i="27" s="1"/>
  <c r="J157" i="27"/>
  <c r="J228" i="27" s="1"/>
  <c r="J295" i="27" s="1"/>
  <c r="H157" i="27"/>
  <c r="H228" i="27" s="1"/>
  <c r="H295" i="27" s="1"/>
  <c r="G157" i="27"/>
  <c r="G228" i="27" s="1"/>
  <c r="G295" i="27" s="1"/>
  <c r="I157" i="27"/>
  <c r="I228" i="27" s="1"/>
  <c r="I295" i="27" s="1"/>
  <c r="F157" i="27"/>
  <c r="F228" i="27" s="1"/>
  <c r="F295" i="27" s="1"/>
  <c r="A230" i="27" l="1"/>
  <c r="B159" i="27"/>
  <c r="A160" i="27"/>
  <c r="G158" i="27"/>
  <c r="G229" i="27" s="1"/>
  <c r="G296" i="27" s="1"/>
  <c r="F158" i="27"/>
  <c r="F229" i="27" s="1"/>
  <c r="F296" i="27" s="1"/>
  <c r="E158" i="27"/>
  <c r="E229" i="27" s="1"/>
  <c r="E296" i="27" s="1"/>
  <c r="B229" i="27"/>
  <c r="B296" i="27" s="1"/>
  <c r="D158" i="27"/>
  <c r="D229" i="27" s="1"/>
  <c r="D296" i="27" s="1"/>
  <c r="C158" i="27"/>
  <c r="C229" i="27" s="1"/>
  <c r="C296" i="27" s="1"/>
  <c r="J158" i="27"/>
  <c r="J229" i="27" s="1"/>
  <c r="J296" i="27" s="1"/>
  <c r="I158" i="27"/>
  <c r="I229" i="27" s="1"/>
  <c r="I296" i="27" s="1"/>
  <c r="H158" i="27"/>
  <c r="H229" i="27" s="1"/>
  <c r="H296" i="27" s="1"/>
  <c r="A161" i="27" l="1"/>
  <c r="B160" i="27"/>
  <c r="A231" i="27"/>
  <c r="I159" i="27"/>
  <c r="I230" i="27" s="1"/>
  <c r="I297" i="27" s="1"/>
  <c r="H159" i="27"/>
  <c r="H230" i="27" s="1"/>
  <c r="H297" i="27" s="1"/>
  <c r="G159" i="27"/>
  <c r="G230" i="27" s="1"/>
  <c r="G297" i="27" s="1"/>
  <c r="F159" i="27"/>
  <c r="F230" i="27" s="1"/>
  <c r="F297" i="27" s="1"/>
  <c r="E159" i="27"/>
  <c r="E230" i="27" s="1"/>
  <c r="E297" i="27" s="1"/>
  <c r="D159" i="27"/>
  <c r="D230" i="27" s="1"/>
  <c r="D297" i="27" s="1"/>
  <c r="B230" i="27"/>
  <c r="B297" i="27" s="1"/>
  <c r="J159" i="27"/>
  <c r="J230" i="27" s="1"/>
  <c r="J297" i="27" s="1"/>
  <c r="C159" i="27"/>
  <c r="C230" i="27" s="1"/>
  <c r="C297" i="27" s="1"/>
  <c r="J160" i="27" l="1"/>
  <c r="J231" i="27" s="1"/>
  <c r="J298" i="27" s="1"/>
  <c r="I160" i="27"/>
  <c r="I231" i="27" s="1"/>
  <c r="I298" i="27" s="1"/>
  <c r="H160" i="27"/>
  <c r="H231" i="27" s="1"/>
  <c r="H298" i="27" s="1"/>
  <c r="G160" i="27"/>
  <c r="G231" i="27" s="1"/>
  <c r="G298" i="27" s="1"/>
  <c r="F160" i="27"/>
  <c r="F231" i="27" s="1"/>
  <c r="F298" i="27" s="1"/>
  <c r="B231" i="27"/>
  <c r="B298" i="27" s="1"/>
  <c r="D160" i="27"/>
  <c r="D231" i="27" s="1"/>
  <c r="D298" i="27" s="1"/>
  <c r="C160" i="27"/>
  <c r="C231" i="27" s="1"/>
  <c r="C298" i="27" s="1"/>
  <c r="E160" i="27"/>
  <c r="E231" i="27" s="1"/>
  <c r="E298" i="27" s="1"/>
  <c r="A232" i="27"/>
  <c r="A162" i="27"/>
  <c r="B161" i="27"/>
  <c r="A233" i="27" l="1"/>
  <c r="B162" i="27"/>
  <c r="A163" i="27"/>
  <c r="B232" i="27"/>
  <c r="B299" i="27" s="1"/>
  <c r="J161" i="27"/>
  <c r="J232" i="27" s="1"/>
  <c r="J299" i="27" s="1"/>
  <c r="I161" i="27"/>
  <c r="I232" i="27" s="1"/>
  <c r="I299" i="27" s="1"/>
  <c r="H161" i="27"/>
  <c r="H232" i="27" s="1"/>
  <c r="H299" i="27" s="1"/>
  <c r="F161" i="27"/>
  <c r="F232" i="27" s="1"/>
  <c r="F299" i="27" s="1"/>
  <c r="D161" i="27"/>
  <c r="D232" i="27" s="1"/>
  <c r="D299" i="27" s="1"/>
  <c r="C161" i="27"/>
  <c r="C232" i="27" s="1"/>
  <c r="C299" i="27" s="1"/>
  <c r="G161" i="27"/>
  <c r="G232" i="27" s="1"/>
  <c r="G299" i="27" s="1"/>
  <c r="E161" i="27"/>
  <c r="E232" i="27" s="1"/>
  <c r="E299" i="27" s="1"/>
  <c r="A234" i="27" l="1"/>
  <c r="B163" i="27"/>
  <c r="A164" i="27"/>
  <c r="B233" i="27"/>
  <c r="B300" i="27" s="1"/>
  <c r="C162" i="27"/>
  <c r="C233" i="27" s="1"/>
  <c r="C300" i="27" s="1"/>
  <c r="J162" i="27"/>
  <c r="J233" i="27" s="1"/>
  <c r="J300" i="27" s="1"/>
  <c r="H162" i="27"/>
  <c r="H233" i="27" s="1"/>
  <c r="H300" i="27" s="1"/>
  <c r="F162" i="27"/>
  <c r="F233" i="27" s="1"/>
  <c r="F300" i="27" s="1"/>
  <c r="E162" i="27"/>
  <c r="E233" i="27" s="1"/>
  <c r="E300" i="27" s="1"/>
  <c r="D162" i="27"/>
  <c r="D233" i="27" s="1"/>
  <c r="D300" i="27" s="1"/>
  <c r="I162" i="27"/>
  <c r="I233" i="27" s="1"/>
  <c r="I300" i="27" s="1"/>
  <c r="G162" i="27"/>
  <c r="G233" i="27" s="1"/>
  <c r="G300" i="27" s="1"/>
  <c r="B164" i="27" l="1"/>
  <c r="A235" i="27"/>
  <c r="A165" i="27"/>
  <c r="B234" i="27"/>
  <c r="B301" i="27" s="1"/>
  <c r="E163" i="27"/>
  <c r="E234" i="27" s="1"/>
  <c r="E301" i="27" s="1"/>
  <c r="D163" i="27"/>
  <c r="D234" i="27" s="1"/>
  <c r="D301" i="27" s="1"/>
  <c r="C163" i="27"/>
  <c r="C234" i="27" s="1"/>
  <c r="C301" i="27" s="1"/>
  <c r="J163" i="27"/>
  <c r="J234" i="27" s="1"/>
  <c r="J301" i="27" s="1"/>
  <c r="H163" i="27"/>
  <c r="H234" i="27" s="1"/>
  <c r="H301" i="27" s="1"/>
  <c r="I163" i="27"/>
  <c r="I234" i="27" s="1"/>
  <c r="I301" i="27" s="1"/>
  <c r="G163" i="27"/>
  <c r="G234" i="27" s="1"/>
  <c r="G301" i="27" s="1"/>
  <c r="F163" i="27"/>
  <c r="F234" i="27" s="1"/>
  <c r="F301" i="27" s="1"/>
  <c r="B165" i="27" l="1"/>
  <c r="A236" i="27"/>
  <c r="A166" i="27"/>
  <c r="G164" i="27"/>
  <c r="G235" i="27" s="1"/>
  <c r="G302" i="27" s="1"/>
  <c r="F164" i="27"/>
  <c r="F235" i="27" s="1"/>
  <c r="F302" i="27" s="1"/>
  <c r="E164" i="27"/>
  <c r="E235" i="27" s="1"/>
  <c r="E302" i="27" s="1"/>
  <c r="D164" i="27"/>
  <c r="D235" i="27" s="1"/>
  <c r="D302" i="27" s="1"/>
  <c r="C164" i="27"/>
  <c r="C235" i="27" s="1"/>
  <c r="C302" i="27" s="1"/>
  <c r="B235" i="27"/>
  <c r="B302" i="27" s="1"/>
  <c r="J164" i="27"/>
  <c r="J235" i="27" s="1"/>
  <c r="J302" i="27" s="1"/>
  <c r="I164" i="27"/>
  <c r="I235" i="27" s="1"/>
  <c r="I302" i="27" s="1"/>
  <c r="H164" i="27"/>
  <c r="H235" i="27" s="1"/>
  <c r="H302" i="27" s="1"/>
  <c r="A167" i="27" l="1"/>
  <c r="A237" i="27"/>
  <c r="B166" i="27"/>
  <c r="I165" i="27"/>
  <c r="I236" i="27" s="1"/>
  <c r="I303" i="27" s="1"/>
  <c r="H165" i="27"/>
  <c r="H236" i="27" s="1"/>
  <c r="H303" i="27" s="1"/>
  <c r="G165" i="27"/>
  <c r="G236" i="27" s="1"/>
  <c r="G303" i="27" s="1"/>
  <c r="F165" i="27"/>
  <c r="F236" i="27" s="1"/>
  <c r="F303" i="27" s="1"/>
  <c r="E165" i="27"/>
  <c r="E236" i="27" s="1"/>
  <c r="E303" i="27" s="1"/>
  <c r="B236" i="27"/>
  <c r="B303" i="27" s="1"/>
  <c r="D165" i="27"/>
  <c r="D236" i="27" s="1"/>
  <c r="D303" i="27" s="1"/>
  <c r="J165" i="27"/>
  <c r="J236" i="27" s="1"/>
  <c r="J303" i="27" s="1"/>
  <c r="C165" i="27"/>
  <c r="C236" i="27" s="1"/>
  <c r="C303" i="27" s="1"/>
  <c r="B237" i="27" l="1"/>
  <c r="B304" i="27" s="1"/>
  <c r="J166" i="27"/>
  <c r="J237" i="27" s="1"/>
  <c r="J304" i="27" s="1"/>
  <c r="I166" i="27"/>
  <c r="I237" i="27" s="1"/>
  <c r="I304" i="27" s="1"/>
  <c r="H166" i="27"/>
  <c r="H237" i="27" s="1"/>
  <c r="H304" i="27" s="1"/>
  <c r="G166" i="27"/>
  <c r="G237" i="27" s="1"/>
  <c r="G304" i="27" s="1"/>
  <c r="F166" i="27"/>
  <c r="F237" i="27" s="1"/>
  <c r="F304" i="27" s="1"/>
  <c r="D166" i="27"/>
  <c r="D237" i="27" s="1"/>
  <c r="D304" i="27" s="1"/>
  <c r="E166" i="27"/>
  <c r="E237" i="27" s="1"/>
  <c r="E304" i="27" s="1"/>
  <c r="C166" i="27"/>
  <c r="C237" i="27" s="1"/>
  <c r="C304" i="27" s="1"/>
  <c r="A238" i="27"/>
  <c r="A168" i="27"/>
  <c r="B167" i="27"/>
  <c r="B238" i="27" l="1"/>
  <c r="B305" i="27" s="1"/>
  <c r="J167" i="27"/>
  <c r="J238" i="27" s="1"/>
  <c r="J305" i="27" s="1"/>
  <c r="I167" i="27"/>
  <c r="I238" i="27" s="1"/>
  <c r="I305" i="27" s="1"/>
  <c r="H167" i="27"/>
  <c r="H238" i="27" s="1"/>
  <c r="H305" i="27" s="1"/>
  <c r="F167" i="27"/>
  <c r="F238" i="27" s="1"/>
  <c r="F305" i="27" s="1"/>
  <c r="D167" i="27"/>
  <c r="D238" i="27" s="1"/>
  <c r="D305" i="27" s="1"/>
  <c r="E167" i="27"/>
  <c r="E238" i="27" s="1"/>
  <c r="E305" i="27" s="1"/>
  <c r="C167" i="27"/>
  <c r="C238" i="27" s="1"/>
  <c r="C305" i="27" s="1"/>
  <c r="G167" i="27"/>
  <c r="G238" i="27" s="1"/>
  <c r="G305" i="27" s="1"/>
  <c r="A239" i="27"/>
  <c r="B168" i="27"/>
  <c r="A169" i="27"/>
  <c r="A240" i="27" l="1"/>
  <c r="B169" i="27"/>
  <c r="A170" i="27"/>
  <c r="B239" i="27"/>
  <c r="B306" i="27" s="1"/>
  <c r="C168" i="27"/>
  <c r="C239" i="27" s="1"/>
  <c r="C306" i="27" s="1"/>
  <c r="J168" i="27"/>
  <c r="J239" i="27" s="1"/>
  <c r="J306" i="27" s="1"/>
  <c r="H168" i="27"/>
  <c r="H239" i="27" s="1"/>
  <c r="H306" i="27" s="1"/>
  <c r="F168" i="27"/>
  <c r="F239" i="27" s="1"/>
  <c r="F306" i="27" s="1"/>
  <c r="E168" i="27"/>
  <c r="E239" i="27" s="1"/>
  <c r="E306" i="27" s="1"/>
  <c r="I168" i="27"/>
  <c r="I239" i="27" s="1"/>
  <c r="I306" i="27" s="1"/>
  <c r="G168" i="27"/>
  <c r="G239" i="27" s="1"/>
  <c r="G306" i="27" s="1"/>
  <c r="D168" i="27"/>
  <c r="D239" i="27" s="1"/>
  <c r="D306" i="27" s="1"/>
  <c r="A241" i="27" l="1"/>
  <c r="B170" i="27"/>
  <c r="A171" i="27"/>
  <c r="B240" i="27"/>
  <c r="B307" i="27" s="1"/>
  <c r="E169" i="27"/>
  <c r="E240" i="27" s="1"/>
  <c r="E307" i="27" s="1"/>
  <c r="D169" i="27"/>
  <c r="D240" i="27" s="1"/>
  <c r="D307" i="27" s="1"/>
  <c r="C169" i="27"/>
  <c r="C240" i="27" s="1"/>
  <c r="C307" i="27" s="1"/>
  <c r="J169" i="27"/>
  <c r="J240" i="27" s="1"/>
  <c r="J307" i="27" s="1"/>
  <c r="H169" i="27"/>
  <c r="H240" i="27" s="1"/>
  <c r="H307" i="27" s="1"/>
  <c r="G169" i="27"/>
  <c r="G240" i="27" s="1"/>
  <c r="G307" i="27" s="1"/>
  <c r="I169" i="27"/>
  <c r="I240" i="27" s="1"/>
  <c r="I307" i="27" s="1"/>
  <c r="F169" i="27"/>
  <c r="F240" i="27" s="1"/>
  <c r="F307" i="27" s="1"/>
  <c r="A242" i="27" l="1"/>
  <c r="B171" i="27"/>
  <c r="A172" i="27"/>
  <c r="G170" i="27"/>
  <c r="G241" i="27" s="1"/>
  <c r="G308" i="27" s="1"/>
  <c r="F170" i="27"/>
  <c r="F241" i="27" s="1"/>
  <c r="F308" i="27" s="1"/>
  <c r="E170" i="27"/>
  <c r="E241" i="27" s="1"/>
  <c r="E308" i="27" s="1"/>
  <c r="B241" i="27"/>
  <c r="B308" i="27" s="1"/>
  <c r="D170" i="27"/>
  <c r="D241" i="27" s="1"/>
  <c r="D308" i="27" s="1"/>
  <c r="C170" i="27"/>
  <c r="C241" i="27" s="1"/>
  <c r="C308" i="27" s="1"/>
  <c r="J170" i="27"/>
  <c r="J241" i="27" s="1"/>
  <c r="J308" i="27" s="1"/>
  <c r="I170" i="27"/>
  <c r="I241" i="27" s="1"/>
  <c r="I308" i="27" s="1"/>
  <c r="H170" i="27"/>
  <c r="H241" i="27" s="1"/>
  <c r="H308" i="27" s="1"/>
  <c r="A243" i="27" l="1"/>
  <c r="B172" i="27"/>
  <c r="I171" i="27"/>
  <c r="I242" i="27" s="1"/>
  <c r="I309" i="27" s="1"/>
  <c r="H171" i="27"/>
  <c r="H242" i="27" s="1"/>
  <c r="H309" i="27" s="1"/>
  <c r="G171" i="27"/>
  <c r="G242" i="27" s="1"/>
  <c r="G309" i="27" s="1"/>
  <c r="F171" i="27"/>
  <c r="F242" i="27" s="1"/>
  <c r="F309" i="27" s="1"/>
  <c r="E171" i="27"/>
  <c r="E242" i="27" s="1"/>
  <c r="E309" i="27" s="1"/>
  <c r="D171" i="27"/>
  <c r="D242" i="27" s="1"/>
  <c r="D309" i="27" s="1"/>
  <c r="B242" i="27"/>
  <c r="B309" i="27" s="1"/>
  <c r="J171" i="27"/>
  <c r="J242" i="27" s="1"/>
  <c r="J309" i="27" s="1"/>
  <c r="C171" i="27"/>
  <c r="C242" i="27" s="1"/>
  <c r="C309" i="27" s="1"/>
  <c r="J172" i="27" l="1"/>
  <c r="J243" i="27" s="1"/>
  <c r="J310" i="27" s="1"/>
  <c r="I172" i="27"/>
  <c r="I243" i="27" s="1"/>
  <c r="I310" i="27" s="1"/>
  <c r="H172" i="27"/>
  <c r="H243" i="27" s="1"/>
  <c r="H310" i="27" s="1"/>
  <c r="G172" i="27"/>
  <c r="G243" i="27" s="1"/>
  <c r="G310" i="27" s="1"/>
  <c r="F172" i="27"/>
  <c r="F243" i="27" s="1"/>
  <c r="F310" i="27" s="1"/>
  <c r="B243" i="27"/>
  <c r="B310" i="27" s="1"/>
  <c r="D172" i="27"/>
  <c r="D243" i="27" s="1"/>
  <c r="D310" i="27" s="1"/>
  <c r="E172" i="27"/>
  <c r="E243" i="27" s="1"/>
  <c r="E310" i="27" s="1"/>
  <c r="C172" i="27"/>
  <c r="C243" i="27" s="1"/>
  <c r="C310" i="27" s="1"/>
  <c r="N25" i="4" l="1"/>
  <c r="J146" i="4" l="1"/>
  <c r="J53" i="4"/>
  <c r="P160" i="4"/>
  <c r="P163" i="4"/>
  <c r="P159" i="4"/>
  <c r="P139" i="4" l="1"/>
  <c r="P140" i="4"/>
  <c r="P141" i="4"/>
  <c r="P142" i="4"/>
  <c r="P143" i="4"/>
  <c r="P144" i="4"/>
  <c r="P138" i="4"/>
  <c r="P152" i="4" l="1"/>
  <c r="P148" i="4"/>
  <c r="I167" i="4" l="1"/>
  <c r="I169" i="4"/>
  <c r="L169" i="4" s="1"/>
  <c r="I170" i="4"/>
  <c r="I166" i="4"/>
  <c r="I168" i="4"/>
  <c r="L168" i="4" s="1"/>
  <c r="E306" i="4"/>
  <c r="Y289" i="4" l="1"/>
  <c r="Y290" i="4"/>
  <c r="Y288" i="4"/>
  <c r="Q252" i="4"/>
  <c r="Q251" i="4" a="1"/>
  <c r="Q251" i="4" s="1"/>
  <c r="X256" i="4" l="1"/>
  <c r="X257" i="4" s="1"/>
  <c r="Q253" i="4" s="1"/>
  <c r="Q214" i="4" l="1"/>
  <c r="H25" i="4"/>
  <c r="F167" i="4"/>
  <c r="F170" i="4"/>
  <c r="F166" i="4"/>
  <c r="B158" i="4"/>
  <c r="B165" i="4" s="1"/>
  <c r="J50" i="4"/>
  <c r="J56" i="4"/>
  <c r="J57" i="4"/>
  <c r="B52" i="4"/>
  <c r="L53" i="4" l="1"/>
  <c r="N53" i="4" s="1"/>
  <c r="L55" i="4"/>
  <c r="N55" i="4" s="1"/>
  <c r="P55" i="4" s="1"/>
  <c r="B161" i="4" s="1"/>
  <c r="B168" i="4" s="1"/>
  <c r="O168" i="4" s="1"/>
  <c r="B253" i="4" s="1"/>
  <c r="L54" i="4"/>
  <c r="N54" i="4" s="1"/>
  <c r="P54" i="4" s="1"/>
  <c r="B160" i="4" s="1"/>
  <c r="B167" i="4" s="1"/>
  <c r="L57" i="4"/>
  <c r="N57" i="4" s="1"/>
  <c r="L56" i="4"/>
  <c r="N56" i="4" s="1"/>
  <c r="B182" i="4" l="1"/>
  <c r="B216" i="4"/>
  <c r="L166" i="4"/>
  <c r="L167" i="4"/>
  <c r="L170" i="4"/>
  <c r="N28" i="4" l="1"/>
  <c r="N29" i="4"/>
  <c r="H28" i="4"/>
  <c r="H29" i="4"/>
  <c r="P29" i="4" l="1"/>
  <c r="B57" i="4" s="1"/>
  <c r="P57" i="4" s="1"/>
  <c r="B163" i="4" s="1"/>
  <c r="P28" i="4"/>
  <c r="B56" i="4" s="1"/>
  <c r="P56" i="4" s="1"/>
  <c r="P25" i="4"/>
  <c r="B170" i="4" l="1"/>
  <c r="O170" i="4" s="1"/>
  <c r="O167" i="4"/>
  <c r="B252" i="4" s="1"/>
  <c r="B162" i="4"/>
  <c r="B169" i="4" s="1"/>
  <c r="O169" i="4" s="1"/>
  <c r="B53" i="4"/>
  <c r="P53" i="4" s="1"/>
  <c r="B159" i="4" s="1"/>
  <c r="B166" i="4" s="1"/>
  <c r="O166" i="4" s="1"/>
  <c r="P32" i="4"/>
  <c r="P31" i="4"/>
  <c r="B181" i="4" l="1"/>
  <c r="B215" i="4"/>
  <c r="B254" i="4"/>
  <c r="B183" i="4"/>
  <c r="B217" i="4"/>
  <c r="B255" i="4"/>
  <c r="B218" i="4"/>
  <c r="B184" i="4"/>
  <c r="B251" i="4"/>
  <c r="B214" i="4"/>
  <c r="B180" i="4"/>
  <c r="P59" i="4"/>
  <c r="P60" i="4"/>
  <c r="P172" i="4"/>
  <c r="P173" i="4"/>
  <c r="P33" i="4"/>
  <c r="P216" i="4" l="1"/>
  <c r="P185" i="4"/>
  <c r="P181" i="4"/>
  <c r="P184" i="4"/>
  <c r="P190" i="4"/>
  <c r="K288" i="4" s="1"/>
  <c r="AA288" i="4" s="1"/>
  <c r="P222" i="4"/>
  <c r="P221" i="4"/>
  <c r="P217" i="4"/>
  <c r="K289" i="4" s="1"/>
  <c r="AA289" i="4" s="1"/>
  <c r="P261" i="4"/>
  <c r="P260" i="4"/>
  <c r="P255" i="4"/>
  <c r="P256" i="4"/>
  <c r="P61" i="4"/>
  <c r="P174" i="4"/>
  <c r="Y202" i="4" l="1"/>
  <c r="Y238" i="4"/>
  <c r="Y237" i="4"/>
  <c r="Y201" i="4"/>
  <c r="Y278" i="4"/>
  <c r="Y277" i="4"/>
  <c r="Y200" i="4"/>
  <c r="Y198" i="4"/>
  <c r="Y236" i="4"/>
  <c r="Y235" i="4"/>
  <c r="Y234" i="4"/>
  <c r="Y199" i="4"/>
  <c r="P227" i="4"/>
  <c r="G289" i="4"/>
  <c r="Z289" i="4" s="1"/>
  <c r="G288" i="4"/>
  <c r="Z288" i="4" s="1"/>
  <c r="P228" i="4"/>
  <c r="O289" i="4" s="1"/>
  <c r="X289" i="4" s="1"/>
  <c r="P219" i="4"/>
  <c r="P220" i="4"/>
  <c r="P183" i="4"/>
  <c r="P182" i="4"/>
  <c r="P191" i="4"/>
  <c r="O288" i="4" s="1"/>
  <c r="W201" i="4" l="1"/>
  <c r="W202" i="4"/>
  <c r="X237" i="4"/>
  <c r="X238" i="4"/>
  <c r="W237" i="4"/>
  <c r="W238" i="4"/>
  <c r="X202" i="4"/>
  <c r="X201" i="4"/>
  <c r="X198" i="4"/>
  <c r="X199" i="4"/>
  <c r="X200" i="4"/>
  <c r="W200" i="4"/>
  <c r="W199" i="4"/>
  <c r="W198" i="4"/>
  <c r="W234" i="4"/>
  <c r="W235" i="4"/>
  <c r="W236" i="4"/>
  <c r="X235" i="4"/>
  <c r="X236" i="4"/>
  <c r="X234" i="4"/>
  <c r="AD218" i="4"/>
  <c r="AD219" i="4"/>
  <c r="AD220" i="4"/>
  <c r="AD221" i="4"/>
  <c r="AD214" i="4"/>
  <c r="AD215" i="4"/>
  <c r="AD222" i="4"/>
  <c r="P224" i="4" a="1"/>
  <c r="P224" i="4" s="1"/>
  <c r="X226" i="4" s="1"/>
  <c r="P187" i="4" a="1"/>
  <c r="P187" i="4" s="1"/>
  <c r="X189" i="4" s="1"/>
  <c r="X288" i="4"/>
  <c r="N187" i="4" l="1"/>
  <c r="P188" i="4"/>
  <c r="P225" i="4"/>
  <c r="N224" i="4"/>
  <c r="Y275" i="4" l="1"/>
  <c r="Y274" i="4"/>
  <c r="Y276" i="4"/>
  <c r="G290" i="4"/>
  <c r="Z290" i="4" s="1"/>
  <c r="P259" i="4"/>
  <c r="P258" i="4"/>
  <c r="P267" i="4"/>
  <c r="O290" i="4" s="1"/>
  <c r="P266" i="4"/>
  <c r="K290" i="4" s="1"/>
  <c r="AA290" i="4" s="1"/>
  <c r="W278" i="4" l="1"/>
  <c r="W277" i="4"/>
  <c r="X277" i="4"/>
  <c r="X278" i="4"/>
  <c r="X276" i="4"/>
  <c r="X274" i="4"/>
  <c r="X275" i="4"/>
  <c r="W275" i="4"/>
  <c r="W276" i="4"/>
  <c r="W274" i="4"/>
  <c r="X290" i="4"/>
  <c r="G292" i="4"/>
  <c r="G295" i="4" s="1"/>
  <c r="E303" i="4" s="1"/>
  <c r="P263" i="4" a="1"/>
  <c r="P263" i="4" s="1"/>
  <c r="X266" i="4" s="1"/>
  <c r="G294" i="4" l="1"/>
  <c r="E302" i="4" s="1"/>
  <c r="G293" i="4"/>
  <c r="N263" i="4"/>
  <c r="P264" i="4"/>
  <c r="M331" i="4" l="1"/>
  <c r="M332" i="4" s="1"/>
  <c r="L420" i="4" s="1"/>
  <c r="E312" i="4"/>
  <c r="E311" i="4"/>
  <c r="O312" i="4"/>
  <c r="X425" i="4" l="1"/>
  <c r="L423" i="4"/>
  <c r="L426" i="4" s="1"/>
  <c r="O311" i="4"/>
  <c r="O313" i="4" s="1"/>
  <c r="A315" i="4" s="1" a="1"/>
  <c r="A315" i="4" s="1"/>
  <c r="L448" i="4" l="1"/>
  <c r="L445" i="4" s="1"/>
  <c r="L446" i="4" s="1"/>
  <c r="S444" i="4" s="1"/>
  <c r="W426" i="4"/>
  <c r="W425" i="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<sst xmlns="http://schemas.openxmlformats.org/spreadsheetml/2006/main" count="722" uniqueCount="520">
  <si>
    <t>Topografia</t>
  </si>
  <si>
    <t>Pavimentação</t>
  </si>
  <si>
    <t>Metrô</t>
  </si>
  <si>
    <t>Situação:</t>
  </si>
  <si>
    <t>Formato:</t>
  </si>
  <si>
    <t>Testada:</t>
  </si>
  <si>
    <t>Fração ideal:</t>
  </si>
  <si>
    <t>Regular</t>
  </si>
  <si>
    <t>Ocupação:</t>
  </si>
  <si>
    <t>Playground</t>
  </si>
  <si>
    <t>Interfone</t>
  </si>
  <si>
    <t>Quadra</t>
  </si>
  <si>
    <t>Sauna</t>
  </si>
  <si>
    <t>Churrasqueira</t>
  </si>
  <si>
    <t>Fator de oferta aplicável</t>
  </si>
  <si>
    <t>Fator</t>
  </si>
  <si>
    <t>Negociação concluída</t>
  </si>
  <si>
    <t>Item</t>
  </si>
  <si>
    <t>Área</t>
  </si>
  <si>
    <t>Valor unitário
(R$/m²)</t>
  </si>
  <si>
    <t>VALOR UNITÁRIO E AJUSTE PRÉVIO AO FATOR DE OFERTA</t>
  </si>
  <si>
    <t>Fator aplicável</t>
  </si>
  <si>
    <t>Valor unitário ajustado</t>
  </si>
  <si>
    <t>Fator de homogeneização</t>
  </si>
  <si>
    <t>Fator de testada</t>
  </si>
  <si>
    <t>Fator de profundidade</t>
  </si>
  <si>
    <t>Fator de esquina</t>
  </si>
  <si>
    <t>Fator de topografia</t>
  </si>
  <si>
    <t>Fator de consistência do solo</t>
  </si>
  <si>
    <t>HOMOGENEIZAÇÃO</t>
  </si>
  <si>
    <t>Somatório</t>
  </si>
  <si>
    <t>Somatório do bem avaliando</t>
  </si>
  <si>
    <t>Valor unitário homogeneizado</t>
  </si>
  <si>
    <t>Bem avaliando</t>
  </si>
  <si>
    <t>Fatores</t>
  </si>
  <si>
    <t>Coeficiente de variação</t>
  </si>
  <si>
    <t>Média</t>
  </si>
  <si>
    <t>Desvio-padrão</t>
  </si>
  <si>
    <t>MELHORAMENTOS PÚBLICOS</t>
  </si>
  <si>
    <t>Coeficientes</t>
  </si>
  <si>
    <t>Melhoramentos públicos</t>
  </si>
  <si>
    <t>Comparação
(diferença)</t>
  </si>
  <si>
    <t>Valor homogeneizado</t>
  </si>
  <si>
    <t>Intervalo de segurança</t>
  </si>
  <si>
    <t>Limite inferior</t>
  </si>
  <si>
    <t>Limite superior</t>
  </si>
  <si>
    <t>Valor mínimo</t>
  </si>
  <si>
    <t>Valor máximo</t>
  </si>
  <si>
    <t>Desvio padrão</t>
  </si>
  <si>
    <t>SANEAMENTO (INTERVALO EM TORNO DA MÉDIA)</t>
  </si>
  <si>
    <t>Saneamento</t>
  </si>
  <si>
    <t>Excluir item</t>
  </si>
  <si>
    <t>SANEAMENTO (CRITÉRIO DE CHAUVENET)</t>
  </si>
  <si>
    <t>Valor crítico</t>
  </si>
  <si>
    <t>SANEAMENTO (CRITÉRIO DE ARLEY)</t>
  </si>
  <si>
    <t>Nível de significância</t>
  </si>
  <si>
    <t>Graus de liberdade</t>
  </si>
  <si>
    <t>Modo</t>
  </si>
  <si>
    <t>Intervalo em torno da média</t>
  </si>
  <si>
    <t>Critério de Chauvenet</t>
  </si>
  <si>
    <t>Critério de Arley</t>
  </si>
  <si>
    <t>Menor coeficiente de variação</t>
  </si>
  <si>
    <t>Procedimento</t>
  </si>
  <si>
    <t>Média a ser aplicada</t>
  </si>
  <si>
    <t>comercial</t>
  </si>
  <si>
    <t>condomínio/loteamento fechado</t>
  </si>
  <si>
    <t>isolada</t>
  </si>
  <si>
    <t>regular</t>
  </si>
  <si>
    <t>Bom</t>
  </si>
  <si>
    <t>Intervalo de confiança</t>
  </si>
  <si>
    <t>Desvio-padrão a ser aplicado</t>
  </si>
  <si>
    <t>Amplitude</t>
  </si>
  <si>
    <t>Grau de precisao</t>
  </si>
  <si>
    <t>Área do terreno avaliando</t>
  </si>
  <si>
    <t>Valor unitário (R$/m²)</t>
  </si>
  <si>
    <t>Avaliação</t>
  </si>
  <si>
    <t>Arredondamento</t>
  </si>
  <si>
    <t>Casas decimais</t>
  </si>
  <si>
    <t>Valor (arredondamento)</t>
  </si>
  <si>
    <t>Percentual (arredondamento)</t>
  </si>
  <si>
    <t>Fontes:</t>
  </si>
  <si>
    <t>ABUNAHAM, S.A. Curso básico de engenharia legal e de avaliações. 4. ed. rev. e ampl. São Paulo: Pini, 2008, p. 50 e 329.</t>
  </si>
  <si>
    <t>I</t>
  </si>
  <si>
    <t>Matrícula nº</t>
  </si>
  <si>
    <t>Oficiala de Justiça / Oficial de Justiça</t>
  </si>
  <si>
    <t>Quando a homogeneização é feita em relação a um paradigma, o resultado do tratamento estatístico fornece um valor unitário básico. Deve-se observar que, partindo-se do valor unitário básico, para a avaliação do objeto os fatores de homogeneização apresentados devem ser usados de forma invertida. Isto porque, se um TR tem uma vantagem em relação ao paradigma, esta vantagem deve ser retirada na fase de homogeneização; porém, conhecendo-se o valor unitário básico, se um terreno avaliando tem uma vantagem em relação ao paradigma, esta vantagem deve ser dada. É o raciocínio inverso (Dantas, 1998, p. 21).</t>
  </si>
  <si>
    <t>Código</t>
  </si>
  <si>
    <t>Descrição</t>
  </si>
  <si>
    <t>Grau</t>
  </si>
  <si>
    <t>Amplitude do intervalo de confiança de 80 % em torno da estimativa de tendência central</t>
  </si>
  <si>
    <t>Tabela 5 - Grau de precisão nos casos de utilização de modelos de regressão linear ou do tratamento por fatores</t>
  </si>
  <si>
    <t>III</t>
  </si>
  <si>
    <t>II</t>
  </si>
  <si>
    <t>Demonstração visual do conjunto de dados após a homogeneização.</t>
  </si>
  <si>
    <t>Demonstração do ajuste dos itens da amostra ao paradigma.</t>
  </si>
  <si>
    <t>Demonstração visual da situação da amostra antes da homogeneização.</t>
  </si>
  <si>
    <t>Avaliação do terreno</t>
  </si>
  <si>
    <t>≤30%</t>
  </si>
  <si>
    <t>≤40%</t>
  </si>
  <si>
    <t>≤50%</t>
  </si>
  <si>
    <t>O grau de precisão calculado foi inferior a 30% (trinta por cento); em razão disso, o laudo atingiu o grau de fundamentação III, máximo previsto na tabela 5 do item 9.2.3 da NBR 14653-2:2011 (Avaliação de bens. Parte 2: Imóveis urbanos).</t>
  </si>
  <si>
    <t>O grau de precisão calculado foi superior a 30% (trinta por cento) e inferior a 40% (quarenta por cento); em razão disso, o laudo atingiu o grau de fundamentação II, conforme previsão contida na tabela 5 do item 9.2.3 da NBR 14653-2:2011 (Avaliação de bens. Parte 2: Imóveis urbanos).</t>
  </si>
  <si>
    <t>O grau de precisão calculado foi inferior a superior a 40% (quarenta por cento) e inferior a 50% (cinquenta por cento); em razão disso, o laudo atingiu o grau de fundamentação I, conforme previsão contida na tabela 5 do item 9.2.3 da NBR 14653-2:2011 (Avaliação de bens. Parte 2: Imóveis urbanos).</t>
  </si>
  <si>
    <t>ARLEY, Niels; BUCH, Kai Rander. Introducción a la teoría de la probabilidad y de la estadística. Tradução: Fernando Bombal Gordón. Madrid: Editorial Alhambra S.A., 1968.</t>
  </si>
  <si>
    <t>FIKER, José. Avaliação de imóveis urbanos. 4. ed. rev. e ampl. São Paulo: Pini, 1993.</t>
  </si>
  <si>
    <t>MEDEIROS JÚNIOR, J.R.; PELLEGRINO, José Carlos. Método do custo: o terceiro componente. In: Avaliações para garantias: Instituto Brasileiro de Avaliações e Perícias de Engenharia. São Paulo: Pini, 1983, p. 101-102.</t>
  </si>
  <si>
    <t>PELLEGRINO, José Carlos. Valor em marcha. In: Anais do I Congresso Brasileiro de Engenharia de Avaliações / [patrocínio do] Instituto Brasileiro de Avaliações e Perícias de Engenharia – IBAPE. São Paulo: Pini, 1978, p. 282.</t>
  </si>
  <si>
    <t>LAUDO DE VISTORIA DE IMÓVEL - ARTIGO 872 do CPC</t>
  </si>
  <si>
    <t>1 - Dados básicos do processo e do imóvel objeto da vistoria</t>
  </si>
  <si>
    <t>Processo:</t>
  </si>
  <si>
    <t>Requerente:</t>
  </si>
  <si>
    <t>Requerido:</t>
  </si>
  <si>
    <t>Cartório de Registro:</t>
  </si>
  <si>
    <t>Prefeitura da situação:</t>
  </si>
  <si>
    <t>Vistoria acompanhada por:</t>
  </si>
  <si>
    <t>Data da Vistoria:</t>
  </si>
  <si>
    <t>Hora de início da vistoria:</t>
  </si>
  <si>
    <t>2.1 - Localização e tipo de uso do imóvel</t>
  </si>
  <si>
    <t>Facilidade de acesso ao imóvel:</t>
  </si>
  <si>
    <t>Uso predominante de lotes na região:</t>
  </si>
  <si>
    <t>difícil</t>
  </si>
  <si>
    <t>bom</t>
  </si>
  <si>
    <t>residencial multifamiliar</t>
  </si>
  <si>
    <t>razoável</t>
  </si>
  <si>
    <t>ótimo</t>
  </si>
  <si>
    <t>residencial unifamiliar</t>
  </si>
  <si>
    <t>industrial</t>
  </si>
  <si>
    <t>Tipo de implantação:</t>
  </si>
  <si>
    <t>2.2 - Condições de infraestrutura urbana da localidade</t>
  </si>
  <si>
    <t>rede água potável</t>
  </si>
  <si>
    <t>rede elétrica</t>
  </si>
  <si>
    <t>telecomunicações</t>
  </si>
  <si>
    <t>iluminação pública (na via do lote)</t>
  </si>
  <si>
    <t>rede de água pluvial</t>
  </si>
  <si>
    <t>rede de esgoto</t>
  </si>
  <si>
    <t>pavimentação</t>
  </si>
  <si>
    <t>gás canalizado</t>
  </si>
  <si>
    <t>2.3 - Serviços e equipamentos comunitários da localidade</t>
  </si>
  <si>
    <t>comércio</t>
  </si>
  <si>
    <t>rede bancária</t>
  </si>
  <si>
    <t>saúde</t>
  </si>
  <si>
    <t>lazer</t>
  </si>
  <si>
    <t>transporte coletivo</t>
  </si>
  <si>
    <t>segurança pública</t>
  </si>
  <si>
    <t>coleta de lixo</t>
  </si>
  <si>
    <t>escolas</t>
  </si>
  <si>
    <t>2.4 - Dados do lote</t>
  </si>
  <si>
    <t>esquina</t>
  </si>
  <si>
    <t>meio de quadra</t>
  </si>
  <si>
    <t>final de via sem saída</t>
  </si>
  <si>
    <t>irregular</t>
  </si>
  <si>
    <t>plano</t>
  </si>
  <si>
    <t>Superfície:</t>
  </si>
  <si>
    <t>seco</t>
  </si>
  <si>
    <t>brejoso</t>
  </si>
  <si>
    <t>alagável</t>
  </si>
  <si>
    <t>outra:</t>
  </si>
  <si>
    <t>sim</t>
  </si>
  <si>
    <t>não</t>
  </si>
  <si>
    <t>abaixo</t>
  </si>
  <si>
    <t>mesmo nível</t>
  </si>
  <si>
    <t>acima</t>
  </si>
  <si>
    <t>2.5 - Localização e ocupação do imóvel</t>
  </si>
  <si>
    <t>Localização:</t>
  </si>
  <si>
    <t>ótima</t>
  </si>
  <si>
    <t>boa</t>
  </si>
  <si>
    <t>ruim</t>
  </si>
  <si>
    <t>ocupado</t>
  </si>
  <si>
    <t>desocupado</t>
  </si>
  <si>
    <t>locado</t>
  </si>
  <si>
    <t>arrendado</t>
  </si>
  <si>
    <t>cedido</t>
  </si>
  <si>
    <t>comodato</t>
  </si>
  <si>
    <t>invadido</t>
  </si>
  <si>
    <t>2.6 - Condições sanitárias</t>
  </si>
  <si>
    <t>Abastecimento de água:</t>
  </si>
  <si>
    <t>não possui</t>
  </si>
  <si>
    <t>poço</t>
  </si>
  <si>
    <t>rede de água potável</t>
  </si>
  <si>
    <t>Solução sanitária:</t>
  </si>
  <si>
    <t>fossa séptica e sumidouro</t>
  </si>
  <si>
    <t>2.7 - Equipamentos diversos</t>
  </si>
  <si>
    <t>muros</t>
  </si>
  <si>
    <t>alarmes</t>
  </si>
  <si>
    <t>cerca elétrica</t>
  </si>
  <si>
    <t>câmeras</t>
  </si>
  <si>
    <t>interfone</t>
  </si>
  <si>
    <t>portão manual</t>
  </si>
  <si>
    <t>portão eletrônico</t>
  </si>
  <si>
    <t>Averbadas</t>
  </si>
  <si>
    <t>Não averbadas (passíveis de averbação)</t>
  </si>
  <si>
    <t>Privativa total:</t>
  </si>
  <si>
    <t>Comuns:</t>
  </si>
  <si>
    <t>Total:</t>
  </si>
  <si>
    <t>Ruim</t>
  </si>
  <si>
    <t>CFTV</t>
  </si>
  <si>
    <t>2.10 - Informações relativas ao condomínio, se o caso</t>
  </si>
  <si>
    <t>Estado de conservação:</t>
  </si>
  <si>
    <t>Em implantação</t>
  </si>
  <si>
    <t>Portaria 24hs</t>
  </si>
  <si>
    <t>Hidrômetro Individual</t>
  </si>
  <si>
    <t>Portão eletrônico</t>
  </si>
  <si>
    <t>Poço artesiano</t>
  </si>
  <si>
    <t>Cerca elétrica</t>
  </si>
  <si>
    <t>outro:</t>
  </si>
  <si>
    <t>Nenhum</t>
  </si>
  <si>
    <t>Vista para o mar</t>
  </si>
  <si>
    <t>Vista para parques, áreas verdes, paisagens</t>
  </si>
  <si>
    <t>Vista permanente</t>
  </si>
  <si>
    <t>Outros:</t>
  </si>
  <si>
    <t>Rede de alta tensão</t>
  </si>
  <si>
    <t>Feira livre</t>
  </si>
  <si>
    <t>Córrego</t>
  </si>
  <si>
    <t>Presídio</t>
  </si>
  <si>
    <t>Favela</t>
  </si>
  <si>
    <t>A) As informações apresentadas na documentação correspondem às verificadas na vistoria?</t>
  </si>
  <si>
    <t>SIM</t>
  </si>
  <si>
    <t>NÃO</t>
  </si>
  <si>
    <t>B) O imóvel aparenta condições de estabilidade e solidez?</t>
  </si>
  <si>
    <t>C) O imóvel apresenta vícios de construção aparentes?</t>
  </si>
  <si>
    <t xml:space="preserve">D) O imóvel aparenta condições de habitabilidade? </t>
  </si>
  <si>
    <t xml:space="preserve">E) O imóvel é afetado significativamente por fatores ambientais, climáticos, localização, etc.? </t>
  </si>
  <si>
    <t>E) Informações adicionais relevantes:</t>
  </si>
  <si>
    <t>Hora de término da vistoria:</t>
  </si>
  <si>
    <t>2.8 - Áreas do imóvel - lote ou gleba</t>
  </si>
  <si>
    <t>ÁREA TOTAL DO LOTE/GLEBA:</t>
  </si>
  <si>
    <t>2.10 - Valorizantes</t>
  </si>
  <si>
    <t>2 - Dados obtidos durante a vistoria e análise de documentos do imóvel</t>
  </si>
  <si>
    <t>misto: residência e comercial/industrial</t>
  </si>
  <si>
    <t>Oficial de Justiça:</t>
  </si>
  <si>
    <t>Endereço do imóvel:</t>
  </si>
  <si>
    <t>Matrícula do imóvel:</t>
  </si>
  <si>
    <t>Número do cadastro municipal:</t>
  </si>
  <si>
    <t>Área do  lote (m²):</t>
  </si>
  <si>
    <t>Número de frentes:</t>
  </si>
  <si>
    <t>aclive maior que 10%</t>
  </si>
  <si>
    <t>declive maiore que10%</t>
  </si>
  <si>
    <t>Nível em relação à via:</t>
  </si>
  <si>
    <t>2.11 - Depreciantes</t>
  </si>
  <si>
    <t>2.12 - Informações complementares</t>
  </si>
  <si>
    <t>Assinatura do Oficial de Justiça:</t>
  </si>
  <si>
    <t>ASSINADO DIGITALMENTE</t>
  </si>
  <si>
    <t>O intervalo de confiança é o intervalo de valores dentro do qual está contido o parâmetro populacional com determinada confiança (item 3.40 da NBR 14653-2:2011. Avaliação de bens. Parte 2: Imóveis urbanos). Os limites da amplitude do intervalo de confiança são aqueles previstos no item 9.2.3, tabela 5 da NBR 14653-2:2011.</t>
  </si>
  <si>
    <t>Situação no mercado</t>
  </si>
  <si>
    <t>Dados efetivamente utilizados</t>
  </si>
  <si>
    <t>AMOSTRA. CONJUNTO DE DADOS COLETADOS NO MERCADO.</t>
  </si>
  <si>
    <t>ASSOCIAÇÃO BRASILEIRA DE NORMAS TÉCNICAS. NBR 14653-1:2019. Avaliação bens. Parte 1: Procedimentos gerais.</t>
  </si>
  <si>
    <t>______. NBR 14653-2:2011. Avaliação bens. Parte 2: Imóveis urbanos.</t>
  </si>
  <si>
    <t>BERRINI, Luiz Carlos. Avaliações de imóveis. 4. ed. revista e atualizada por Luiz Carlos Berrini Júnior. Rio de Janeiro: Livraria Freitas Bastos S.A., 1960.</t>
  </si>
  <si>
    <t>CANTEIRO, João Ruy. Construções: seus custos de reprodução na capital de São Paulo de 1939 a 1979; Terrenos: subsídios à técnica de avaliação. 3. ed. São Paulo: Pini, 1980.</t>
  </si>
  <si>
    <t>DANTAS, Rubens Alves. Engenharia de avaliações: uma introdução à metodologia científica. São Paulo: Pini, 1998.</t>
  </si>
  <si>
    <t>______. Manual de avaliações e perícias em imóveis urbanos: de acordo com a nova norma NBR 14653-2 – Avaliações de Imóveis Urbanos e com a Norma para Avaliação de Imóveis Urbanos Ibape/SP – 2005. 4. ed. São Paulo: Pini, 2016.</t>
  </si>
  <si>
    <t>______. Manual de avaliações e perícias em imóveis urbanos: de acordo com a nova norma NBR 14653-2 – Avaliações de Imóveis Urbanos e com a Norma para Avaliação de Imóveis Urbanos Ibape/SP – 2011. 5. ed. São Paulo: Oficina de Textos, 2019.</t>
  </si>
  <si>
    <t>MEDEIROS JÚNIOR, Joaquim da Rocha. Vantagem da coisa feita na avaliação de imóveis pelo método do custo. In: Engenharia de avaliações. Instituto Brasileiro de Avaliações e Perícias de Engenharia – IBAPE. São Paulo: Pini, 1974.</t>
  </si>
  <si>
    <t>NASSER JÚNIOR, Radegaz. Avaliação de bens: princípios e aplicações. 2. ed revista e atualizada [recurso eletrônico]. São Paulo: Liv. e Ed. Universitária de Direito, 2013.</t>
  </si>
  <si>
    <t>______. Avaliação de bens: princípios básicos e aplicações. 3. ed. São Paulo: Editora Leud, 2019.</t>
  </si>
  <si>
    <t>THOFEHRN, Ragnar. Avaliação de terrenos urbanos: por fórmulas matemáticas. São Paulo: Pini, 2008.</t>
  </si>
  <si>
    <t>VEGNI-NERI, Guilherme Bomfim dei. Avaliação de imóveis urbanos e rurais: método prático e moderno. 4. ed. revista, melhorada e atualizada. São Paulo: Ed. Nacional, 1979.</t>
  </si>
  <si>
    <t>AVALIAÇÃO DE TERRENO PELO MÉTODO COMPARATIVO DIRETO DE DADOS DE MERCADO</t>
  </si>
  <si>
    <t>INFORMAR O NÚMERO DE DADOS QUE FORAM EFETIVAMENTE UTILIZADOS</t>
  </si>
  <si>
    <t>O grau de precisão calculado foi superio a 50% (cinquenta por cento). Não há classificação do resultado quanto à precisão, sendo necessário apresentar justificativa com base no diagnóstico do mercado (Nota feita à tabela 5 do item 9.2.3 da NBR 14653-2:2011 (Avaliação de bens. Parte 2: Imóveis urbanos).</t>
  </si>
  <si>
    <t>Na ausência de alguns dos melhoramentos assinalados, o valor unitário básico deverá ser reduzido multiplicando-se este valor pela recíproca da unidade somada às porcentagens correspondentes aos melhoramentos não existentes (Canteiro, 1980, p. 116).</t>
  </si>
  <si>
    <t>Quantidade de dados de mercado, efetivamente utilizados</t>
  </si>
  <si>
    <t>Tabela 3 - Grau de fundamentação no caso de utilização do tratamento por fatores (NBR 14653-2:2011. Avaliação de bens. Parte 2: Imóveis urbanos)</t>
  </si>
  <si>
    <t>Fator correspondente ao somatório de coeficientes acima:</t>
  </si>
  <si>
    <r>
      <t>COEFICIENTE DA VANTAGEM DA COISA FEITA (</t>
    </r>
    <r>
      <rPr>
        <b/>
        <i/>
        <sz val="10"/>
        <rFont val="Arial Nova"/>
        <family val="2"/>
      </rPr>
      <t xml:space="preserve"> k</t>
    </r>
    <r>
      <rPr>
        <b/>
        <i/>
        <vertAlign val="subscript"/>
        <sz val="10"/>
        <rFont val="Arial Nova"/>
        <family val="2"/>
      </rPr>
      <t>cf</t>
    </r>
    <r>
      <rPr>
        <b/>
        <sz val="10"/>
        <rFont val="Arial Nova"/>
        <family val="2"/>
      </rPr>
      <t xml:space="preserve"> )</t>
    </r>
  </si>
  <si>
    <t>A justificativa para a aplicação do fator da vantagem da coisa feita é a constatação no mercado de que o interessado está disposto a pagar mais por aquilo que já está pronto para ser desfrutado (uso ou fonte de renda) de imediato do que por aquilo que somente poderá ser desfrutado no futuro.</t>
  </si>
  <si>
    <t>Os coeficientes de vantagem da coisa feita variam em função do tipo e da idade da construção.</t>
  </si>
  <si>
    <t>Tipo de construção</t>
  </si>
  <si>
    <t>Novo</t>
  </si>
  <si>
    <t>De 0 a 10 anos</t>
  </si>
  <si>
    <t>De 10 a 20 anos</t>
  </si>
  <si>
    <t>De 20 a 30 anos</t>
  </si>
  <si>
    <t>Grande estrutura</t>
  </si>
  <si>
    <t>Posição na coluna</t>
  </si>
  <si>
    <t>Pequena estrutura e residencial de luxo</t>
  </si>
  <si>
    <t>Posição na linha</t>
  </si>
  <si>
    <t>Industrial e residencial médio</t>
  </si>
  <si>
    <t>IDADE</t>
  </si>
  <si>
    <t>Residencial modesto e proletárias</t>
  </si>
  <si>
    <t>VARIAÇÃO DOS COEFICIENTES DA VANTAGEM DA COISA FEITA</t>
  </si>
  <si>
    <t>Os coeficientes de redução pela idade não se aplicam a zonas comerciais altamente valorizadas.</t>
  </si>
  <si>
    <t>Na tabela abaixo a idade do imóvel está em anos; não se trata de percentual da vida útil do imóvel.</t>
  </si>
  <si>
    <t>Observação:</t>
  </si>
  <si>
    <t>foram calculados os valores dos intervalos de cada faixa de tal forma que a cada ano correspondesse um coeficiente específico</t>
  </si>
  <si>
    <r>
      <t xml:space="preserve">A </t>
    </r>
    <r>
      <rPr>
        <b/>
        <sz val="10"/>
        <rFont val="Arial Nova"/>
        <family val="2"/>
      </rPr>
      <t>vantagem da coisa feita</t>
    </r>
    <r>
      <rPr>
        <sz val="10"/>
        <rFont val="Arial Nova"/>
        <family val="2"/>
      </rPr>
      <t xml:space="preserve"> é o acréscimo do valor que tem um determinado imóvel pela sua vantagem de estar construído e pronto para ser utilizado, em relação a outro semelhante, mas ainda por construir. Portanto, deverm ser aplicados os percentuais de incremento segundo o Eng. Joaquim da Rocha Medeiros Jr, citado por Sérgio Antônio Abunaham (ABUNAHAM, Sérgio Antônio. Curso básico de engenharia legal e de avaliações. 4. ed. rev. e ampl. São Paulo: Pini, 2008, p. 50).</t>
    </r>
  </si>
  <si>
    <t>TABELA DE VIDA REFERENCIAL E VALOR RESIDUAL</t>
  </si>
  <si>
    <t>CLASSE</t>
  </si>
  <si>
    <t>TIPO</t>
  </si>
  <si>
    <t>PADRÃO</t>
  </si>
  <si>
    <t>VALOR REFERENCIAL</t>
  </si>
  <si>
    <t>VALOR RESIDUAL</t>
  </si>
  <si>
    <t>ANOS</t>
  </si>
  <si>
    <t>RESIDENCIAL</t>
  </si>
  <si>
    <t>BARRACO</t>
  </si>
  <si>
    <t>RÚSTICO</t>
  </si>
  <si>
    <t>SIMPLES</t>
  </si>
  <si>
    <t>CASA</t>
  </si>
  <si>
    <t>PROLETÁRIO</t>
  </si>
  <si>
    <t>ECONÔMICO</t>
  </si>
  <si>
    <t>MÉDIO</t>
  </si>
  <si>
    <t>SUPERIOR</t>
  </si>
  <si>
    <t>FINO</t>
  </si>
  <si>
    <t>LUXO</t>
  </si>
  <si>
    <t>APARTAMENTO</t>
  </si>
  <si>
    <t>COMERCIAL</t>
  </si>
  <si>
    <t>ESCRITÓRIO</t>
  </si>
  <si>
    <t>GALPÕES</t>
  </si>
  <si>
    <t>COBERTURAS</t>
  </si>
  <si>
    <t>FIKER, J. Manual de avaliações e perícias em imóveis urbanos. 4. ed. São Paulo: Pini, 2016, p. 84.</t>
  </si>
  <si>
    <t>NASSER JUNIOR, R. Avaliação de bens: princípios básicos e aplicações. 2. ed. rev. e atualizada. São Paulo: LEUD, 2013, p. 107.</t>
  </si>
  <si>
    <t>Classificação dos estados de conservação e respectivos valores relativos da escala Heidecke</t>
  </si>
  <si>
    <t>Classe</t>
  </si>
  <si>
    <t>Referência</t>
  </si>
  <si>
    <t>Valor relativo</t>
  </si>
  <si>
    <t>Características</t>
  </si>
  <si>
    <t>A</t>
  </si>
  <si>
    <t>Edificação nova ou com reforma geral e substancial, com menos de dois anos, que apresente apenas sinais de desgaste natural da pintura externa.</t>
  </si>
  <si>
    <t>B</t>
  </si>
  <si>
    <t>Entre novo e regular</t>
  </si>
  <si>
    <t>Edificação nova ou com reforma geral e substancial, com menos de dois anos, que apresente necessidade apenas de uma demão leve de pintura para recompor a sua aparência</t>
  </si>
  <si>
    <t>C</t>
  </si>
  <si>
    <t>Edificação seminova ou com reforma geral e substancial entre 2 e 5 anos, cujo estado geral possa ser recuperado apenas com reparos de eventuais fissuras superficiais localizadas e/ou pintura externa e interna.</t>
  </si>
  <si>
    <t>D</t>
  </si>
  <si>
    <t>Entre regular e reparos simples</t>
  </si>
  <si>
    <t>Edificação seminova ou com reforma geral e substancial entre 2 e 5 anos, cujo estado geral possa ser recuperado com reparo de fissuras e trincas localizadas e superficiais e pintura interna e externa.</t>
  </si>
  <si>
    <t>E</t>
  </si>
  <si>
    <t>Reparos simples</t>
  </si>
  <si>
    <t>Edificação cujo estado geral possa ser recuperado com pintura interna e externa, após reparos de fissuras e trincas superficiais generalizadas, sem recuperação do sistema estrutural. Eventual, revisão do sistema hidráulico e elétrico.</t>
  </si>
  <si>
    <t>F</t>
  </si>
  <si>
    <t>Entre reparos simples e importantes</t>
  </si>
  <si>
    <t>Edificação cujo estado geral possa ser recuperado com pintura interna e externa, após reparos de fissuras e trincas, e com estabilização e/ou recuperação localizada do sistema estrutural; as instalações hidráulicas e elétricas possam ser restauradas mediante a revisão e com substituição eventual de algumas peças desgastadas naturalmente. Eventualmente possa ser necessária a substituição de revestimentos de pisos e paredes, de um ou de outro cômodo. Revisão da impermeabilização ou substituição de telhas da cobertura.</t>
  </si>
  <si>
    <t>G</t>
  </si>
  <si>
    <t>Reparos importantes</t>
  </si>
  <si>
    <t>Edificação cujo estado geral possa ser recuperado com pintura interna e externa, com substituição de panos de regularização da alvenaria, reparos de fissuras e trincas, com estabilização e/ou recuperação de grande parte do sistema estrutural. As instalações hidráulicas e elétricas possam ser restauradas mediante a substituição das peças aparentes. A substituição dos revestimentos de pisos e paredes, da maioria dos cômodos, se faz necessária. Substituição ou reparos importantes na impermeabilização ou no telhado.</t>
  </si>
  <si>
    <t>H</t>
  </si>
  <si>
    <t>Entre reparos importantes e sem valor</t>
  </si>
  <si>
    <t>Edificação cujo estado geral seja recuperado com estabilização e/ou recuperação do sistema estrutural, substituição da regularização da alvenaria, reparos de fissuras e trincas. Substituição das instalações hidráulicas e elétricas. Substituição dos revestimentos de pisos e paredes. Substituição da impermeabilização ou do telhado.</t>
  </si>
  <si>
    <t>Sem valor</t>
  </si>
  <si>
    <t>Edificação em estado de ruína</t>
  </si>
  <si>
    <t>FIKER, J. Avaliação de imóveis urbanos. 4. ed. rev. e ampl. São Paulo: Pini, 1993, p. 82.</t>
  </si>
  <si>
    <t>______, J. Manual de avaliações e perícias em imóveis urbanos. 4 ed. São Paulo: Pini, 2005, p. 86.</t>
  </si>
  <si>
    <t>MOREIRA, A.L. Princípios de engenharia de avaliações  5. ed. rev. e ampl. São Paulo: Pini, 2001, p. 232.</t>
  </si>
  <si>
    <t>Para o último estado de conservação (edificação em estado de ruína), a depreciação será total, independentemente do tempo de vida útil do imóvel, pois nesse caso a edificação individualmente considerada já não possui valor algum e a avaliação será feita sobre eventual valor dos escombros, se houver, ou sobre o valor residual aplicável.</t>
  </si>
  <si>
    <t>CÁLCULO DA DEPRECIAÇÃO DAS EDIFICAÇÕES PELO MÉTODO ROSS-HEIDECKE</t>
  </si>
  <si>
    <r>
      <t xml:space="preserve">Embora os coeficientes de depreciação sejam os mesmos, os estados de conservação podem ser classificados de três formas diferentes:
1. </t>
    </r>
    <r>
      <rPr>
        <b/>
        <sz val="10"/>
        <rFont val="Arial Nova"/>
        <family val="2"/>
      </rPr>
      <t>pelas letras (classificação mais comum)</t>
    </r>
    <r>
      <rPr>
        <sz val="10"/>
        <color theme="1"/>
        <rFont val="Arial Nova"/>
        <family val="2"/>
      </rPr>
      <t xml:space="preserve">: A, B, C, D, E, F, G, H, e I.
2. </t>
    </r>
    <r>
      <rPr>
        <b/>
        <sz val="10"/>
        <rFont val="Arial Nova"/>
        <family val="2"/>
      </rPr>
      <t>por números</t>
    </r>
    <r>
      <rPr>
        <sz val="10"/>
        <color theme="1"/>
        <rFont val="Arial Nova"/>
        <family val="2"/>
      </rPr>
      <t xml:space="preserve">: 1; 1,5; 2; 2,5; 3; 3,5; 4; 4,5, e 5.
3. </t>
    </r>
    <r>
      <rPr>
        <b/>
        <sz val="10"/>
        <rFont val="Arial Nova"/>
        <family val="2"/>
      </rPr>
      <t>pela situação das edificações</t>
    </r>
    <r>
      <rPr>
        <sz val="10"/>
        <color theme="1"/>
        <rFont val="Arial Nova"/>
        <family val="2"/>
      </rPr>
      <t xml:space="preserve">: ótimo, muito bom, bom, intermédio, regular, deficiente, mau, muito mau, e demolição.
</t>
    </r>
    <r>
      <rPr>
        <b/>
        <sz val="10"/>
        <rFont val="Arial Nova"/>
        <family val="2"/>
      </rPr>
      <t>4. pelos códigos</t>
    </r>
    <r>
      <rPr>
        <sz val="10"/>
        <color theme="1"/>
        <rFont val="Arial Nova"/>
        <family val="2"/>
      </rPr>
      <t>: O, MB, B, I, R, D, M, MM, e DM.</t>
    </r>
  </si>
  <si>
    <t>CORRESPONDÊNCIA ENTRE OS COEFICIENTES DE DEPRECIAÇÃO E OS TRÊS MODOS MAIS COMUNS DE CLASSIFICAR AS EDIFICAÇÕES DE ACORDO COM SEU ESTADO DE CONSERVAÇÃO</t>
  </si>
  <si>
    <t>COEFICIENTES DE DEPRECIAÇÃO HEIDECKE</t>
  </si>
  <si>
    <t>CLASSIFICAÇÃO
HEIDECKE</t>
  </si>
  <si>
    <t>CLASSIFICAÇÃO POR NÚMEROS</t>
  </si>
  <si>
    <t>CLASSIFICAÇÃO PELA SITUAÇÃO DAS EDIFICAÇÕES</t>
  </si>
  <si>
    <t>DESCRIÇÃO</t>
  </si>
  <si>
    <t>CÓDIGO</t>
  </si>
  <si>
    <t>Ótimo</t>
  </si>
  <si>
    <t>O</t>
  </si>
  <si>
    <t>Muito bom</t>
  </si>
  <si>
    <t>MB</t>
  </si>
  <si>
    <t>Intermédio</t>
  </si>
  <si>
    <t>R</t>
  </si>
  <si>
    <t>Deficiente</t>
  </si>
  <si>
    <t>Mau</t>
  </si>
  <si>
    <t>M</t>
  </si>
  <si>
    <t>Muito mau</t>
  </si>
  <si>
    <t>MM</t>
  </si>
  <si>
    <t>Demolição</t>
  </si>
  <si>
    <t>DM</t>
  </si>
  <si>
    <t>IDADE EM % DA VIDA ÚTIL</t>
  </si>
  <si>
    <t>ESTADO DE CONSERVAÇÃO</t>
  </si>
  <si>
    <r>
      <t xml:space="preserve">Valores relativos (perda de valor) calculados de acordo com o método Ross-Heidecke ( </t>
    </r>
    <r>
      <rPr>
        <i/>
        <sz val="10"/>
        <rFont val="Arial Nova"/>
        <family val="2"/>
      </rPr>
      <t>k</t>
    </r>
    <r>
      <rPr>
        <i/>
        <vertAlign val="subscript"/>
        <sz val="10"/>
        <rFont val="Arial Nova"/>
        <family val="2"/>
      </rPr>
      <t>d</t>
    </r>
    <r>
      <rPr>
        <vertAlign val="subscript"/>
        <sz val="10"/>
        <rFont val="Arial Nova"/>
        <family val="2"/>
      </rPr>
      <t xml:space="preserve"> </t>
    </r>
    <r>
      <rPr>
        <sz val="10"/>
        <color theme="1"/>
        <rFont val="Arial Nova"/>
        <family val="2"/>
      </rPr>
      <t>)</t>
    </r>
  </si>
  <si>
    <t>Classificação do estado de conservação de acordo com a tabela de Heidecke</t>
  </si>
  <si>
    <t>Esses valores foram calculados com o uso da seguinte fórmula:</t>
  </si>
  <si>
    <t>Coeficientes de depreciação (perda de valor) percentuais negativos</t>
  </si>
  <si>
    <t>Os resultados da equação foram convertidos para percentuais negativos, haja vista que a depreciação causa uma desvalorização do bem.
Essa conversão foi feita com o auxílio da seguinte equação:</t>
  </si>
  <si>
    <r>
      <t xml:space="preserve">Fatores diretos de depreciação calculados de acordo com o método Ross-Heidecke ( </t>
    </r>
    <r>
      <rPr>
        <i/>
        <sz val="10"/>
        <rFont val="Arial Nova"/>
        <family val="2"/>
      </rPr>
      <t>f</t>
    </r>
    <r>
      <rPr>
        <i/>
        <vertAlign val="subscript"/>
        <sz val="10"/>
        <rFont val="Arial Nova"/>
        <family val="2"/>
      </rPr>
      <t>d</t>
    </r>
    <r>
      <rPr>
        <i/>
        <sz val="10"/>
        <rFont val="Arial Nova"/>
        <family val="2"/>
      </rPr>
      <t xml:space="preserve"> = 1 + k</t>
    </r>
    <r>
      <rPr>
        <i/>
        <vertAlign val="subscript"/>
        <sz val="10"/>
        <rFont val="Arial Nova"/>
        <family val="2"/>
      </rPr>
      <t>d</t>
    </r>
    <r>
      <rPr>
        <sz val="10"/>
        <color theme="1"/>
        <rFont val="Arial Nova"/>
        <family val="2"/>
      </rPr>
      <t xml:space="preserve"> )</t>
    </r>
  </si>
  <si>
    <t>E, por fim, os coeficiente foram convertidos para fatores multiplicadores, providência essa que simplifica e torna mais prático o cálculo da depreciação. Essa conversão foi feita com o auxílio da seguinte equação:</t>
  </si>
  <si>
    <r>
      <t>ASSOCIAÇÃO BRASILEIRA DE NORMAS TÉCNICAS. </t>
    </r>
    <r>
      <rPr>
        <sz val="10"/>
        <color rgb="FF000000"/>
        <rFont val="Arial Nova"/>
        <family val="2"/>
      </rPr>
      <t>NBR 14653-1:2019. Avaliação bens. Parte 1: Procedimentos gerais.</t>
    </r>
  </si>
  <si>
    <r>
      <t>______. NBR 14653-2:2011. </t>
    </r>
    <r>
      <rPr>
        <sz val="10"/>
        <color rgb="FF000000"/>
        <rFont val="Arial Nova"/>
        <family val="2"/>
      </rPr>
      <t>Avaliação bens. Parte 2: Imóveis urbanos.</t>
    </r>
  </si>
  <si>
    <r>
      <t>BERRINI, Luiz Carlos. </t>
    </r>
    <r>
      <rPr>
        <sz val="10"/>
        <color rgb="FF000000"/>
        <rFont val="Arial Nova"/>
        <family val="2"/>
      </rPr>
      <t>Avaliações de imóveis. 4. ed. revista e atualizada por Luiz Carlos Berrini Júnior. Rio de Janeiro: Livraria Freitas Bastos S.A., 1960.</t>
    </r>
  </si>
  <si>
    <r>
      <t>CANTEIRO, João Ruy. </t>
    </r>
    <r>
      <rPr>
        <sz val="10"/>
        <color rgb="FF000000"/>
        <rFont val="Arial Nova"/>
        <family val="2"/>
      </rPr>
      <t>Construções: seus custos de reprodução na capital de São Paulo de 1939 a 1979; Terrenos: subsídios à técnica de avaliação. 3. ed. São Paulo: Pini, 1980.</t>
    </r>
  </si>
  <si>
    <r>
      <t>DANTAS, Rubens Alves. </t>
    </r>
    <r>
      <rPr>
        <sz val="10"/>
        <color rgb="FF000000"/>
        <rFont val="Arial Nova"/>
        <family val="2"/>
      </rPr>
      <t>Engenharia de avaliações: uma introdução à metodologia científica. São Paulo: Pini, 1998.</t>
    </r>
  </si>
  <si>
    <r>
      <t>______. </t>
    </r>
    <r>
      <rPr>
        <sz val="10"/>
        <color rgb="FF000000"/>
        <rFont val="Arial Nova"/>
        <family val="2"/>
      </rPr>
      <t>Manual de avaliações e perícias em imóveis urbanos: de acordo com a nova norma NBR 14653-2 – Avaliações de Imóveis Urbanos e com a Norma para Avaliação de Imóveis Urbanos Ibape/SP – 2005. 4. ed. São Paulo: Pini, 2016.</t>
    </r>
  </si>
  <si>
    <r>
      <t>______. </t>
    </r>
    <r>
      <rPr>
        <sz val="10"/>
        <color rgb="FF000000"/>
        <rFont val="Arial Nova"/>
        <family val="2"/>
      </rPr>
      <t>Manual de avaliações e perícias em imóveis urbanos: de acordo com a nova norma NBR 14653-2 – Avaliações de Imóveis Urbanos e com a Norma para Avaliação de Imóveis Urbanos Ibape/SP – 2011. 5. ed. São Paulo: Oficina de Textos, 2019.</t>
    </r>
  </si>
  <si>
    <r>
      <t>MEDEIROS JÚNIOR, Joaquim da Rocha. </t>
    </r>
    <r>
      <rPr>
        <sz val="10"/>
        <color rgb="FF000000"/>
        <rFont val="Arial Nova"/>
        <family val="2"/>
      </rPr>
      <t>Vantagem da coisa feita na avaliação de imóveis pelo método do custo. In: Engenharia de avaliações. Instituto Brasileiro de Avaliações e Perícias de Engenharia – IBAPE. São Paulo: Pini, 1974.</t>
    </r>
  </si>
  <si>
    <r>
      <t>NASSER JÚNIOR, Radegaz. </t>
    </r>
    <r>
      <rPr>
        <sz val="10"/>
        <color rgb="FF000000"/>
        <rFont val="Arial Nova"/>
        <family val="2"/>
      </rPr>
      <t>Avaliação de bens: princípios e aplicações. 2. ed revista e atualizada [recurso eletrônico]. São Paulo: Liv. e Ed. Universitária de Direito, 2013.</t>
    </r>
  </si>
  <si>
    <r>
      <t>______. </t>
    </r>
    <r>
      <rPr>
        <sz val="10"/>
        <color rgb="FF000000"/>
        <rFont val="Arial Nova"/>
        <family val="2"/>
      </rPr>
      <t>Avaliação de bens: princípios básicos e aplicações. 3. ed. São Paulo: Editora Leud, 2019.</t>
    </r>
  </si>
  <si>
    <r>
      <t>THOFEHRN, Ragnar. </t>
    </r>
    <r>
      <rPr>
        <sz val="10"/>
        <color rgb="FF000000"/>
        <rFont val="Arial Nova"/>
        <family val="2"/>
      </rPr>
      <t>Avaliação de terrenos urbanos: por fórmulas matemáticas. São Paulo: Pini, 2008.</t>
    </r>
  </si>
  <si>
    <r>
      <t>VEGNI-NERI, Guilherme Bomfim dei. </t>
    </r>
    <r>
      <rPr>
        <sz val="10"/>
        <color rgb="FF000000"/>
        <rFont val="Arial Nova"/>
        <family val="2"/>
      </rPr>
      <t>Avaliação de imóveis urbanos e rurais: método prático e moderno. 4. ed. revista, melhorada e atualizada. São Paulo: Ed. Nacional, 1979.</t>
    </r>
  </si>
  <si>
    <r>
      <t>______. </t>
    </r>
    <r>
      <rPr>
        <sz val="10"/>
        <color rgb="FF000000"/>
        <rFont val="Arial Nova"/>
        <family val="2"/>
      </rPr>
      <t>Prática de avaliação de imóveis: método moderno. 2. ed. revista melhorada. São Paulo: Edições Livraria Legislação Brasileira. 1968.</t>
    </r>
  </si>
  <si>
    <t>MÉTODO EVOLUTIVO: AVALIAÇÃO DAS BENFEITORIAS</t>
  </si>
  <si>
    <t>R-1</t>
  </si>
  <si>
    <t xml:space="preserve">baixo </t>
  </si>
  <si>
    <t>R-8</t>
  </si>
  <si>
    <t>normal</t>
  </si>
  <si>
    <t>R-16</t>
  </si>
  <si>
    <t>alto</t>
  </si>
  <si>
    <t>PIS</t>
  </si>
  <si>
    <t>residencial</t>
  </si>
  <si>
    <t>CSL-8</t>
  </si>
  <si>
    <t>galpão industrial</t>
  </si>
  <si>
    <t>CSL-16</t>
  </si>
  <si>
    <t>residência popular</t>
  </si>
  <si>
    <t>Tipo da benfeitoria:</t>
  </si>
  <si>
    <t>Padrão:</t>
  </si>
  <si>
    <t>RP1Q</t>
  </si>
  <si>
    <t>Codigo:</t>
  </si>
  <si>
    <t>Data de referência:</t>
  </si>
  <si>
    <t>maio de 2024</t>
  </si>
  <si>
    <t>GI</t>
  </si>
  <si>
    <t>A área equivalente do imóvel será calculada conforme orientação contida na NBR 12721:2006</t>
  </si>
  <si>
    <t>NBR 12721:2006 Avaliação de custos unitários de construção para incorporação imobiliária e outras disposições para condominios edifícios - Procedimento
5.7 Área equivalente
[...]
5.7.2 Coeficientes para cálculo das áreas equivalentes às áreas de custo padrão. É recomendável que os coeficientes de equivalência de custo, para cada dependência em que forem empregados, sejam calculados na forma indicada em 5.7.2.1 ou, alternativamente, na forma indicada em 5.7.3</t>
  </si>
  <si>
    <t>Custo unitário específico para o projeto:</t>
  </si>
  <si>
    <t>Custo de reprodução da benfeitoria</t>
  </si>
  <si>
    <t>Cálculo da depreciação pelo método Ross-Heidecke</t>
  </si>
  <si>
    <t>Idade aparente da benfeitoria:</t>
  </si>
  <si>
    <t>Vida útil referencial</t>
  </si>
  <si>
    <t>Relação percentual:</t>
  </si>
  <si>
    <t>A depreciação Ross-Heidecke será calculada com o auxílio das seguintes equações:</t>
  </si>
  <si>
    <t>alfa</t>
  </si>
  <si>
    <t>novo</t>
  </si>
  <si>
    <t>entre novo e regular</t>
  </si>
  <si>
    <t>entre regular e reparos simples</t>
  </si>
  <si>
    <t>O resultado bruto da equação acima deve ser convertido para o respectivo de fator de depreciação, sendo feito:</t>
  </si>
  <si>
    <t>reparos simples</t>
  </si>
  <si>
    <t>entre reparos simples e reparos importantes</t>
  </si>
  <si>
    <t>reparos importantes</t>
  </si>
  <si>
    <t>entre reparos importantes e sem valor</t>
  </si>
  <si>
    <t>sem valor</t>
  </si>
  <si>
    <t>Estado de conservação da benfeitoria:</t>
  </si>
  <si>
    <t>Descrição do estado:</t>
  </si>
  <si>
    <t>Valor relativo da tabela Heidecke:</t>
  </si>
  <si>
    <t>Resultado bruto da equação:</t>
  </si>
  <si>
    <t>Coeficiente de depreciação específico (perda de valor):</t>
  </si>
  <si>
    <t>Fator de depreciação específico (multiplicador):</t>
  </si>
  <si>
    <t>Perda de valor decorrente da depreciação</t>
  </si>
  <si>
    <t>Custo de reedição da benfeitoria</t>
  </si>
  <si>
    <t>Fator da vantagem da coisa feita:</t>
  </si>
  <si>
    <t>Vantagem da coisa feita</t>
  </si>
  <si>
    <t>Tipo de construção:</t>
  </si>
  <si>
    <t>Idade da construção</t>
  </si>
  <si>
    <t>anos.</t>
  </si>
  <si>
    <t>Valor do terreno:</t>
  </si>
  <si>
    <t>Valor da benfeitoria (depreciada):</t>
  </si>
  <si>
    <t>Soma do valor do terreno, ao valor das benfeitorias:</t>
  </si>
  <si>
    <t>Fator multiplicador aplicável</t>
  </si>
  <si>
    <t>Terreno</t>
  </si>
  <si>
    <t>Avaliação do terreno e das benfeitorias</t>
  </si>
  <si>
    <t>Edificações</t>
  </si>
  <si>
    <t>Demonstração da relação percentual de cada elemento em relação ao todo (avaliação).</t>
  </si>
  <si>
    <t>Área real do item</t>
  </si>
  <si>
    <t>%</t>
  </si>
  <si>
    <t>Fator mínimo</t>
  </si>
  <si>
    <t>Área equivalente</t>
  </si>
  <si>
    <t>a</t>
  </si>
  <si>
    <t>b</t>
  </si>
  <si>
    <t>c</t>
  </si>
  <si>
    <t>d</t>
  </si>
  <si>
    <t>e</t>
  </si>
  <si>
    <t>f</t>
  </si>
  <si>
    <t>g</t>
  </si>
  <si>
    <t>h</t>
  </si>
  <si>
    <t>i</t>
  </si>
  <si>
    <t>j</t>
  </si>
  <si>
    <t>k</t>
  </si>
  <si>
    <t>l</t>
  </si>
  <si>
    <t>m</t>
  </si>
  <si>
    <t>n</t>
  </si>
  <si>
    <t>o</t>
  </si>
  <si>
    <t>equivalente:</t>
  </si>
  <si>
    <t>Área equivalente da benfeitoria:</t>
  </si>
  <si>
    <t>Preço</t>
  </si>
  <si>
    <t>As benfeitorias serão avaliadas pelo método de quantificação do custo de reedição. O custo de reedição corresponde ao custo de reprodução descontada a depreciação.
O custo de reprodução será calculado a partir Custo Unitário Básico informado pelo Sindicato da Construção Civil local; essas informações estão disponíveis em: &lt;http://www.cub.org.br&gt;.
A depreciação das benfeitorias será calculada pelo método Ross-Heidecke.</t>
  </si>
  <si>
    <t>ABUNAHAM, S.A. Curso básico de engenharia legal e de avaliações. 4. ed. rev. e ampl. São Paulo: Pini, 2008.</t>
  </si>
  <si>
    <t>PELLEGRINO, José Carlos. Valor em marcha. In: Anais do I Congresso Brasileiro de Engenharia de Avaliações / [patrocínio do] Instituto Brasileiro de Avaliações e Perícias de Engenharia – IBAPE. São Paulo: Pini, 1978.</t>
  </si>
  <si>
    <t>MEDEIROS JÚNIOR, J.R.; PELLEGRINO, José Carlos. Método do custo: o terceiro componente. In: Avaliações para garantias: Instituto Brasileiro de Avaliações e Perícias de Engenharia. São Paulo: Pini, 1983.</t>
  </si>
  <si>
    <t>______. Prática de avaliação de imóveis: método moderno. 2. ed. revista melhorada. São Paulo: Edições Livraria Legislação Brasileira, 1968.</t>
  </si>
  <si>
    <t>Frente padrão para a zona</t>
  </si>
  <si>
    <t>Plano, em nível</t>
  </si>
  <si>
    <t>Seco</t>
  </si>
  <si>
    <t>Dentro dos limites mínimo e máximo</t>
  </si>
  <si>
    <t>Meio de quadra</t>
  </si>
  <si>
    <t>Característica do terreno padrão</t>
  </si>
  <si>
    <t>Fator do terreno padrão</t>
  </si>
  <si>
    <t>Terreno à venda</t>
  </si>
  <si>
    <t>Elemento comparativo</t>
  </si>
  <si>
    <r>
      <t>F</t>
    </r>
    <r>
      <rPr>
        <vertAlign val="subscript"/>
        <sz val="11"/>
        <rFont val="Aptos"/>
        <family val="2"/>
      </rPr>
      <t>f</t>
    </r>
  </si>
  <si>
    <r>
      <t>F</t>
    </r>
    <r>
      <rPr>
        <vertAlign val="subscript"/>
        <sz val="11"/>
        <rFont val="Aptos"/>
        <family val="2"/>
      </rPr>
      <t>t</t>
    </r>
  </si>
  <si>
    <r>
      <t>F</t>
    </r>
    <r>
      <rPr>
        <vertAlign val="subscript"/>
        <sz val="11"/>
        <rFont val="Aptos"/>
        <family val="2"/>
      </rPr>
      <t>cs</t>
    </r>
  </si>
  <si>
    <r>
      <t>F</t>
    </r>
    <r>
      <rPr>
        <vertAlign val="subscript"/>
        <sz val="11"/>
        <rFont val="Aptos"/>
        <family val="2"/>
      </rPr>
      <t>p</t>
    </r>
  </si>
  <si>
    <r>
      <t>F</t>
    </r>
    <r>
      <rPr>
        <vertAlign val="subscript"/>
        <sz val="11"/>
        <rFont val="Aptos"/>
        <family val="2"/>
      </rPr>
      <t>e</t>
    </r>
  </si>
  <si>
    <r>
      <t>M</t>
    </r>
    <r>
      <rPr>
        <vertAlign val="subscript"/>
        <sz val="11"/>
        <rFont val="Aptos"/>
        <family val="2"/>
      </rPr>
      <t>p1</t>
    </r>
  </si>
  <si>
    <r>
      <t>M</t>
    </r>
    <r>
      <rPr>
        <vertAlign val="subscript"/>
        <sz val="11"/>
        <rFont val="Aptos"/>
        <family val="2"/>
      </rPr>
      <t>p2</t>
    </r>
  </si>
  <si>
    <r>
      <t>M</t>
    </r>
    <r>
      <rPr>
        <vertAlign val="subscript"/>
        <sz val="11"/>
        <rFont val="Aptos"/>
        <family val="2"/>
      </rPr>
      <t>p3</t>
    </r>
  </si>
  <si>
    <r>
      <t>M</t>
    </r>
    <r>
      <rPr>
        <vertAlign val="subscript"/>
        <sz val="11"/>
        <rFont val="Aptos"/>
        <family val="2"/>
      </rPr>
      <t>p4</t>
    </r>
  </si>
  <si>
    <r>
      <t>M</t>
    </r>
    <r>
      <rPr>
        <vertAlign val="subscript"/>
        <sz val="11"/>
        <rFont val="Aptos"/>
        <family val="2"/>
      </rPr>
      <t>p5</t>
    </r>
  </si>
  <si>
    <r>
      <t>M</t>
    </r>
    <r>
      <rPr>
        <vertAlign val="subscript"/>
        <sz val="11"/>
        <rFont val="Aptos"/>
        <family val="2"/>
      </rPr>
      <t>p6</t>
    </r>
  </si>
  <si>
    <r>
      <t>M</t>
    </r>
    <r>
      <rPr>
        <vertAlign val="subscript"/>
        <sz val="11"/>
        <rFont val="Aptos"/>
        <family val="2"/>
      </rPr>
      <t>p7</t>
    </r>
  </si>
  <si>
    <r>
      <t xml:space="preserve">Somatório das porcentagens correspondentes aos melhoramentos públicos </t>
    </r>
    <r>
      <rPr>
        <b/>
        <sz val="11"/>
        <rFont val="Aptos"/>
        <family val="2"/>
      </rPr>
      <t>presentes no paradigma e ausentes no bem avaliando</t>
    </r>
  </si>
  <si>
    <r>
      <t>Fator do item da amostra (f</t>
    </r>
    <r>
      <rPr>
        <vertAlign val="subscript"/>
        <sz val="11"/>
        <rFont val="Aptos"/>
        <family val="2"/>
      </rPr>
      <t>tr</t>
    </r>
    <r>
      <rPr>
        <sz val="11"/>
        <rFont val="Aptos"/>
        <family val="2"/>
      </rPr>
      <t>)</t>
    </r>
  </si>
  <si>
    <r>
      <t>Fator do bem avaliando (f</t>
    </r>
    <r>
      <rPr>
        <vertAlign val="subscript"/>
        <sz val="11"/>
        <rFont val="Aptos"/>
        <family val="2"/>
      </rPr>
      <t>a</t>
    </r>
    <r>
      <rPr>
        <sz val="11"/>
        <rFont val="Aptos"/>
        <family val="2"/>
      </rPr>
      <t>)</t>
    </r>
  </si>
  <si>
    <r>
      <t>t</t>
    </r>
    <r>
      <rPr>
        <vertAlign val="subscript"/>
        <sz val="11"/>
        <rFont val="Aptos"/>
        <family val="2"/>
      </rPr>
      <t>crítico</t>
    </r>
  </si>
  <si>
    <r>
      <rPr>
        <b/>
        <sz val="11"/>
        <rFont val="Aptos"/>
        <family val="2"/>
      </rPr>
      <t>NBR 14653-2:2011. Avaliação de bens. Parte 2: Imóveis urbanos.
Item 9.2.3</t>
    </r>
    <r>
      <rPr>
        <sz val="11"/>
        <rFont val="Aptos"/>
        <family val="2"/>
      </rPr>
      <t xml:space="preserve"> O grau de precisão deve estar conforme a Tabela 5.</t>
    </r>
  </si>
  <si>
    <t>Água</t>
  </si>
  <si>
    <t>Esgoto</t>
  </si>
  <si>
    <t>Luz pública</t>
  </si>
  <si>
    <t>Luz domiciliar</t>
  </si>
  <si>
    <t>Guias-sarjetas</t>
  </si>
  <si>
    <t>Telefone</t>
  </si>
  <si>
    <t>Melhoramentos públicos do bem avaliando</t>
  </si>
  <si>
    <t>AVALIAÇÃO DO TERRENO</t>
  </si>
  <si>
    <t>INTERVALO DE CONFIANÇA</t>
  </si>
  <si>
    <t>LIMITES DO INTERVALO DE CONFIANÇA E GRAU DE PRECISÃO</t>
  </si>
  <si>
    <t>TRIBUNAL DE JUSTIÇA DO ESTADO DE SÃO PAULO</t>
  </si>
  <si>
    <t>PRIMEIRA VARA CÍVEL DA COMARCA DE BEBEDOURO-SP</t>
  </si>
  <si>
    <t>Laudo de vistoria criado pelo Prof. Vagner Sebastião, Oficial de Justiça do Tribunal de Justiça do Estado de São Paulo.</t>
  </si>
  <si>
    <t>Fonte</t>
  </si>
  <si>
    <t>Tipo de consulta</t>
  </si>
  <si>
    <t>Data da coleta</t>
  </si>
  <si>
    <t>Contato</t>
  </si>
  <si>
    <t>Imóveis Braga</t>
  </si>
  <si>
    <t>CAL-8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</si>
</sst>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00_ ;[Red]\-#,##0.00\ "/>
    <numFmt numFmtId="165" formatCode="0.000000"/>
    <numFmt numFmtId="166" formatCode="0.0000"/>
    <numFmt numFmtId="167" formatCode="#,##0.0000"/>
    <numFmt numFmtId="168" formatCode="_-[$R$-416]\ * #,##0.00_-;\-[$R$-416]\ * #,##0.00_-;_-[$R$-416]\ * &quot;-&quot;??_-;_-@_-"/>
    <numFmt numFmtId="169" formatCode="#,##0.00_ ;\-#,##0.00\ "/>
    <numFmt numFmtId="170" formatCode="0.000"/>
    <numFmt numFmtId="171" formatCode="#,##0_ ;[Red]\-#,##0\ "/>
    <numFmt numFmtId="172" formatCode="#,##0.000000_ ;[Red]\-#,##0.000000\ "/>
    <numFmt numFmtId="173" formatCode="#,##0.00000_ ;[Red]\-#,##0.00000\ "/>
    <numFmt numFmtId="174" formatCode="0.0"/>
    <numFmt numFmtId="175" formatCode="0.00000"/>
    <numFmt numFmtId="176" formatCode="#,##0.0000_ ;[Red]\-#,##0.0000\ "/>
    <numFmt numFmtId="177" formatCode="#,##0_ ;\-#,##0\ "/>
  </numFmts>
  <fonts count="24" x14ac:knownFonts="1">
    <font>
      <sz val="11"/>
      <color theme="1"/>
      <name val="Aptos"/>
      <family val="2"/>
    </font>
    <font>
      <sz val="11"/>
      <color theme="1"/>
      <name val="Aptos"/>
      <family val="2"/>
    </font>
    <font>
      <b/>
      <sz val="10"/>
      <name val="Arial Nova"/>
      <family val="2"/>
    </font>
    <font>
      <sz val="10"/>
      <name val="Arial Nova"/>
      <family val="2"/>
    </font>
    <font>
      <i/>
      <sz val="10"/>
      <name val="Arial Nova"/>
      <family val="2"/>
    </font>
    <font>
      <vertAlign val="subscript"/>
      <sz val="10"/>
      <name val="Arial Nova"/>
      <family val="2"/>
    </font>
    <font>
      <b/>
      <sz val="11"/>
      <name val="Aptos"/>
      <family val="2"/>
    </font>
    <font>
      <sz val="11"/>
      <name val="Aptos"/>
      <family val="2"/>
    </font>
    <font>
      <b/>
      <sz val="11"/>
      <color theme="1"/>
      <name val="Aptos"/>
      <family val="2"/>
    </font>
    <font>
      <b/>
      <sz val="14"/>
      <color theme="1"/>
      <name val="Aptos"/>
      <family val="2"/>
    </font>
    <font>
      <sz val="14"/>
      <color theme="1"/>
      <name val="Aptos"/>
      <family val="2"/>
    </font>
    <font>
      <b/>
      <i/>
      <sz val="10"/>
      <name val="Arial Nova"/>
      <family val="2"/>
    </font>
    <font>
      <b/>
      <i/>
      <vertAlign val="subscript"/>
      <sz val="10"/>
      <name val="Arial Nova"/>
      <family val="2"/>
    </font>
    <font>
      <sz val="10"/>
      <color theme="1"/>
      <name val="Arial Nova"/>
      <family val="2"/>
    </font>
    <font>
      <sz val="10"/>
      <color rgb="FF383D3C"/>
      <name val="Arial Nova"/>
      <family val="2"/>
    </font>
    <font>
      <i/>
      <vertAlign val="subscript"/>
      <sz val="10"/>
      <name val="Arial Nova"/>
      <family val="2"/>
    </font>
    <font>
      <sz val="10"/>
      <color theme="1"/>
      <name val="Aptos"/>
      <family val="2"/>
    </font>
    <font>
      <sz val="10"/>
      <color rgb="FF000000"/>
      <name val="Arial Nova"/>
      <family val="2"/>
    </font>
    <font>
      <sz val="11"/>
      <color theme="0"/>
      <name val="Aptos"/>
      <family val="2"/>
    </font>
    <font>
      <sz val="10"/>
      <color theme="0"/>
      <name val="Arial Nova"/>
      <family val="2"/>
    </font>
    <font>
      <b/>
      <sz val="11"/>
      <color theme="0"/>
      <name val="Arial"/>
      <family val="2"/>
    </font>
    <font>
      <i/>
      <sz val="11"/>
      <name val="Aptos"/>
      <family val="2"/>
    </font>
    <font>
      <sz val="11"/>
      <name val="Arial Nova"/>
      <family val="2"/>
    </font>
    <font>
      <vertAlign val="subscript"/>
      <sz val="11"/>
      <name val="Aptos"/>
      <family val="2"/>
    </font>
  </fonts>
  <fills count="8">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rgb="FFB9CFD9"/>
        <bgColor indexed="64"/>
      </patternFill>
    </fill>
    <fill>
      <patternFill patternType="solid">
        <fgColor theme="0" tint="-4.9989318521683403E-2"/>
        <bgColor rgb="FF3465A4"/>
      </patternFill>
    </fill>
    <fill>
      <patternFill patternType="solid">
        <fgColor theme="0" tint="-4.9989318521683403E-2"/>
        <bgColor rgb="FF336699"/>
      </patternFill>
    </fill>
    <fill>
      <patternFill patternType="solid">
        <fgColor theme="0" tint="-0.14999847407452621"/>
        <bgColor rgb="FF336699"/>
      </patternFill>
    </fill>
  </fills>
  <borders count="35">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right style="hair">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00">
    <xf numFmtId="0" fontId="0" fillId="0" borderId="0" xfId="0"/>
    <xf numFmtId="0" fontId="3" fillId="0" borderId="0" xfId="0" applyFont="1" applyAlignment="1" applyProtection="1">
      <alignment horizontal="justify" vertical="center" wrapText="1"/>
      <protection hidden="1"/>
    </xf>
    <xf numFmtId="0" fontId="4" fillId="0" borderId="0" xfId="0" applyFont="1" applyAlignment="1" applyProtection="1">
      <alignment vertical="center" wrapText="1"/>
      <protection hidden="1"/>
    </xf>
    <xf numFmtId="0" fontId="3" fillId="0" borderId="0" xfId="0" applyFont="1" applyAlignment="1" applyProtection="1">
      <alignment horizontal="justify" vertical="top" wrapText="1"/>
      <protection hidden="1"/>
    </xf>
    <xf numFmtId="0" fontId="13" fillId="0" borderId="0" xfId="0" applyFont="1" applyAlignment="1" applyProtection="1">
      <alignment vertical="center"/>
      <protection hidden="1"/>
    </xf>
    <xf numFmtId="0" fontId="3" fillId="0" borderId="26" xfId="0" applyFont="1" applyBorder="1" applyAlignment="1" applyProtection="1">
      <alignment horizontal="justify" vertical="center" wrapText="1"/>
      <protection hidden="1"/>
    </xf>
    <xf numFmtId="0" fontId="13" fillId="0" borderId="0" xfId="0" applyFont="1" applyAlignment="1" applyProtection="1">
      <alignment horizontal="justify" vertical="center" wrapText="1"/>
      <protection hidden="1"/>
    </xf>
    <xf numFmtId="171" fontId="13" fillId="0" borderId="0" xfId="0" applyNumberFormat="1" applyFont="1" applyAlignment="1" applyProtection="1">
      <alignment horizontal="right" vertical="center" wrapText="1" readingOrder="1"/>
      <protection hidden="1"/>
    </xf>
    <xf numFmtId="172" fontId="13" fillId="0" borderId="0" xfId="0" applyNumberFormat="1" applyFont="1" applyAlignment="1" applyProtection="1">
      <alignment horizontal="right" vertical="center" wrapText="1" readingOrder="1"/>
      <protection hidden="1"/>
    </xf>
    <xf numFmtId="173" fontId="13" fillId="0" borderId="0" xfId="0" applyNumberFormat="1" applyFont="1" applyAlignment="1" applyProtection="1">
      <alignment horizontal="right" vertical="center" wrapText="1" readingOrder="1"/>
      <protection hidden="1"/>
    </xf>
    <xf numFmtId="0" fontId="13" fillId="0" borderId="0" xfId="0" applyFont="1" applyAlignment="1" applyProtection="1">
      <alignment horizontal="right" vertical="center" wrapText="1" readingOrder="1"/>
      <protection hidden="1"/>
    </xf>
    <xf numFmtId="0" fontId="3" fillId="0" borderId="31" xfId="0" applyFont="1" applyBorder="1" applyAlignment="1" applyProtection="1">
      <alignment horizontal="center" vertical="center" wrapText="1"/>
      <protection hidden="1"/>
    </xf>
    <xf numFmtId="1" fontId="13" fillId="0" borderId="31" xfId="0" applyNumberFormat="1" applyFont="1" applyBorder="1" applyAlignment="1" applyProtection="1">
      <alignment horizontal="right" vertical="center" wrapText="1"/>
      <protection hidden="1"/>
    </xf>
    <xf numFmtId="0" fontId="13" fillId="0" borderId="3" xfId="0" applyFont="1" applyBorder="1" applyAlignment="1" applyProtection="1">
      <alignment horizontal="center" vertical="center" wrapText="1"/>
      <protection hidden="1"/>
    </xf>
    <xf numFmtId="9" fontId="13" fillId="2" borderId="3" xfId="2" applyFont="1" applyFill="1" applyBorder="1" applyAlignment="1" applyProtection="1">
      <alignment horizontal="center" vertical="center" wrapText="1"/>
      <protection hidden="1"/>
    </xf>
    <xf numFmtId="4" fontId="13" fillId="0" borderId="3" xfId="0" applyNumberFormat="1" applyFont="1" applyBorder="1" applyAlignment="1" applyProtection="1">
      <alignment horizontal="right" vertical="center" wrapText="1"/>
      <protection hidden="1"/>
    </xf>
    <xf numFmtId="0" fontId="16" fillId="0" borderId="0" xfId="0" applyFont="1" applyAlignment="1" applyProtection="1">
      <alignment vertical="center"/>
      <protection hidden="1"/>
    </xf>
    <xf numFmtId="0" fontId="4" fillId="0" borderId="0" xfId="0" applyFont="1" applyAlignment="1" applyProtection="1">
      <alignment horizontal="right" vertical="center" wrapText="1"/>
      <protection hidden="1"/>
    </xf>
    <xf numFmtId="49" fontId="4" fillId="0" borderId="0" xfId="0" applyNumberFormat="1" applyFont="1" applyAlignment="1" applyProtection="1">
      <alignment vertical="center" wrapText="1"/>
      <protection hidden="1"/>
    </xf>
    <xf numFmtId="9" fontId="13" fillId="0" borderId="3" xfId="2" applyFont="1" applyBorder="1" applyAlignment="1" applyProtection="1">
      <alignment horizontal="center" vertical="center" wrapText="1"/>
      <protection hidden="1"/>
    </xf>
    <xf numFmtId="10" fontId="13" fillId="0" borderId="3" xfId="2" applyNumberFormat="1" applyFont="1" applyBorder="1" applyAlignment="1" applyProtection="1">
      <alignment horizontal="right" vertical="center" wrapText="1"/>
      <protection hidden="1"/>
    </xf>
    <xf numFmtId="0" fontId="0" fillId="0" borderId="0" xfId="0" applyProtection="1">
      <protection hidden="1"/>
    </xf>
    <xf numFmtId="167" fontId="13" fillId="0" borderId="3" xfId="0" applyNumberFormat="1" applyFont="1" applyBorder="1" applyAlignment="1" applyProtection="1">
      <alignment horizontal="right" vertical="center" wrapText="1"/>
      <protection hidden="1"/>
    </xf>
    <xf numFmtId="0" fontId="7" fillId="0" borderId="0" xfId="0" applyFont="1" applyAlignment="1" applyProtection="1">
      <alignment vertical="center" wrapText="1"/>
      <protection hidden="1"/>
    </xf>
    <xf numFmtId="0" fontId="7" fillId="0" borderId="2" xfId="0" applyFont="1" applyBorder="1" applyAlignment="1" applyProtection="1">
      <alignment vertical="center" wrapText="1"/>
      <protection hidden="1"/>
    </xf>
    <xf numFmtId="0" fontId="7" fillId="0" borderId="5" xfId="0" applyFont="1" applyBorder="1" applyAlignment="1" applyProtection="1">
      <alignment vertical="center" wrapText="1"/>
      <protection hidden="1"/>
    </xf>
    <xf numFmtId="0" fontId="7" fillId="0" borderId="0" xfId="0" applyFont="1" applyAlignment="1" applyProtection="1">
      <alignment horizontal="justify" vertical="center" wrapText="1" readingOrder="1"/>
      <protection hidden="1"/>
    </xf>
    <xf numFmtId="0" fontId="7" fillId="2" borderId="2" xfId="0" applyFont="1" applyFill="1" applyBorder="1" applyAlignment="1" applyProtection="1">
      <alignment horizontal="center" vertical="center" wrapText="1" readingOrder="1"/>
      <protection hidden="1"/>
    </xf>
    <xf numFmtId="0" fontId="7" fillId="0" borderId="0" xfId="0" applyFont="1" applyAlignment="1" applyProtection="1">
      <alignment horizontal="center" vertical="top" wrapText="1" readingOrder="1"/>
      <protection hidden="1"/>
    </xf>
    <xf numFmtId="0" fontId="7" fillId="0" borderId="5" xfId="0" applyFont="1" applyBorder="1" applyAlignment="1" applyProtection="1">
      <alignment horizontal="center" vertical="top" wrapText="1" readingOrder="1"/>
      <protection hidden="1"/>
    </xf>
    <xf numFmtId="0" fontId="7" fillId="0" borderId="8" xfId="0" applyFont="1" applyBorder="1" applyAlignment="1" applyProtection="1">
      <alignment horizontal="center" vertical="top" wrapText="1" readingOrder="1"/>
      <protection hidden="1"/>
    </xf>
    <xf numFmtId="0" fontId="7" fillId="0" borderId="0" xfId="0" applyFont="1" applyAlignment="1" applyProtection="1">
      <alignment horizontal="right" vertical="center" wrapText="1" readingOrder="1"/>
      <protection hidden="1"/>
    </xf>
    <xf numFmtId="0" fontId="6" fillId="0" borderId="2" xfId="0" applyFont="1" applyBorder="1" applyAlignment="1" applyProtection="1">
      <alignment vertical="center" wrapText="1"/>
      <protection hidden="1"/>
    </xf>
    <xf numFmtId="0" fontId="7" fillId="0" borderId="1" xfId="0" applyFont="1" applyBorder="1" applyAlignment="1" applyProtection="1">
      <alignment vertical="center" wrapText="1"/>
      <protection hidden="1"/>
    </xf>
    <xf numFmtId="0" fontId="6" fillId="0" borderId="0" xfId="0" applyFont="1" applyAlignment="1" applyProtection="1">
      <alignment vertical="center" wrapText="1"/>
      <protection hidden="1"/>
    </xf>
    <xf numFmtId="0" fontId="7" fillId="0" borderId="0" xfId="0" applyFont="1" applyAlignment="1" applyProtection="1">
      <alignment horizontal="distributed" wrapText="1"/>
      <protection hidden="1"/>
    </xf>
    <xf numFmtId="0" fontId="7" fillId="0" borderId="5" xfId="0" applyFont="1" applyBorder="1" applyAlignment="1" applyProtection="1">
      <alignment horizontal="center" vertical="center" wrapText="1"/>
      <protection locked="0"/>
    </xf>
    <xf numFmtId="0" fontId="0" fillId="0" borderId="0" xfId="0" applyAlignment="1" applyProtection="1">
      <alignment vertical="center"/>
      <protection hidden="1"/>
    </xf>
    <xf numFmtId="0" fontId="10" fillId="0" borderId="0" xfId="0" applyFont="1" applyAlignment="1" applyProtection="1">
      <alignment horizontal="center" vertical="center"/>
      <protection hidden="1"/>
    </xf>
    <xf numFmtId="0" fontId="0" fillId="0" borderId="1" xfId="0" applyBorder="1" applyProtection="1">
      <protection hidden="1"/>
    </xf>
    <xf numFmtId="0" fontId="0" fillId="0" borderId="9" xfId="0" applyBorder="1" applyProtection="1">
      <protection hidden="1"/>
    </xf>
    <xf numFmtId="0" fontId="0" fillId="0" borderId="2" xfId="0" applyBorder="1" applyProtection="1">
      <protection hidden="1"/>
    </xf>
    <xf numFmtId="0" fontId="0" fillId="0" borderId="10" xfId="0" applyBorder="1" applyProtection="1">
      <protection hidden="1"/>
    </xf>
    <xf numFmtId="0" fontId="0" fillId="0" borderId="3" xfId="0" applyBorder="1" applyAlignment="1" applyProtection="1">
      <alignment vertical="center"/>
      <protection hidden="1"/>
    </xf>
    <xf numFmtId="0" fontId="0" fillId="0" borderId="13" xfId="0" applyBorder="1" applyProtection="1">
      <protection hidden="1"/>
    </xf>
    <xf numFmtId="0" fontId="0" fillId="0" borderId="14" xfId="0" applyBorder="1" applyProtection="1">
      <protection hidden="1"/>
    </xf>
    <xf numFmtId="0" fontId="0" fillId="0" borderId="15" xfId="0" applyBorder="1" applyProtection="1">
      <protection hidden="1"/>
    </xf>
    <xf numFmtId="0" fontId="0" fillId="0" borderId="21" xfId="0" applyBorder="1" applyProtection="1">
      <protection hidden="1"/>
    </xf>
    <xf numFmtId="0" fontId="6" fillId="0" borderId="0" xfId="0" applyFont="1" applyAlignment="1" applyProtection="1">
      <alignment vertical="center"/>
      <protection hidden="1"/>
    </xf>
    <xf numFmtId="0" fontId="6" fillId="0" borderId="10" xfId="0" applyFont="1" applyBorder="1" applyAlignment="1" applyProtection="1">
      <alignment vertical="center"/>
      <protection hidden="1"/>
    </xf>
    <xf numFmtId="0" fontId="7" fillId="0" borderId="0" xfId="0" applyFont="1" applyAlignment="1" applyProtection="1">
      <alignment vertical="center"/>
      <protection hidden="1"/>
    </xf>
    <xf numFmtId="0" fontId="7" fillId="0" borderId="16" xfId="0" applyFont="1" applyBorder="1" applyAlignment="1" applyProtection="1">
      <alignment vertical="center"/>
      <protection hidden="1"/>
    </xf>
    <xf numFmtId="0" fontId="7" fillId="0" borderId="10" xfId="0" applyFont="1" applyBorder="1" applyAlignment="1" applyProtection="1">
      <alignment vertical="center"/>
      <protection hidden="1"/>
    </xf>
    <xf numFmtId="0" fontId="0" fillId="0" borderId="1" xfId="0" applyBorder="1" applyAlignment="1" applyProtection="1">
      <alignment vertical="center"/>
      <protection hidden="1"/>
    </xf>
    <xf numFmtId="0" fontId="7" fillId="0" borderId="1" xfId="0" applyFont="1" applyBorder="1" applyAlignment="1" applyProtection="1">
      <alignment vertical="center"/>
      <protection hidden="1"/>
    </xf>
    <xf numFmtId="14" fontId="7" fillId="0" borderId="0" xfId="0" applyNumberFormat="1" applyFont="1" applyAlignment="1" applyProtection="1">
      <alignment vertical="center"/>
      <protection hidden="1"/>
    </xf>
    <xf numFmtId="49" fontId="7" fillId="0" borderId="0" xfId="0" applyNumberFormat="1" applyFont="1" applyAlignment="1" applyProtection="1">
      <alignment vertical="center"/>
      <protection hidden="1"/>
    </xf>
    <xf numFmtId="0" fontId="6" fillId="0" borderId="10" xfId="0" applyFont="1" applyBorder="1" applyAlignment="1" applyProtection="1">
      <alignment vertical="center" wrapText="1"/>
      <protection hidden="1"/>
    </xf>
    <xf numFmtId="0" fontId="7" fillId="0" borderId="3" xfId="0" applyFont="1" applyBorder="1" applyAlignment="1" applyProtection="1">
      <alignment vertical="center"/>
      <protection hidden="1"/>
    </xf>
    <xf numFmtId="0" fontId="7" fillId="0" borderId="17" xfId="0" applyFont="1" applyBorder="1" applyAlignment="1" applyProtection="1">
      <alignment vertical="center"/>
      <protection hidden="1"/>
    </xf>
    <xf numFmtId="0" fontId="6" fillId="0" borderId="13" xfId="0" applyFont="1" applyBorder="1" applyAlignment="1" applyProtection="1">
      <alignment vertical="center" wrapText="1"/>
      <protection hidden="1"/>
    </xf>
    <xf numFmtId="0" fontId="6" fillId="0" borderId="1" xfId="0" applyFont="1" applyBorder="1" applyAlignment="1" applyProtection="1">
      <alignment vertical="center" wrapText="1"/>
      <protection hidden="1"/>
    </xf>
    <xf numFmtId="0" fontId="8" fillId="0" borderId="0" xfId="0" applyFont="1" applyAlignment="1" applyProtection="1">
      <alignment vertical="center"/>
      <protection hidden="1"/>
    </xf>
    <xf numFmtId="0" fontId="6" fillId="0" borderId="3" xfId="0" applyFont="1" applyBorder="1" applyAlignment="1" applyProtection="1">
      <alignment vertical="center"/>
      <protection hidden="1"/>
    </xf>
    <xf numFmtId="0" fontId="0" fillId="0" borderId="0" xfId="0" applyAlignment="1" applyProtection="1">
      <alignment horizontal="left" vertical="center"/>
      <protection hidden="1"/>
    </xf>
    <xf numFmtId="0" fontId="18" fillId="0" borderId="0" xfId="0" applyFont="1" applyAlignment="1" applyProtection="1">
      <alignment horizontal="left" vertical="center" wrapText="1"/>
      <protection hidden="1"/>
    </xf>
    <xf numFmtId="0" fontId="18" fillId="0" borderId="0" xfId="0" applyFont="1" applyAlignment="1" applyProtection="1">
      <alignment vertical="center" wrapText="1"/>
      <protection hidden="1"/>
    </xf>
    <xf numFmtId="175" fontId="18" fillId="0" borderId="0" xfId="0" applyNumberFormat="1" applyFont="1" applyAlignment="1" applyProtection="1">
      <alignment horizontal="right" vertical="center" wrapText="1"/>
      <protection hidden="1"/>
    </xf>
    <xf numFmtId="0" fontId="18" fillId="0" borderId="0" xfId="0" applyFont="1" applyAlignment="1" applyProtection="1">
      <alignment horizontal="center" vertical="center" wrapText="1"/>
      <protection hidden="1"/>
    </xf>
    <xf numFmtId="0" fontId="18" fillId="0" borderId="0" xfId="0" applyFont="1" applyAlignment="1" applyProtection="1">
      <alignment wrapText="1"/>
      <protection hidden="1"/>
    </xf>
    <xf numFmtId="0" fontId="18" fillId="0" borderId="0" xfId="0" applyFont="1" applyAlignment="1" applyProtection="1">
      <alignment horizontal="justify" wrapText="1"/>
      <protection hidden="1"/>
    </xf>
    <xf numFmtId="10" fontId="18" fillId="0" borderId="0" xfId="2" applyNumberFormat="1" applyFont="1" applyAlignment="1" applyProtection="1">
      <alignment vertical="center" wrapText="1"/>
      <protection hidden="1"/>
    </xf>
    <xf numFmtId="164" fontId="18" fillId="0" borderId="0" xfId="0" applyNumberFormat="1" applyFont="1" applyAlignment="1" applyProtection="1">
      <alignment vertical="center" wrapText="1"/>
      <protection hidden="1"/>
    </xf>
    <xf numFmtId="0" fontId="7" fillId="0" borderId="0" xfId="0" applyFont="1" applyAlignment="1" applyProtection="1">
      <alignment horizontal="justify" wrapText="1"/>
      <protection hidden="1"/>
    </xf>
    <xf numFmtId="0" fontId="18" fillId="0" borderId="0" xfId="0" applyFont="1" applyAlignment="1" applyProtection="1">
      <alignment horizontal="justify" vertical="top" wrapText="1"/>
      <protection hidden="1"/>
    </xf>
    <xf numFmtId="0" fontId="20" fillId="0" borderId="0" xfId="0" applyFont="1" applyAlignment="1" applyProtection="1">
      <alignment horizontal="center" vertical="center" wrapText="1"/>
      <protection hidden="1"/>
    </xf>
    <xf numFmtId="10" fontId="18" fillId="0" borderId="0" xfId="0" applyNumberFormat="1" applyFont="1" applyAlignment="1" applyProtection="1">
      <alignment horizontal="center" vertical="center" wrapText="1"/>
      <protection hidden="1"/>
    </xf>
    <xf numFmtId="0" fontId="18" fillId="0" borderId="0" xfId="0" applyFont="1" applyAlignment="1" applyProtection="1">
      <alignment horizontal="right" vertical="center" wrapText="1"/>
      <protection hidden="1"/>
    </xf>
    <xf numFmtId="170" fontId="18" fillId="0" borderId="0" xfId="0" applyNumberFormat="1" applyFont="1" applyAlignment="1" applyProtection="1">
      <alignment horizontal="right" vertical="center" wrapText="1"/>
      <protection hidden="1"/>
    </xf>
    <xf numFmtId="170" fontId="18" fillId="0" borderId="0" xfId="0" applyNumberFormat="1" applyFont="1" applyAlignment="1" applyProtection="1">
      <alignment horizontal="justify" vertical="top" wrapText="1"/>
      <protection hidden="1"/>
    </xf>
    <xf numFmtId="0" fontId="19" fillId="0" borderId="0" xfId="0" applyFont="1" applyAlignment="1" applyProtection="1">
      <alignment horizontal="justify" vertical="top" wrapText="1"/>
      <protection hidden="1"/>
    </xf>
    <xf numFmtId="0" fontId="19" fillId="0" borderId="0" xfId="0" applyFont="1" applyAlignment="1" applyProtection="1">
      <alignment wrapText="1"/>
      <protection hidden="1"/>
    </xf>
    <xf numFmtId="2" fontId="7" fillId="0" borderId="0" xfId="0" applyNumberFormat="1" applyFont="1" applyAlignment="1" applyProtection="1">
      <alignment vertical="center" wrapText="1"/>
      <protection hidden="1"/>
    </xf>
    <xf numFmtId="0" fontId="7" fillId="3" borderId="0" xfId="0" applyFont="1" applyFill="1" applyAlignment="1" applyProtection="1">
      <alignment vertical="center" wrapText="1"/>
      <protection hidden="1"/>
    </xf>
    <xf numFmtId="0" fontId="7" fillId="2" borderId="2" xfId="0" applyFont="1" applyFill="1" applyBorder="1" applyAlignment="1" applyProtection="1">
      <alignment horizontal="center" vertical="center" wrapText="1"/>
      <protection hidden="1"/>
    </xf>
    <xf numFmtId="0" fontId="7" fillId="0" borderId="8" xfId="0" applyFont="1" applyBorder="1" applyAlignment="1" applyProtection="1">
      <alignment horizontal="center" vertical="center" wrapText="1"/>
      <protection hidden="1"/>
    </xf>
    <xf numFmtId="164" fontId="7" fillId="0" borderId="0" xfId="0" applyNumberFormat="1" applyFont="1" applyAlignment="1" applyProtection="1">
      <alignment vertical="center" wrapText="1"/>
      <protection hidden="1"/>
    </xf>
    <xf numFmtId="164" fontId="7" fillId="0" borderId="0" xfId="0" applyNumberFormat="1" applyFont="1" applyAlignment="1" applyProtection="1">
      <alignment vertical="center" wrapText="1"/>
      <protection locked="0"/>
    </xf>
    <xf numFmtId="0" fontId="21" fillId="0" borderId="0" xfId="0" applyFont="1" applyAlignment="1" applyProtection="1">
      <alignment horizontal="center" vertical="center" wrapText="1"/>
      <protection hidden="1"/>
    </xf>
    <xf numFmtId="0" fontId="7" fillId="0" borderId="5" xfId="0" applyFont="1" applyBorder="1" applyAlignment="1" applyProtection="1">
      <alignment horizontal="center" vertical="center" wrapText="1"/>
      <protection hidden="1"/>
    </xf>
    <xf numFmtId="164" fontId="7" fillId="0" borderId="5" xfId="0" applyNumberFormat="1" applyFont="1" applyBorder="1" applyAlignment="1" applyProtection="1">
      <alignment vertical="center" wrapText="1"/>
      <protection locked="0"/>
    </xf>
    <xf numFmtId="2" fontId="7" fillId="0" borderId="5" xfId="0" applyNumberFormat="1" applyFont="1" applyBorder="1" applyAlignment="1" applyProtection="1">
      <alignment vertical="center" wrapText="1"/>
      <protection hidden="1"/>
    </xf>
    <xf numFmtId="0" fontId="7" fillId="0" borderId="2"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164" fontId="7" fillId="0" borderId="14" xfId="0" applyNumberFormat="1" applyFont="1" applyBorder="1" applyAlignment="1" applyProtection="1">
      <alignment vertical="center" wrapText="1"/>
      <protection locked="0"/>
    </xf>
    <xf numFmtId="164" fontId="7" fillId="2" borderId="14" xfId="0" applyNumberFormat="1" applyFont="1" applyFill="1" applyBorder="1" applyAlignment="1" applyProtection="1">
      <alignment vertical="center" wrapText="1"/>
      <protection hidden="1"/>
    </xf>
    <xf numFmtId="9" fontId="7" fillId="0" borderId="0" xfId="2" applyFont="1" applyAlignment="1" applyProtection="1">
      <alignment vertical="center" wrapText="1"/>
      <protection hidden="1"/>
    </xf>
    <xf numFmtId="9" fontId="7" fillId="0" borderId="0" xfId="0" applyNumberFormat="1" applyFont="1" applyAlignment="1" applyProtection="1">
      <alignment vertical="center" wrapText="1"/>
      <protection hidden="1"/>
    </xf>
    <xf numFmtId="43" fontId="7" fillId="0" borderId="0" xfId="1" applyFont="1" applyAlignment="1" applyProtection="1">
      <alignment vertical="center" wrapText="1"/>
      <protection hidden="1"/>
    </xf>
    <xf numFmtId="0" fontId="7" fillId="2" borderId="2" xfId="0" applyFont="1" applyFill="1" applyBorder="1" applyAlignment="1" applyProtection="1">
      <alignment vertical="center" wrapText="1"/>
      <protection hidden="1"/>
    </xf>
    <xf numFmtId="4" fontId="7" fillId="0" borderId="5" xfId="2" applyNumberFormat="1" applyFont="1" applyFill="1" applyBorder="1" applyAlignment="1" applyProtection="1">
      <alignment horizontal="right" vertical="center" wrapText="1" readingOrder="1"/>
      <protection locked="0"/>
    </xf>
    <xf numFmtId="4" fontId="7" fillId="0" borderId="1" xfId="2" applyNumberFormat="1" applyFont="1" applyFill="1" applyBorder="1" applyAlignment="1" applyProtection="1">
      <alignment horizontal="right" vertical="center" wrapText="1" readingOrder="1"/>
      <protection hidden="1"/>
    </xf>
    <xf numFmtId="4" fontId="7" fillId="0" borderId="14" xfId="2" applyNumberFormat="1" applyFont="1" applyFill="1" applyBorder="1" applyAlignment="1" applyProtection="1">
      <alignment horizontal="right" vertical="center" wrapText="1" readingOrder="1"/>
      <protection locked="0"/>
    </xf>
    <xf numFmtId="10" fontId="7" fillId="0" borderId="0" xfId="2" applyNumberFormat="1" applyFont="1" applyBorder="1" applyAlignment="1" applyProtection="1">
      <alignment horizontal="right" vertical="center" wrapText="1"/>
      <protection hidden="1"/>
    </xf>
    <xf numFmtId="165" fontId="18" fillId="0" borderId="0" xfId="1" applyNumberFormat="1" applyFont="1" applyBorder="1" applyAlignment="1" applyProtection="1">
      <alignment horizontal="right" vertical="center" wrapText="1"/>
      <protection hidden="1"/>
    </xf>
    <xf numFmtId="10" fontId="18" fillId="0" borderId="0" xfId="0" applyNumberFormat="1" applyFont="1" applyAlignment="1" applyProtection="1">
      <alignment vertical="center" wrapText="1"/>
      <protection hidden="1"/>
    </xf>
    <xf numFmtId="4" fontId="18" fillId="0" borderId="0" xfId="0" applyNumberFormat="1" applyFont="1" applyAlignment="1" applyProtection="1">
      <alignment vertical="center" wrapText="1"/>
      <protection hidden="1"/>
    </xf>
    <xf numFmtId="0" fontId="7" fillId="2" borderId="2" xfId="0" applyFont="1" applyFill="1" applyBorder="1" applyAlignment="1" applyProtection="1">
      <alignment horizontal="centerContinuous" vertical="center" wrapText="1"/>
      <protection hidden="1"/>
    </xf>
    <xf numFmtId="0" fontId="7" fillId="2" borderId="0" xfId="0" applyFont="1" applyFill="1" applyAlignment="1" applyProtection="1">
      <alignment horizontal="centerContinuous" vertical="center" wrapText="1"/>
      <protection hidden="1"/>
    </xf>
    <xf numFmtId="0" fontId="6" fillId="2" borderId="0" xfId="0" applyFont="1" applyFill="1" applyAlignment="1" applyProtection="1">
      <alignment horizontal="centerContinuous" vertical="center" wrapText="1"/>
      <protection hidden="1"/>
    </xf>
    <xf numFmtId="0" fontId="6" fillId="0" borderId="0" xfId="0" applyFont="1" applyAlignment="1" applyProtection="1">
      <alignment horizontal="centerContinuous" vertical="center" wrapText="1"/>
      <protection hidden="1"/>
    </xf>
    <xf numFmtId="0" fontId="6" fillId="4" borderId="2" xfId="0" applyFont="1" applyFill="1" applyBorder="1" applyAlignment="1" applyProtection="1">
      <alignment vertical="center"/>
      <protection hidden="1"/>
    </xf>
    <xf numFmtId="0" fontId="6" fillId="4" borderId="2" xfId="0" applyFont="1" applyFill="1" applyBorder="1" applyAlignment="1" applyProtection="1">
      <alignment horizontal="left" vertical="center"/>
      <protection hidden="1"/>
    </xf>
    <xf numFmtId="0" fontId="6" fillId="4" borderId="0" xfId="0" applyFont="1" applyFill="1" applyAlignment="1" applyProtection="1">
      <alignment horizontal="centerContinuous" vertical="center" wrapText="1"/>
      <protection hidden="1"/>
    </xf>
    <xf numFmtId="169" fontId="6" fillId="4" borderId="0" xfId="0" applyNumberFormat="1" applyFont="1" applyFill="1" applyAlignment="1" applyProtection="1">
      <alignment horizontal="center" vertical="center" wrapText="1"/>
      <protection locked="0" hidden="1"/>
    </xf>
    <xf numFmtId="177" fontId="7" fillId="0" borderId="5" xfId="0" applyNumberFormat="1" applyFont="1" applyBorder="1" applyAlignment="1" applyProtection="1">
      <alignment horizontal="center" vertical="center"/>
      <protection locked="0" hidden="1"/>
    </xf>
    <xf numFmtId="177" fontId="7" fillId="0" borderId="14" xfId="0" applyNumberFormat="1" applyFont="1" applyBorder="1" applyAlignment="1" applyProtection="1">
      <alignment horizontal="center" vertical="center"/>
      <protection locked="0" hidden="1"/>
    </xf>
    <xf numFmtId="169" fontId="7" fillId="0" borderId="14" xfId="0" applyNumberFormat="1" applyFont="1" applyBorder="1" applyAlignment="1" applyProtection="1">
      <alignment horizontal="left" vertical="center"/>
      <protection locked="0" hidden="1"/>
    </xf>
    <xf numFmtId="169" fontId="7" fillId="0" borderId="5" xfId="0" applyNumberFormat="1" applyFont="1" applyBorder="1" applyAlignment="1" applyProtection="1">
      <alignment horizontal="left" vertical="center"/>
      <protection locked="0" hidden="1"/>
    </xf>
    <xf numFmtId="0" fontId="6" fillId="2" borderId="0" xfId="0" applyFont="1" applyFill="1" applyAlignment="1" applyProtection="1">
      <alignment horizontal="center" vertical="center" wrapText="1"/>
      <protection hidden="1"/>
    </xf>
    <xf numFmtId="0" fontId="7" fillId="0" borderId="2" xfId="0" applyFont="1" applyBorder="1" applyAlignment="1" applyProtection="1">
      <alignment vertical="center" wrapText="1"/>
      <protection hidden="1"/>
    </xf>
    <xf numFmtId="164" fontId="7" fillId="0" borderId="2" xfId="0" applyNumberFormat="1" applyFont="1" applyBorder="1" applyAlignment="1" applyProtection="1">
      <alignment horizontal="right" vertical="center" wrapText="1"/>
      <protection hidden="1"/>
    </xf>
    <xf numFmtId="0" fontId="7" fillId="0" borderId="2" xfId="0" applyFont="1" applyBorder="1" applyAlignment="1" applyProtection="1">
      <alignment horizontal="right" vertical="center" wrapText="1"/>
      <protection hidden="1"/>
    </xf>
    <xf numFmtId="0" fontId="7" fillId="0" borderId="0" xfId="0" applyFont="1" applyAlignment="1" applyProtection="1">
      <alignment horizontal="justify" vertical="center" wrapText="1"/>
      <protection hidden="1"/>
    </xf>
    <xf numFmtId="0" fontId="7" fillId="0" borderId="2" xfId="0" applyFont="1" applyBorder="1" applyAlignment="1" applyProtection="1">
      <alignment horizontal="justify" vertical="center" wrapText="1"/>
      <protection hidden="1"/>
    </xf>
    <xf numFmtId="4" fontId="7" fillId="0" borderId="2" xfId="0" applyNumberFormat="1" applyFont="1" applyBorder="1" applyAlignment="1" applyProtection="1">
      <alignment horizontal="right" vertical="center" wrapText="1"/>
      <protection hidden="1"/>
    </xf>
    <xf numFmtId="0" fontId="6" fillId="2" borderId="1" xfId="0" applyFont="1" applyFill="1" applyBorder="1" applyAlignment="1" applyProtection="1">
      <alignment horizontal="center" vertical="center" wrapText="1"/>
      <protection hidden="1"/>
    </xf>
    <xf numFmtId="0" fontId="6" fillId="2" borderId="2" xfId="0" applyFont="1" applyFill="1" applyBorder="1" applyAlignment="1" applyProtection="1">
      <alignment horizontal="center" vertical="center" wrapText="1"/>
      <protection hidden="1"/>
    </xf>
    <xf numFmtId="0" fontId="7" fillId="0" borderId="5" xfId="0" applyFont="1" applyBorder="1" applyAlignment="1" applyProtection="1">
      <alignment horizontal="right" vertical="center" wrapText="1"/>
      <protection locked="0"/>
    </xf>
    <xf numFmtId="9" fontId="7" fillId="0" borderId="5" xfId="2" applyFont="1" applyBorder="1" applyAlignment="1" applyProtection="1">
      <alignment horizontal="right" vertical="center" wrapText="1"/>
      <protection hidden="1"/>
    </xf>
    <xf numFmtId="0" fontId="7" fillId="0" borderId="5" xfId="0" applyFont="1" applyBorder="1" applyAlignment="1" applyProtection="1">
      <alignment vertical="center" wrapText="1"/>
      <protection hidden="1"/>
    </xf>
    <xf numFmtId="164" fontId="7" fillId="0" borderId="2" xfId="0" applyNumberFormat="1" applyFont="1" applyBorder="1" applyAlignment="1" applyProtection="1">
      <alignment horizontal="center" vertical="center" wrapText="1"/>
      <protection hidden="1"/>
    </xf>
    <xf numFmtId="164" fontId="7" fillId="0" borderId="5" xfId="0" applyNumberFormat="1" applyFont="1" applyBorder="1" applyAlignment="1" applyProtection="1">
      <alignment horizontal="center" vertical="center" wrapText="1"/>
      <protection hidden="1"/>
    </xf>
    <xf numFmtId="164" fontId="7" fillId="0" borderId="14" xfId="0" applyNumberFormat="1" applyFont="1" applyBorder="1" applyAlignment="1" applyProtection="1">
      <alignment horizontal="center" vertical="center" wrapText="1"/>
      <protection hidden="1"/>
    </xf>
    <xf numFmtId="164" fontId="7" fillId="0" borderId="5" xfId="0" applyNumberFormat="1" applyFont="1" applyBorder="1" applyAlignment="1" applyProtection="1">
      <alignment vertical="center" wrapText="1"/>
      <protection hidden="1"/>
    </xf>
    <xf numFmtId="164" fontId="7" fillId="0" borderId="14" xfId="0" applyNumberFormat="1" applyFont="1" applyBorder="1" applyAlignment="1" applyProtection="1">
      <alignment vertical="center" wrapText="1"/>
      <protection hidden="1"/>
    </xf>
    <xf numFmtId="164" fontId="7" fillId="0" borderId="0" xfId="0" applyNumberFormat="1" applyFont="1" applyAlignment="1" applyProtection="1">
      <alignment vertical="center" wrapText="1"/>
      <protection hidden="1"/>
    </xf>
    <xf numFmtId="10" fontId="7" fillId="0" borderId="5" xfId="0" applyNumberFormat="1" applyFont="1" applyBorder="1" applyAlignment="1" applyProtection="1">
      <alignment vertical="center" wrapText="1"/>
      <protection hidden="1"/>
    </xf>
    <xf numFmtId="0" fontId="7" fillId="0" borderId="0" xfId="0" applyFont="1" applyAlignment="1" applyProtection="1">
      <alignment vertical="center" wrapText="1"/>
      <protection hidden="1"/>
    </xf>
    <xf numFmtId="0" fontId="7" fillId="0" borderId="14" xfId="0" applyFont="1" applyBorder="1" applyAlignment="1" applyProtection="1">
      <alignment vertical="center" wrapText="1"/>
      <protection hidden="1"/>
    </xf>
    <xf numFmtId="4" fontId="7" fillId="0" borderId="5" xfId="2" applyNumberFormat="1" applyFont="1" applyFill="1" applyBorder="1" applyAlignment="1" applyProtection="1">
      <alignment horizontal="right" vertical="center" wrapText="1" readingOrder="1"/>
      <protection hidden="1"/>
    </xf>
    <xf numFmtId="0" fontId="22" fillId="0" borderId="5" xfId="0" applyFont="1" applyBorder="1" applyAlignment="1" applyProtection="1">
      <alignment vertical="center" wrapText="1"/>
      <protection hidden="1"/>
    </xf>
    <xf numFmtId="164" fontId="22" fillId="0" borderId="5" xfId="0" applyNumberFormat="1" applyFont="1" applyBorder="1" applyAlignment="1" applyProtection="1">
      <alignment vertical="center" wrapText="1"/>
      <protection hidden="1"/>
    </xf>
    <xf numFmtId="164" fontId="7" fillId="0" borderId="2" xfId="0" applyNumberFormat="1" applyFont="1" applyBorder="1" applyAlignment="1" applyProtection="1">
      <alignment vertical="center" wrapText="1"/>
      <protection hidden="1"/>
    </xf>
    <xf numFmtId="164" fontId="7" fillId="0" borderId="1" xfId="0" applyNumberFormat="1" applyFont="1" applyBorder="1" applyAlignment="1" applyProtection="1">
      <alignment horizontal="center" vertical="center" wrapText="1"/>
      <protection hidden="1"/>
    </xf>
    <xf numFmtId="10" fontId="7" fillId="0" borderId="2" xfId="2" applyNumberFormat="1" applyFont="1" applyBorder="1" applyAlignment="1" applyProtection="1">
      <alignment vertical="center" wrapText="1"/>
      <protection hidden="1"/>
    </xf>
    <xf numFmtId="0" fontId="3" fillId="0" borderId="5" xfId="0" applyFont="1" applyBorder="1" applyAlignment="1" applyProtection="1">
      <alignment vertical="center" wrapText="1"/>
      <protection hidden="1"/>
    </xf>
    <xf numFmtId="0" fontId="6" fillId="0" borderId="3" xfId="0" applyFont="1" applyBorder="1" applyAlignment="1" applyProtection="1">
      <alignment horizontal="center" vertical="center" wrapText="1"/>
      <protection hidden="1"/>
    </xf>
    <xf numFmtId="0" fontId="7" fillId="0" borderId="0" xfId="0" applyFont="1" applyAlignment="1" applyProtection="1">
      <alignment horizontal="right" vertical="center" wrapText="1"/>
      <protection hidden="1"/>
    </xf>
    <xf numFmtId="164" fontId="7" fillId="0" borderId="5" xfId="0" applyNumberFormat="1" applyFont="1" applyBorder="1" applyAlignment="1" applyProtection="1">
      <alignment vertical="center" wrapText="1"/>
      <protection locked="0"/>
    </xf>
    <xf numFmtId="164" fontId="7" fillId="0" borderId="14" xfId="0" applyNumberFormat="1"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14" xfId="0" applyFont="1" applyBorder="1" applyAlignment="1" applyProtection="1">
      <alignment vertical="center" wrapText="1"/>
      <protection locked="0"/>
    </xf>
    <xf numFmtId="0" fontId="7" fillId="2" borderId="2"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4" fontId="7" fillId="0" borderId="0" xfId="2" applyNumberFormat="1" applyFont="1" applyFill="1" applyAlignment="1" applyProtection="1">
      <alignment horizontal="right" vertical="center" wrapText="1" readingOrder="1"/>
      <protection hidden="1"/>
    </xf>
    <xf numFmtId="0" fontId="3" fillId="0" borderId="0" xfId="0" applyFont="1" applyAlignment="1" applyProtection="1">
      <alignment vertical="center" wrapText="1"/>
      <protection hidden="1"/>
    </xf>
    <xf numFmtId="4" fontId="7" fillId="0" borderId="5" xfId="2" applyNumberFormat="1" applyFont="1" applyFill="1" applyBorder="1" applyAlignment="1" applyProtection="1">
      <alignment horizontal="right" vertical="center" wrapText="1" readingOrder="1"/>
      <protection locked="0"/>
    </xf>
    <xf numFmtId="0" fontId="6" fillId="0" borderId="1" xfId="0" applyFont="1" applyBorder="1" applyAlignment="1" applyProtection="1">
      <alignment horizontal="center" vertical="center" wrapText="1"/>
      <protection hidden="1"/>
    </xf>
    <xf numFmtId="10" fontId="7" fillId="0" borderId="5" xfId="2" applyNumberFormat="1" applyFont="1" applyBorder="1" applyAlignment="1" applyProtection="1">
      <alignment vertical="center" wrapText="1"/>
      <protection hidden="1"/>
    </xf>
    <xf numFmtId="0" fontId="22" fillId="2" borderId="2" xfId="0" applyFont="1" applyFill="1" applyBorder="1" applyAlignment="1" applyProtection="1">
      <alignment horizontal="center" vertical="center" wrapText="1"/>
      <protection hidden="1"/>
    </xf>
    <xf numFmtId="0" fontId="22" fillId="2" borderId="0" xfId="0" applyFont="1" applyFill="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169" fontId="6" fillId="4" borderId="0" xfId="0" applyNumberFormat="1" applyFont="1" applyFill="1" applyAlignment="1" applyProtection="1">
      <alignment horizontal="center" vertical="center" wrapText="1"/>
      <protection locked="0" hidden="1"/>
    </xf>
    <xf numFmtId="10" fontId="7" fillId="0" borderId="2" xfId="2" applyNumberFormat="1" applyFont="1" applyBorder="1" applyAlignment="1" applyProtection="1">
      <alignment horizontal="right" vertical="center" wrapText="1"/>
      <protection hidden="1"/>
    </xf>
    <xf numFmtId="0" fontId="7" fillId="0" borderId="5" xfId="0" applyFont="1" applyBorder="1" applyAlignment="1" applyProtection="1">
      <alignment horizontal="right" vertical="center" wrapText="1"/>
      <protection hidden="1"/>
    </xf>
    <xf numFmtId="1" fontId="7" fillId="0" borderId="5" xfId="1" applyNumberFormat="1" applyFont="1" applyBorder="1" applyAlignment="1" applyProtection="1">
      <alignment horizontal="right" vertical="center" wrapText="1"/>
      <protection hidden="1"/>
    </xf>
    <xf numFmtId="10" fontId="7" fillId="0" borderId="2" xfId="0" applyNumberFormat="1" applyFont="1" applyBorder="1" applyAlignment="1" applyProtection="1">
      <alignment vertical="center" wrapText="1"/>
      <protection hidden="1"/>
    </xf>
    <xf numFmtId="10" fontId="7" fillId="0" borderId="0" xfId="0" applyNumberFormat="1" applyFont="1" applyAlignment="1" applyProtection="1">
      <alignment vertical="center" wrapText="1"/>
      <protection hidden="1"/>
    </xf>
    <xf numFmtId="165" fontId="7" fillId="0" borderId="5" xfId="1" applyNumberFormat="1" applyFont="1" applyBorder="1" applyAlignment="1" applyProtection="1">
      <alignment horizontal="right" vertical="center" wrapText="1"/>
      <protection hidden="1"/>
    </xf>
    <xf numFmtId="1" fontId="7" fillId="0" borderId="2" xfId="1" applyNumberFormat="1" applyFont="1" applyBorder="1" applyAlignment="1" applyProtection="1">
      <alignment vertical="center" wrapText="1"/>
      <protection locked="0"/>
    </xf>
    <xf numFmtId="0" fontId="6" fillId="4" borderId="2" xfId="0" applyFont="1" applyFill="1" applyBorder="1" applyAlignment="1" applyProtection="1">
      <alignment vertical="center" wrapText="1"/>
      <protection hidden="1"/>
    </xf>
    <xf numFmtId="164" fontId="7" fillId="0" borderId="2" xfId="0" applyNumberFormat="1" applyFont="1" applyBorder="1" applyAlignment="1" applyProtection="1">
      <alignment horizontal="right" vertical="center" wrapText="1"/>
      <protection locked="0"/>
    </xf>
    <xf numFmtId="9" fontId="7" fillId="0" borderId="3" xfId="2" applyFont="1" applyFill="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7" fillId="0" borderId="5" xfId="0" applyFont="1" applyBorder="1" applyAlignment="1" applyProtection="1">
      <alignment horizontal="center" vertical="center" wrapText="1"/>
      <protection hidden="1"/>
    </xf>
    <xf numFmtId="9" fontId="7" fillId="0" borderId="2" xfId="2" applyFont="1" applyBorder="1" applyAlignment="1" applyProtection="1">
      <alignment vertical="center" wrapText="1"/>
      <protection hidden="1"/>
    </xf>
    <xf numFmtId="0" fontId="18" fillId="0" borderId="0" xfId="0" applyFont="1" applyAlignment="1" applyProtection="1">
      <alignment vertical="center" wrapText="1"/>
      <protection hidden="1"/>
    </xf>
    <xf numFmtId="164" fontId="7" fillId="0" borderId="5" xfId="0" applyNumberFormat="1" applyFont="1" applyBorder="1" applyAlignment="1" applyProtection="1">
      <alignment horizontal="right" vertical="center" wrapText="1"/>
      <protection hidden="1"/>
    </xf>
    <xf numFmtId="166" fontId="7" fillId="0" borderId="5" xfId="0" applyNumberFormat="1" applyFont="1" applyBorder="1" applyAlignment="1" applyProtection="1">
      <alignment horizontal="right" vertical="center" wrapText="1"/>
      <protection hidden="1"/>
    </xf>
    <xf numFmtId="0" fontId="6" fillId="0" borderId="0" xfId="0" applyFont="1" applyAlignment="1" applyProtection="1">
      <alignment horizontal="center" vertical="center" wrapText="1"/>
      <protection hidden="1"/>
    </xf>
    <xf numFmtId="10" fontId="7" fillId="0" borderId="2" xfId="2" applyNumberFormat="1" applyFont="1" applyFill="1" applyBorder="1" applyAlignment="1" applyProtection="1">
      <alignment horizontal="right" vertical="center" wrapText="1"/>
      <protection hidden="1"/>
    </xf>
    <xf numFmtId="0" fontId="7" fillId="0" borderId="0" xfId="0" applyFont="1" applyAlignment="1" applyProtection="1">
      <alignment horizontal="justify" wrapText="1"/>
      <protection hidden="1"/>
    </xf>
    <xf numFmtId="0" fontId="7" fillId="0" borderId="2" xfId="0" applyFont="1" applyBorder="1" applyAlignment="1" applyProtection="1">
      <alignment vertical="center" wrapText="1"/>
      <protection locked="0"/>
    </xf>
    <xf numFmtId="0" fontId="7" fillId="0" borderId="5" xfId="0" applyFont="1" applyBorder="1" applyAlignment="1" applyProtection="1">
      <alignment horizontal="left" vertical="center" wrapText="1"/>
      <protection hidden="1"/>
    </xf>
    <xf numFmtId="0" fontId="6" fillId="0" borderId="2" xfId="0" applyFont="1" applyBorder="1" applyAlignment="1" applyProtection="1">
      <alignment vertical="center" wrapText="1"/>
      <protection hidden="1"/>
    </xf>
    <xf numFmtId="0" fontId="6" fillId="0" borderId="0" xfId="0" applyFont="1" applyAlignment="1" applyProtection="1">
      <alignment vertical="center" wrapText="1"/>
      <protection hidden="1"/>
    </xf>
    <xf numFmtId="176" fontId="7" fillId="0" borderId="2" xfId="0" applyNumberFormat="1" applyFont="1" applyBorder="1" applyAlignment="1" applyProtection="1">
      <alignment vertical="center" wrapText="1"/>
      <protection hidden="1"/>
    </xf>
    <xf numFmtId="168" fontId="7" fillId="0" borderId="5" xfId="0" applyNumberFormat="1" applyFont="1" applyBorder="1" applyAlignment="1" applyProtection="1">
      <alignment vertical="center" wrapText="1"/>
      <protection locked="0"/>
    </xf>
    <xf numFmtId="0" fontId="7" fillId="2" borderId="2" xfId="0" applyFont="1" applyFill="1" applyBorder="1" applyAlignment="1" applyProtection="1">
      <alignment horizontal="center" vertical="center" wrapText="1" readingOrder="1"/>
      <protection hidden="1"/>
    </xf>
    <xf numFmtId="4" fontId="7" fillId="0" borderId="5" xfId="0" applyNumberFormat="1" applyFont="1" applyBorder="1" applyAlignment="1" applyProtection="1">
      <alignment horizontal="right" vertical="top" wrapText="1" readingOrder="1"/>
      <protection locked="0"/>
    </xf>
    <xf numFmtId="9" fontId="7" fillId="0" borderId="5" xfId="2" applyFont="1" applyBorder="1" applyAlignment="1" applyProtection="1">
      <alignment horizontal="right" vertical="top" wrapText="1" readingOrder="1"/>
      <protection hidden="1"/>
    </xf>
    <xf numFmtId="2" fontId="7" fillId="0" borderId="5" xfId="0" applyNumberFormat="1" applyFont="1" applyBorder="1" applyAlignment="1" applyProtection="1">
      <alignment horizontal="right" vertical="top" wrapText="1" readingOrder="1"/>
      <protection hidden="1"/>
    </xf>
    <xf numFmtId="164" fontId="7" fillId="0" borderId="2" xfId="0" applyNumberFormat="1"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0" xfId="0" applyFont="1" applyAlignment="1" applyProtection="1">
      <alignment horizontal="justify" vertical="center" wrapText="1" readingOrder="1"/>
      <protection hidden="1"/>
    </xf>
    <xf numFmtId="0" fontId="7" fillId="0" borderId="5" xfId="0" applyFont="1" applyBorder="1" applyAlignment="1" applyProtection="1">
      <alignment horizontal="justify" vertical="top" wrapText="1" readingOrder="1"/>
      <protection hidden="1"/>
    </xf>
    <xf numFmtId="0" fontId="18" fillId="0" borderId="0" xfId="0" applyFont="1" applyAlignment="1" applyProtection="1">
      <alignment horizontal="center" vertical="center" wrapText="1"/>
      <protection hidden="1"/>
    </xf>
    <xf numFmtId="4" fontId="7" fillId="0" borderId="8" xfId="0" applyNumberFormat="1" applyFont="1" applyBorder="1" applyAlignment="1" applyProtection="1">
      <alignment horizontal="right" vertical="top" wrapText="1" readingOrder="1"/>
      <protection locked="0"/>
    </xf>
    <xf numFmtId="9" fontId="7" fillId="0" borderId="8" xfId="2" applyFont="1" applyBorder="1" applyAlignment="1" applyProtection="1">
      <alignment horizontal="right" vertical="top" wrapText="1" readingOrder="1"/>
      <protection hidden="1"/>
    </xf>
    <xf numFmtId="4" fontId="7" fillId="0" borderId="8" xfId="0" applyNumberFormat="1" applyFont="1" applyBorder="1" applyAlignment="1" applyProtection="1">
      <alignment horizontal="right" vertical="top" wrapText="1" readingOrder="1"/>
      <protection hidden="1"/>
    </xf>
    <xf numFmtId="2" fontId="7" fillId="0" borderId="8" xfId="0" applyNumberFormat="1" applyFont="1" applyBorder="1" applyAlignment="1" applyProtection="1">
      <alignment horizontal="right" vertical="top" wrapText="1" readingOrder="1"/>
      <protection hidden="1"/>
    </xf>
    <xf numFmtId="176" fontId="7" fillId="0" borderId="5" xfId="0" applyNumberFormat="1" applyFont="1" applyBorder="1" applyAlignment="1" applyProtection="1">
      <alignment vertical="center" wrapText="1"/>
      <protection hidden="1"/>
    </xf>
    <xf numFmtId="0" fontId="7" fillId="0" borderId="0" xfId="0" applyFont="1" applyAlignment="1" applyProtection="1">
      <alignment horizontal="right" vertical="center" wrapText="1"/>
      <protection locked="0"/>
    </xf>
    <xf numFmtId="164" fontId="6" fillId="0" borderId="2" xfId="0" applyNumberFormat="1" applyFont="1" applyBorder="1" applyAlignment="1" applyProtection="1">
      <alignment horizontal="right" vertical="center" wrapText="1"/>
      <protection hidden="1"/>
    </xf>
    <xf numFmtId="10" fontId="7" fillId="0" borderId="5" xfId="2" applyNumberFormat="1" applyFont="1" applyFill="1" applyBorder="1" applyAlignment="1" applyProtection="1">
      <alignment vertical="center" wrapText="1"/>
      <protection hidden="1"/>
    </xf>
    <xf numFmtId="4" fontId="7" fillId="0" borderId="2" xfId="0" applyNumberFormat="1" applyFont="1" applyBorder="1" applyAlignment="1" applyProtection="1">
      <alignment horizontal="right" vertical="center" wrapText="1" readingOrder="1"/>
      <protection hidden="1"/>
    </xf>
    <xf numFmtId="0" fontId="7" fillId="0" borderId="2" xfId="0" applyFont="1" applyBorder="1" applyAlignment="1" applyProtection="1">
      <alignment horizontal="left" vertical="center" wrapText="1" readingOrder="1"/>
      <protection hidden="1"/>
    </xf>
    <xf numFmtId="2" fontId="7" fillId="0" borderId="2" xfId="0" applyNumberFormat="1" applyFont="1" applyBorder="1" applyAlignment="1" applyProtection="1">
      <alignment horizontal="right" vertical="center" wrapText="1" readingOrder="1"/>
      <protection hidden="1"/>
    </xf>
    <xf numFmtId="4" fontId="7" fillId="0" borderId="14" xfId="2" applyNumberFormat="1" applyFont="1" applyFill="1" applyBorder="1" applyAlignment="1" applyProtection="1">
      <alignment horizontal="right" vertical="center" wrapText="1" readingOrder="1"/>
      <protection locked="0"/>
    </xf>
    <xf numFmtId="0" fontId="6" fillId="4" borderId="2" xfId="0" applyFont="1" applyFill="1" applyBorder="1" applyAlignment="1" applyProtection="1">
      <alignment vertical="center"/>
      <protection hidden="1"/>
    </xf>
    <xf numFmtId="1" fontId="7" fillId="0" borderId="2" xfId="1" applyNumberFormat="1" applyFont="1" applyBorder="1" applyAlignment="1" applyProtection="1">
      <alignment horizontal="right" vertical="center" wrapText="1"/>
      <protection locked="0"/>
    </xf>
    <xf numFmtId="164" fontId="7" fillId="0" borderId="0" xfId="0" applyNumberFormat="1" applyFont="1" applyAlignment="1" applyProtection="1">
      <alignment vertical="center" wrapText="1"/>
      <protection locked="0"/>
    </xf>
    <xf numFmtId="0" fontId="2" fillId="2" borderId="1" xfId="0" applyFont="1" applyFill="1" applyBorder="1" applyAlignment="1" applyProtection="1">
      <alignment horizontal="left" vertical="center" wrapText="1"/>
      <protection hidden="1"/>
    </xf>
    <xf numFmtId="0" fontId="3" fillId="0" borderId="0" xfId="0" applyFont="1" applyAlignment="1" applyProtection="1">
      <alignment wrapText="1"/>
      <protection hidden="1"/>
    </xf>
    <xf numFmtId="0" fontId="3" fillId="0" borderId="0" xfId="0" applyFont="1" applyAlignment="1" applyProtection="1">
      <alignment horizontal="justify" vertical="top" wrapText="1"/>
      <protection hidden="1"/>
    </xf>
    <xf numFmtId="0" fontId="2" fillId="5" borderId="24" xfId="0" applyFont="1" applyFill="1" applyBorder="1" applyAlignment="1" applyProtection="1">
      <alignment horizontal="center" vertical="center" wrapText="1"/>
      <protection hidden="1"/>
    </xf>
    <xf numFmtId="10" fontId="3" fillId="0" borderId="24" xfId="0" applyNumberFormat="1" applyFont="1" applyBorder="1" applyAlignment="1" applyProtection="1">
      <alignment horizontal="center" vertical="center" wrapText="1"/>
      <protection hidden="1"/>
    </xf>
    <xf numFmtId="0" fontId="20" fillId="0" borderId="0" xfId="0" applyFont="1" applyAlignment="1" applyProtection="1">
      <alignment horizontal="justify" wrapText="1"/>
      <protection hidden="1"/>
    </xf>
    <xf numFmtId="0" fontId="3" fillId="5" borderId="24" xfId="0" applyFont="1" applyFill="1" applyBorder="1" applyAlignment="1" applyProtection="1">
      <alignment horizontal="justify" vertical="center" wrapText="1"/>
      <protection hidden="1"/>
    </xf>
    <xf numFmtId="0" fontId="20" fillId="0" borderId="0" xfId="0" applyFont="1" applyAlignment="1" applyProtection="1">
      <alignment horizontal="center" vertical="center" wrapText="1"/>
      <protection hidden="1"/>
    </xf>
    <xf numFmtId="0" fontId="20" fillId="0" borderId="0" xfId="0" applyFont="1" applyAlignment="1" applyProtection="1">
      <alignment horizontal="center" vertical="center" textRotation="90" wrapText="1"/>
      <protection hidden="1"/>
    </xf>
    <xf numFmtId="0" fontId="3" fillId="0" borderId="0" xfId="0" applyFont="1" applyAlignment="1" applyProtection="1">
      <alignment vertical="top" wrapText="1"/>
      <protection hidden="1"/>
    </xf>
    <xf numFmtId="0" fontId="2" fillId="2" borderId="25" xfId="0" applyFont="1" applyFill="1" applyBorder="1" applyAlignment="1" applyProtection="1">
      <alignment horizontal="center" vertical="center" wrapText="1" readingOrder="1"/>
      <protection hidden="1"/>
    </xf>
    <xf numFmtId="0" fontId="3" fillId="6" borderId="24" xfId="0" applyFont="1" applyFill="1" applyBorder="1" applyAlignment="1" applyProtection="1">
      <alignment horizontal="center" vertical="center" wrapText="1"/>
      <protection hidden="1"/>
    </xf>
    <xf numFmtId="0" fontId="3" fillId="6" borderId="27" xfId="0" applyFont="1" applyFill="1" applyBorder="1" applyAlignment="1" applyProtection="1">
      <alignment horizontal="center" vertical="center" wrapText="1"/>
      <protection hidden="1"/>
    </xf>
    <xf numFmtId="0" fontId="3" fillId="6" borderId="28" xfId="0" applyFont="1" applyFill="1" applyBorder="1" applyAlignment="1" applyProtection="1">
      <alignment horizontal="center" vertical="center" wrapText="1"/>
      <protection hidden="1"/>
    </xf>
    <xf numFmtId="0" fontId="3" fillId="6" borderId="29" xfId="0" applyFont="1" applyFill="1" applyBorder="1" applyAlignment="1" applyProtection="1">
      <alignment horizontal="center" vertical="center" wrapText="1"/>
      <protection hidden="1"/>
    </xf>
    <xf numFmtId="0" fontId="3" fillId="6" borderId="30" xfId="0" applyFont="1" applyFill="1" applyBorder="1" applyAlignment="1" applyProtection="1">
      <alignment horizontal="center" vertical="center" wrapText="1"/>
      <protection hidden="1"/>
    </xf>
    <xf numFmtId="0" fontId="14" fillId="0" borderId="24" xfId="0" applyFont="1" applyBorder="1" applyAlignment="1" applyProtection="1">
      <alignment horizontal="right" vertical="center" wrapText="1"/>
      <protection hidden="1"/>
    </xf>
    <xf numFmtId="9" fontId="14" fillId="0" borderId="24" xfId="0" applyNumberFormat="1" applyFont="1" applyBorder="1" applyAlignment="1" applyProtection="1">
      <alignment horizontal="right" vertical="center" wrapText="1"/>
      <protection hidden="1"/>
    </xf>
    <xf numFmtId="0" fontId="14" fillId="0" borderId="24" xfId="0" applyFont="1" applyBorder="1" applyAlignment="1" applyProtection="1">
      <alignment horizontal="left" vertical="center" wrapText="1"/>
      <protection hidden="1"/>
    </xf>
    <xf numFmtId="0" fontId="3" fillId="6" borderId="24" xfId="0" applyFont="1" applyFill="1" applyBorder="1" applyAlignment="1" applyProtection="1">
      <alignment horizontal="center" vertical="center" textRotation="90" wrapText="1"/>
      <protection hidden="1"/>
    </xf>
    <xf numFmtId="0" fontId="3" fillId="0" borderId="24" xfId="0" applyFont="1" applyBorder="1" applyAlignment="1" applyProtection="1">
      <alignment horizontal="center" vertical="center" wrapText="1"/>
      <protection hidden="1"/>
    </xf>
    <xf numFmtId="0" fontId="13" fillId="0" borderId="24" xfId="0" applyFont="1" applyBorder="1" applyAlignment="1" applyProtection="1">
      <alignment horizontal="left" vertical="center" wrapText="1"/>
      <protection hidden="1"/>
    </xf>
    <xf numFmtId="2" fontId="13" fillId="0" borderId="24" xfId="0" applyNumberFormat="1" applyFont="1" applyBorder="1" applyAlignment="1" applyProtection="1">
      <alignment horizontal="right" vertical="center" wrapText="1"/>
      <protection hidden="1"/>
    </xf>
    <xf numFmtId="0" fontId="13" fillId="0" borderId="24" xfId="0" applyFont="1" applyBorder="1" applyAlignment="1" applyProtection="1">
      <alignment horizontal="justify" vertical="center" wrapText="1"/>
      <protection hidden="1"/>
    </xf>
    <xf numFmtId="0" fontId="3" fillId="0" borderId="0" xfId="0" applyFont="1" applyAlignment="1" applyProtection="1">
      <alignment horizontal="justify" vertical="center" wrapText="1"/>
      <protection hidden="1"/>
    </xf>
    <xf numFmtId="0" fontId="3" fillId="2" borderId="0" xfId="0" applyFont="1" applyFill="1" applyAlignment="1" applyProtection="1">
      <alignment horizontal="center" vertical="center" wrapText="1" readingOrder="1"/>
      <protection hidden="1"/>
    </xf>
    <xf numFmtId="0" fontId="3" fillId="2" borderId="25" xfId="0" applyFont="1" applyFill="1" applyBorder="1" applyAlignment="1" applyProtection="1">
      <alignment horizontal="center" vertical="center" wrapText="1" readingOrder="1"/>
      <protection hidden="1"/>
    </xf>
    <xf numFmtId="0" fontId="3" fillId="2" borderId="24" xfId="0" applyFont="1" applyFill="1" applyBorder="1" applyAlignment="1" applyProtection="1">
      <alignment horizontal="center" vertical="center" wrapText="1"/>
      <protection hidden="1"/>
    </xf>
    <xf numFmtId="174" fontId="13" fillId="0" borderId="24" xfId="0" applyNumberFormat="1" applyFont="1" applyBorder="1" applyAlignment="1" applyProtection="1">
      <alignment horizontal="right" vertical="center" wrapText="1"/>
      <protection hidden="1"/>
    </xf>
    <xf numFmtId="0" fontId="13" fillId="0" borderId="31" xfId="0" applyFont="1" applyBorder="1" applyAlignment="1" applyProtection="1">
      <alignment horizontal="left" vertical="center" wrapText="1"/>
      <protection hidden="1"/>
    </xf>
    <xf numFmtId="0" fontId="13" fillId="0" borderId="31" xfId="0" applyFont="1" applyBorder="1" applyAlignment="1" applyProtection="1">
      <alignment horizontal="justify" vertical="center" wrapText="1"/>
      <protection hidden="1"/>
    </xf>
    <xf numFmtId="0" fontId="13" fillId="0" borderId="0" xfId="0" applyFont="1" applyAlignment="1" applyProtection="1">
      <alignment horizontal="justify" vertical="center" wrapText="1"/>
      <protection hidden="1"/>
    </xf>
    <xf numFmtId="0" fontId="3" fillId="7" borderId="3" xfId="0" applyFont="1" applyFill="1" applyBorder="1" applyAlignment="1" applyProtection="1">
      <alignment horizontal="center" vertical="center" wrapText="1"/>
      <protection hidden="1"/>
    </xf>
    <xf numFmtId="10" fontId="13" fillId="0" borderId="3" xfId="0" applyNumberFormat="1" applyFont="1" applyBorder="1" applyAlignment="1" applyProtection="1">
      <alignment horizontal="right" vertical="center" wrapText="1"/>
      <protection hidden="1"/>
    </xf>
    <xf numFmtId="0" fontId="13" fillId="0" borderId="3" xfId="0" applyFont="1" applyBorder="1" applyAlignment="1" applyProtection="1">
      <alignment horizontal="center" vertical="center" wrapText="1"/>
      <protection hidden="1"/>
    </xf>
    <xf numFmtId="0" fontId="13" fillId="0" borderId="3" xfId="0" applyFont="1" applyBorder="1" applyAlignment="1" applyProtection="1">
      <alignment horizontal="right" vertical="center" wrapText="1"/>
      <protection hidden="1"/>
    </xf>
    <xf numFmtId="0" fontId="2" fillId="2" borderId="0" xfId="0" applyFont="1" applyFill="1" applyAlignment="1" applyProtection="1">
      <alignment horizontal="center" vertical="center" wrapText="1" readingOrder="1"/>
      <protection hidden="1"/>
    </xf>
    <xf numFmtId="0" fontId="2" fillId="7" borderId="4" xfId="0" applyFont="1" applyFill="1" applyBorder="1" applyAlignment="1" applyProtection="1">
      <alignment horizontal="center" vertical="center" wrapText="1"/>
      <protection hidden="1"/>
    </xf>
    <xf numFmtId="0" fontId="2" fillId="7" borderId="5" xfId="0" applyFont="1" applyFill="1" applyBorder="1" applyAlignment="1" applyProtection="1">
      <alignment horizontal="center" vertical="center" wrapText="1"/>
      <protection hidden="1"/>
    </xf>
    <xf numFmtId="0" fontId="2" fillId="7" borderId="6" xfId="0" applyFont="1" applyFill="1" applyBorder="1" applyAlignment="1" applyProtection="1">
      <alignment horizontal="center" vertical="center" wrapText="1"/>
      <protection hidden="1"/>
    </xf>
    <xf numFmtId="0" fontId="2" fillId="6" borderId="32" xfId="0" applyFont="1" applyFill="1" applyBorder="1" applyAlignment="1" applyProtection="1">
      <alignment horizontal="center" vertical="center" wrapText="1"/>
      <protection hidden="1"/>
    </xf>
    <xf numFmtId="0" fontId="2" fillId="6" borderId="33" xfId="0" applyFont="1" applyFill="1" applyBorder="1" applyAlignment="1" applyProtection="1">
      <alignment horizontal="center" vertical="center" wrapText="1"/>
      <protection hidden="1"/>
    </xf>
    <xf numFmtId="0" fontId="2" fillId="6" borderId="34" xfId="0" applyFont="1" applyFill="1" applyBorder="1" applyAlignment="1" applyProtection="1">
      <alignment horizontal="center" vertical="center" wrapText="1"/>
      <protection hidden="1"/>
    </xf>
    <xf numFmtId="0" fontId="3" fillId="6" borderId="3" xfId="0" applyFont="1" applyFill="1" applyBorder="1" applyAlignment="1" applyProtection="1">
      <alignment horizontal="center" vertical="center" wrapText="1"/>
      <protection hidden="1"/>
    </xf>
    <xf numFmtId="0" fontId="13" fillId="6" borderId="3" xfId="0" applyFont="1" applyFill="1" applyBorder="1" applyAlignment="1" applyProtection="1">
      <alignment horizontal="center" vertical="center" wrapText="1"/>
      <protection hidden="1"/>
    </xf>
    <xf numFmtId="0" fontId="0" fillId="0" borderId="0" xfId="0" applyProtection="1">
      <protection hidden="1"/>
    </xf>
    <xf numFmtId="169" fontId="6" fillId="4" borderId="11" xfId="0" applyNumberFormat="1" applyFont="1" applyFill="1" applyBorder="1" applyAlignment="1" applyProtection="1">
      <alignment horizontal="left" vertical="center"/>
      <protection hidden="1"/>
    </xf>
    <xf numFmtId="169" fontId="6" fillId="4" borderId="7" xfId="0" applyNumberFormat="1" applyFont="1" applyFill="1" applyBorder="1" applyAlignment="1" applyProtection="1">
      <alignment horizontal="left" vertical="center"/>
      <protection hidden="1"/>
    </xf>
    <xf numFmtId="169" fontId="6" fillId="4" borderId="12" xfId="0" applyNumberFormat="1" applyFont="1" applyFill="1" applyBorder="1" applyAlignment="1" applyProtection="1">
      <alignment horizontal="left" vertical="center"/>
      <protection hidden="1"/>
    </xf>
    <xf numFmtId="0" fontId="7" fillId="0" borderId="0" xfId="0" applyFont="1" applyAlignment="1" applyProtection="1">
      <alignment vertical="center"/>
      <protection hidden="1"/>
    </xf>
    <xf numFmtId="0" fontId="0" fillId="0" borderId="18" xfId="0" applyBorder="1" applyProtection="1">
      <protection hidden="1"/>
    </xf>
    <xf numFmtId="0" fontId="0" fillId="0" borderId="19" xfId="0" applyBorder="1" applyProtection="1">
      <protection hidden="1"/>
    </xf>
    <xf numFmtId="0" fontId="0" fillId="0" borderId="20" xfId="0" applyBorder="1" applyProtection="1">
      <protection hidden="1"/>
    </xf>
    <xf numFmtId="20" fontId="0" fillId="0" borderId="22" xfId="0" applyNumberFormat="1" applyBorder="1" applyProtection="1">
      <protection hidden="1"/>
    </xf>
    <xf numFmtId="20" fontId="0" fillId="0" borderId="21" xfId="0" applyNumberFormat="1" applyBorder="1" applyProtection="1">
      <protection hidden="1"/>
    </xf>
    <xf numFmtId="20" fontId="0" fillId="0" borderId="23" xfId="0" applyNumberFormat="1" applyBorder="1" applyProtection="1">
      <protection hidden="1"/>
    </xf>
    <xf numFmtId="0" fontId="0" fillId="0" borderId="18" xfId="0" applyBorder="1" applyAlignment="1" applyProtection="1">
      <alignment vertical="center"/>
      <protection hidden="1"/>
    </xf>
    <xf numFmtId="0" fontId="0" fillId="0" borderId="19" xfId="0" applyBorder="1" applyAlignment="1" applyProtection="1">
      <alignment vertical="center"/>
      <protection hidden="1"/>
    </xf>
    <xf numFmtId="0" fontId="0" fillId="0" borderId="20" xfId="0" applyBorder="1" applyAlignment="1" applyProtection="1">
      <alignment vertical="center"/>
      <protection hidden="1"/>
    </xf>
    <xf numFmtId="0" fontId="0" fillId="0" borderId="22" xfId="0" applyBorder="1" applyAlignment="1" applyProtection="1">
      <alignment vertical="center"/>
      <protection hidden="1"/>
    </xf>
    <xf numFmtId="0" fontId="0" fillId="0" borderId="21" xfId="0" applyBorder="1" applyAlignment="1" applyProtection="1">
      <alignment vertical="center"/>
      <protection hidden="1"/>
    </xf>
    <xf numFmtId="0" fontId="0" fillId="0" borderId="23" xfId="0" applyBorder="1" applyAlignment="1" applyProtection="1">
      <alignment vertical="center"/>
      <protection hidden="1"/>
    </xf>
    <xf numFmtId="0" fontId="0" fillId="0" borderId="2" xfId="0" applyBorder="1" applyProtection="1">
      <protection hidden="1"/>
    </xf>
    <xf numFmtId="0" fontId="9" fillId="0" borderId="0" xfId="0" applyFont="1" applyAlignment="1" applyProtection="1">
      <alignment horizontal="center" vertical="center"/>
      <protection locked="0"/>
    </xf>
    <xf numFmtId="0" fontId="9" fillId="0" borderId="0" xfId="0" applyFont="1" applyAlignment="1" applyProtection="1">
      <alignment horizontal="center" vertical="center"/>
      <protection hidden="1"/>
    </xf>
    <xf numFmtId="0" fontId="0" fillId="0" borderId="4" xfId="0" applyBorder="1" applyAlignment="1" applyProtection="1">
      <alignment vertical="center"/>
      <protection hidden="1"/>
    </xf>
    <xf numFmtId="0" fontId="0" fillId="0" borderId="5" xfId="0" applyBorder="1" applyAlignment="1" applyProtection="1">
      <alignment vertical="center"/>
      <protection hidden="1"/>
    </xf>
    <xf numFmtId="0" fontId="0" fillId="0" borderId="6" xfId="0" applyBorder="1" applyAlignment="1" applyProtection="1">
      <alignment vertical="center"/>
      <protection hidden="1"/>
    </xf>
    <xf numFmtId="0" fontId="0" fillId="0" borderId="3" xfId="0" applyBorder="1" applyAlignment="1" applyProtection="1">
      <alignment vertical="center"/>
      <protection hidden="1"/>
    </xf>
    <xf numFmtId="3" fontId="0" fillId="0" borderId="3" xfId="0" applyNumberFormat="1" applyBorder="1" applyAlignment="1" applyProtection="1">
      <alignment vertical="center"/>
      <protection hidden="1"/>
    </xf>
    <xf numFmtId="0" fontId="0" fillId="0" borderId="4"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3" xfId="0" applyBorder="1" applyProtection="1">
      <protection hidden="1"/>
    </xf>
    <xf numFmtId="0" fontId="0" fillId="0" borderId="3" xfId="0" applyBorder="1" applyAlignment="1" applyProtection="1">
      <alignment vertical="center" shrinkToFit="1"/>
      <protection hidden="1"/>
    </xf>
    <xf numFmtId="0" fontId="8" fillId="0" borderId="3" xfId="0" applyFont="1" applyBorder="1" applyProtection="1">
      <protection hidden="1"/>
    </xf>
    <xf numFmtId="0" fontId="6" fillId="0" borderId="0" xfId="0" applyFont="1" applyAlignment="1" applyProtection="1">
      <alignment vertical="center"/>
      <protection hidden="1"/>
    </xf>
    <xf numFmtId="169" fontId="6" fillId="4" borderId="9" xfId="0" applyNumberFormat="1" applyFont="1" applyFill="1" applyBorder="1" applyAlignment="1" applyProtection="1">
      <alignment horizontal="left" vertical="center"/>
      <protection hidden="1"/>
    </xf>
    <xf numFmtId="169" fontId="6" fillId="4" borderId="0" xfId="0" applyNumberFormat="1" applyFont="1" applyFill="1" applyAlignment="1" applyProtection="1">
      <alignment horizontal="left" vertical="center"/>
      <protection hidden="1"/>
    </xf>
    <xf numFmtId="169" fontId="6" fillId="4" borderId="10" xfId="0" applyNumberFormat="1" applyFont="1" applyFill="1" applyBorder="1" applyAlignment="1" applyProtection="1">
      <alignment horizontal="left" vertical="center"/>
      <protection hidden="1"/>
    </xf>
    <xf numFmtId="0" fontId="8" fillId="0" borderId="4" xfId="0" applyFont="1" applyBorder="1" applyProtection="1">
      <protection hidden="1"/>
    </xf>
    <xf numFmtId="0" fontId="8" fillId="0" borderId="5" xfId="0" applyFont="1" applyBorder="1" applyProtection="1">
      <protection hidden="1"/>
    </xf>
    <xf numFmtId="0" fontId="8" fillId="0" borderId="6" xfId="0" applyFont="1" applyBorder="1" applyProtection="1">
      <protection hidden="1"/>
    </xf>
    <xf numFmtId="0" fontId="6" fillId="0" borderId="3" xfId="0" applyFont="1" applyBorder="1" applyAlignment="1" applyProtection="1">
      <alignment vertical="center" wrapText="1"/>
      <protection hidden="1"/>
    </xf>
    <xf numFmtId="0" fontId="6" fillId="0" borderId="4" xfId="0" applyFont="1" applyBorder="1" applyAlignment="1" applyProtection="1">
      <alignment vertical="center" wrapText="1"/>
      <protection hidden="1"/>
    </xf>
    <xf numFmtId="0" fontId="6" fillId="0" borderId="5" xfId="0" applyFont="1" applyBorder="1" applyAlignment="1" applyProtection="1">
      <alignment vertical="center" wrapText="1"/>
      <protection hidden="1"/>
    </xf>
    <xf numFmtId="0" fontId="7" fillId="0" borderId="3" xfId="0" applyFont="1" applyFill="1" applyBorder="1" applyAlignment="1" applyProtection="1">
      <alignment horizontal="center" vertical="center" wrapText="1"/>
      <protection hidden="1"/>
    </xf>
  </cellXfs>
  <cellStyles count="3">
    <cellStyle name="Normal" xfId="0" builtinId="0"/>
    <cellStyle name="Porcentagem" xfId="2" builtinId="5"/>
    <cellStyle name="Vírgula" xfId="1" builtinId="3"/>
  </cellStyles>
  <dxfs count="17">
    <dxf>
      <fill>
        <patternFill>
          <bgColor rgb="FFFF0000"/>
        </patternFill>
      </fill>
    </dxf>
    <dxf>
      <fill>
        <patternFill>
          <bgColor rgb="FFFF0000"/>
        </patternFill>
      </fill>
    </dxf>
    <dxf>
      <fill>
        <patternFill>
          <bgColor rgb="FFFFFF00"/>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ont>
        <color auto="1"/>
      </font>
      <fill>
        <patternFill>
          <bgColor rgb="FFFFFF00"/>
        </patternFill>
      </fill>
    </dxf>
    <dxf>
      <fill>
        <patternFill>
          <bgColor rgb="FFFFFF00"/>
        </patternFill>
      </fill>
    </dxf>
    <dxf>
      <font>
        <color rgb="FFFF0000"/>
      </font>
    </dxf>
    <dxf>
      <font>
        <b/>
        <i val="0"/>
      </font>
      <fill>
        <patternFill>
          <bgColor theme="7" tint="0.59996337778862885"/>
        </patternFill>
      </fill>
      <border>
        <left/>
        <right/>
        <top/>
        <bottom/>
      </border>
    </dxf>
    <dxf>
      <font>
        <b/>
        <i val="0"/>
      </font>
      <fill>
        <patternFill>
          <bgColor theme="7" tint="0.59996337778862885"/>
        </patternFill>
      </fill>
      <border>
        <left/>
        <right/>
        <top/>
        <bottom/>
      </border>
    </dxf>
    <dxf>
      <font>
        <color rgb="FFFF0000"/>
      </font>
    </dxf>
    <dxf>
      <font>
        <b/>
        <i val="0"/>
      </font>
      <fill>
        <patternFill>
          <bgColor theme="7" tint="0.59996337778862885"/>
        </patternFill>
      </fill>
      <border>
        <left/>
        <right/>
        <top/>
        <bottom/>
      </border>
    </dxf>
    <dxf>
      <font>
        <b/>
        <i val="0"/>
      </font>
      <fill>
        <patternFill>
          <bgColor theme="7" tint="0.59996337778862885"/>
        </patternFill>
      </fill>
      <border>
        <left/>
        <right/>
        <top/>
        <bottom/>
      </border>
    </dxf>
  </dxfs>
  <tableStyles count="0" defaultTableStyle="TableStyleMedium2" defaultPivotStyle="PivotStyleLight16"/>
  <colors>
    <mruColors>
      <color rgb="FF213A8F"/>
      <color rgb="FFB8C5EE"/>
      <color rgb="FFE52621"/>
      <color rgb="FFFFFFFF"/>
      <color rgb="FF010101"/>
      <color rgb="FFB9CFD9"/>
      <color rgb="FF156082"/>
      <color rgb="FF5B9BD5"/>
      <color rgb="FF99ACE7"/>
      <color rgb="FFCEDC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Fatores dos itens da amostra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Ref>
              <c:f>'TERRENO E BENFEITORIAS'!$J$53:$J$57</c:f>
              <c:numCache>
                <c:formatCode>#,##0.00_ ;[Red]\-#,##0.00\ </c:formatCode>
                <c:ptCount val="5"/>
                <c:pt idx="0">
                  <c:v>0.90000000000000036</c:v>
                </c:pt>
                <c:pt idx="1">
                  <c:v>1</c:v>
                </c:pt>
                <c:pt idx="2">
                  <c:v>0.95000000000000018</c:v>
                </c:pt>
                <c:pt idx="3">
                  <c:v>1</c:v>
                </c:pt>
                <c:pt idx="4">
                  <c:v>1</c:v>
                </c:pt>
              </c:numCache>
            </c:numRef>
          </c:val>
          <c:extLst>
            <c:ext xmlns:c16="http://schemas.microsoft.com/office/drawing/2014/chart" uri="{C3380CC4-5D6E-409C-BE32-E72D297353CC}">
              <c16:uniqueId val="{00000000-856B-4272-AB9B-2BD4692A542C}"/>
            </c:ext>
          </c:extLst>
        </c:ser>
        <c:dLbls>
          <c:showLegendKey val="0"/>
          <c:showVal val="0"/>
          <c:showCatName val="0"/>
          <c:showSerName val="0"/>
          <c:showPercent val="0"/>
          <c:showBubbleSize val="0"/>
        </c:dLbls>
        <c:gapWidth val="219"/>
        <c:overlap val="-27"/>
        <c:axId val="884650287"/>
        <c:axId val="863456463"/>
      </c:barChart>
      <c:catAx>
        <c:axId val="884650287"/>
        <c:scaling>
          <c:orientation val="minMax"/>
        </c:scaling>
        <c:delete val="0"/>
        <c:axPos val="b"/>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ptos" panose="020B0004020202020204" pitchFamily="34" charset="0"/>
                <a:ea typeface="+mn-ea"/>
                <a:cs typeface="+mn-cs"/>
              </a:defRPr>
            </a:pPr>
            <a:r>
              <a:rPr lang="en-US" sz="1050" b="1"/>
              <a:t>Comparação: itens da amostra e paradigma</a:t>
            </a:r>
            <a:endParaRPr lang="en-US" sz="1050" b="0" i="1"/>
          </a:p>
        </c:rich>
      </c:tx>
      <c:overlay val="0"/>
      <c:spPr>
        <a:noFill/>
        <a:ln cap="sq">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Ref>
              <c:f>'TERRENO E BENFEITORIAS'!$J$53:$J$57</c:f>
              <c:numCache>
                <c:formatCode>#,##0.00_ ;[Red]\-#,##0.00\ </c:formatCode>
                <c:ptCount val="5"/>
                <c:pt idx="0">
                  <c:v>0.90000000000000036</c:v>
                </c:pt>
                <c:pt idx="1">
                  <c:v>1</c:v>
                </c:pt>
                <c:pt idx="2">
                  <c:v>0.95000000000000018</c:v>
                </c:pt>
                <c:pt idx="3">
                  <c:v>1</c:v>
                </c:pt>
                <c:pt idx="4">
                  <c:v>1</c:v>
                </c:pt>
              </c:numCache>
            </c:numRef>
          </c:val>
          <c:extLst>
            <c:ext xmlns:c16="http://schemas.microsoft.com/office/drawing/2014/chart" uri="{C3380CC4-5D6E-409C-BE32-E72D297353CC}">
              <c16:uniqueId val="{00000000-AEE4-4CF8-812E-E46FA56CA779}"/>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5"/>
              <c:pt idx="0">
                <c:v>1</c:v>
              </c:pt>
              <c:pt idx="1">
                <c:v>1</c:v>
              </c:pt>
              <c:pt idx="2">
                <c:v>1</c:v>
              </c:pt>
              <c:pt idx="3">
                <c:v>1</c:v>
              </c:pt>
              <c:pt idx="4">
                <c:v>1</c:v>
              </c:pt>
            </c:numLit>
          </c:val>
          <c:smooth val="0"/>
          <c:extLst>
            <c:ext xmlns:c16="http://schemas.microsoft.com/office/drawing/2014/chart" uri="{C3380CC4-5D6E-409C-BE32-E72D297353CC}">
              <c16:uniqueId val="{00000001-AEE4-4CF8-812E-E46FA56CA779}"/>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Ajuste dos itens da amostra ao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Lit>
              <c:formatCode>General</c:formatCode>
              <c:ptCount val="5"/>
              <c:pt idx="0">
                <c:v>1</c:v>
              </c:pt>
              <c:pt idx="1">
                <c:v>1</c:v>
              </c:pt>
              <c:pt idx="2">
                <c:v>1</c:v>
              </c:pt>
              <c:pt idx="3">
                <c:v>1</c:v>
              </c:pt>
              <c:pt idx="4">
                <c:v>1</c:v>
              </c:pt>
            </c:numLit>
          </c:val>
          <c:extLst>
            <c:ext xmlns:c16="http://schemas.microsoft.com/office/drawing/2014/chart" uri="{C3380CC4-5D6E-409C-BE32-E72D297353CC}">
              <c16:uniqueId val="{00000000-6DCF-41DA-8038-187D049CAA9F}"/>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5"/>
              <c:pt idx="0">
                <c:v>1</c:v>
              </c:pt>
              <c:pt idx="1">
                <c:v>1</c:v>
              </c:pt>
              <c:pt idx="2">
                <c:v>1</c:v>
              </c:pt>
              <c:pt idx="3">
                <c:v>1</c:v>
              </c:pt>
              <c:pt idx="4">
                <c:v>1</c:v>
              </c:pt>
            </c:numLit>
          </c:val>
          <c:smooth val="0"/>
          <c:extLst>
            <c:ext xmlns:c16="http://schemas.microsoft.com/office/drawing/2014/chart" uri="{C3380CC4-5D6E-409C-BE32-E72D297353CC}">
              <c16:uniqueId val="{00000001-6DCF-41DA-8038-187D049CAA9F}"/>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General"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
            </a:r>
            <a:r>
              <a:rPr lang="en-US" sz="1000" b="1" baseline="0"/>
              <a:t>ator do bem avaliando</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Ajuste ao bem avaliando</c:v>
          </c:tx>
          <c:spPr>
            <a:solidFill>
              <a:schemeClr val="accent1"/>
            </a:solidFill>
            <a:ln>
              <a:noFill/>
            </a:ln>
            <a:effectLst/>
          </c:spPr>
          <c:invertIfNegative val="0"/>
          <c:val>
            <c:numRef>
              <c:f>'TERRENO E BENFEITORIAS'!$L$53:$L$57</c:f>
              <c:numCache>
                <c:formatCode>#,##0.00_ ;[Red]\-#,##0.00\ </c:formatCode>
                <c:ptCount val="5"/>
                <c:pt idx="0">
                  <c:v>0.90000000000000036</c:v>
                </c:pt>
                <c:pt idx="1">
                  <c:v>0.90000000000000036</c:v>
                </c:pt>
                <c:pt idx="2">
                  <c:v>0.90000000000000036</c:v>
                </c:pt>
                <c:pt idx="3">
                  <c:v>0.90000000000000036</c:v>
                </c:pt>
                <c:pt idx="4">
                  <c:v>0.90000000000000036</c:v>
                </c:pt>
              </c:numCache>
            </c:numRef>
          </c:val>
          <c:extLst>
            <c:ext xmlns:c16="http://schemas.microsoft.com/office/drawing/2014/chart" uri="{C3380CC4-5D6E-409C-BE32-E72D297353CC}">
              <c16:uniqueId val="{00000000-5C1A-48B0-B3F8-D5672AAA8F67}"/>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5"/>
              <c:pt idx="0">
                <c:v>1</c:v>
              </c:pt>
              <c:pt idx="1">
                <c:v>1</c:v>
              </c:pt>
              <c:pt idx="2">
                <c:v>1</c:v>
              </c:pt>
              <c:pt idx="3">
                <c:v>1</c:v>
              </c:pt>
              <c:pt idx="4">
                <c:v>1</c:v>
              </c:pt>
            </c:numLit>
          </c:val>
          <c:smooth val="0"/>
          <c:extLst>
            <c:ext xmlns:c16="http://schemas.microsoft.com/office/drawing/2014/chart" uri="{C3380CC4-5D6E-409C-BE32-E72D297353CC}">
              <c16:uniqueId val="{00000001-5C1A-48B0-B3F8-D5672AAA8F67}"/>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pt-BR" sz="1050" b="1"/>
              <a:t>Proporções</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tx>
            <c:v>Proporções</c:v>
          </c:tx>
          <c:spPr>
            <a:ln w="0">
              <a:noFill/>
            </a:ln>
          </c:spPr>
          <c:dPt>
            <c:idx val="0"/>
            <c:bubble3D val="0"/>
            <c:spPr>
              <a:solidFill>
                <a:srgbClr val="156082"/>
              </a:solidFill>
              <a:ln w="0">
                <a:noFill/>
              </a:ln>
              <a:effectLst/>
            </c:spPr>
            <c:extLst>
              <c:ext xmlns:c16="http://schemas.microsoft.com/office/drawing/2014/chart" uri="{C3380CC4-5D6E-409C-BE32-E72D297353CC}">
                <c16:uniqueId val="{00000001-EF66-494A-9BAB-511415BB6FC3}"/>
              </c:ext>
            </c:extLst>
          </c:dPt>
          <c:dPt>
            <c:idx val="1"/>
            <c:bubble3D val="0"/>
            <c:spPr>
              <a:solidFill>
                <a:srgbClr val="B9CFD9"/>
              </a:solidFill>
              <a:ln w="0">
                <a:noFill/>
              </a:ln>
              <a:effectLst/>
            </c:spPr>
            <c:extLst>
              <c:ext xmlns:c16="http://schemas.microsoft.com/office/drawing/2014/chart" uri="{C3380CC4-5D6E-409C-BE32-E72D297353CC}">
                <c16:uniqueId val="{00000003-EF66-494A-9BAB-511415BB6FC3}"/>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Terreno</c:v>
              </c:pt>
              <c:pt idx="1">
                <c:v>Edificações</c:v>
              </c:pt>
            </c:strLit>
          </c:cat>
          <c:val>
            <c:numRef>
              <c:f>'TERRENO E BENFEITORIAS'!$W$425:$W$426</c:f>
              <c:numCache>
                <c:formatCode>0.00%</c:formatCode>
                <c:ptCount val="2"/>
                <c:pt idx="0">
                  <c:v>0.36761006867940699</c:v>
                </c:pt>
                <c:pt idx="1">
                  <c:v>0.63238993132059307</c:v>
                </c:pt>
              </c:numCache>
            </c:numRef>
          </c:val>
          <c:extLst>
            <c:ext xmlns:c16="http://schemas.microsoft.com/office/drawing/2014/chart" uri="{C3380CC4-5D6E-409C-BE32-E72D297353CC}">
              <c16:uniqueId val="{00000004-EF66-494A-9BAB-511415BB6FC3}"/>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Chauvenet)</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2"/>
          <c:order val="1"/>
          <c:tx>
            <c:strRef>
              <c:f>'TERRENO E BENFEITORIAS'!$Y$233</c:f>
              <c:strCache>
                <c:ptCount val="1"/>
                <c:pt idx="0">
                  <c:v>Média</c:v>
                </c:pt>
              </c:strCache>
            </c:strRef>
          </c:tx>
          <c:spPr>
            <a:ln w="19050" cap="rnd">
              <a:solidFill>
                <a:schemeClr val="tx1">
                  <a:lumMod val="65000"/>
                  <a:lumOff val="35000"/>
                </a:schemeClr>
              </a:solidFill>
              <a:prstDash val="dash"/>
              <a:round/>
            </a:ln>
            <a:effectLst/>
          </c:spPr>
          <c:marker>
            <c:symbol val="none"/>
          </c:marker>
          <c:val>
            <c:numRef>
              <c:f>'TERRENO E BENFEITORIAS'!$Y$234:$Y$238</c:f>
              <c:numCache>
                <c:formatCode>#,##0.00_ ;[Red]\-#,##0.00\ </c:formatCode>
                <c:ptCount val="5"/>
                <c:pt idx="0">
                  <c:v>522.05864661654141</c:v>
                </c:pt>
                <c:pt idx="1">
                  <c:v>522.05864661654141</c:v>
                </c:pt>
                <c:pt idx="2">
                  <c:v>522.05864661654141</c:v>
                </c:pt>
                <c:pt idx="3">
                  <c:v>522.05864661654141</c:v>
                </c:pt>
                <c:pt idx="4">
                  <c:v>522.05864661654141</c:v>
                </c:pt>
              </c:numCache>
            </c:numRef>
          </c:val>
          <c:smooth val="0"/>
          <c:extLst>
            <c:ext xmlns:c16="http://schemas.microsoft.com/office/drawing/2014/chart" uri="{C3380CC4-5D6E-409C-BE32-E72D297353CC}">
              <c16:uniqueId val="{00000000-5F7B-478B-8C8D-B6B042CF33C3}"/>
            </c:ext>
          </c:extLst>
        </c:ser>
        <c:ser>
          <c:idx val="1"/>
          <c:order val="2"/>
          <c:tx>
            <c:strRef>
              <c:f>'TERRENO E BENFEITORIAS'!$W$233</c:f>
              <c:strCache>
                <c:ptCount val="1"/>
                <c:pt idx="0">
                  <c:v>Limite inferior</c:v>
                </c:pt>
              </c:strCache>
            </c:strRef>
          </c:tx>
          <c:spPr>
            <a:ln w="12700" cap="sq">
              <a:solidFill>
                <a:srgbClr val="FF0000"/>
              </a:solidFill>
              <a:round/>
            </a:ln>
            <a:effectLst/>
          </c:spPr>
          <c:marker>
            <c:symbol val="none"/>
          </c:marker>
          <c:val>
            <c:numRef>
              <c:f>'TERRENO E BENFEITORIAS'!$W$234:$W$238</c:f>
              <c:numCache>
                <c:formatCode>#,##0.00_ ;[Red]\-#,##0.00\ </c:formatCode>
                <c:ptCount val="5"/>
                <c:pt idx="0">
                  <c:v>503.22822964187139</c:v>
                </c:pt>
                <c:pt idx="1">
                  <c:v>503.22822964187139</c:v>
                </c:pt>
                <c:pt idx="2">
                  <c:v>503.22822964187139</c:v>
                </c:pt>
                <c:pt idx="3">
                  <c:v>503.22822964187139</c:v>
                </c:pt>
                <c:pt idx="4">
                  <c:v>503.22822964187139</c:v>
                </c:pt>
              </c:numCache>
            </c:numRef>
          </c:val>
          <c:smooth val="0"/>
          <c:extLst>
            <c:ext xmlns:c16="http://schemas.microsoft.com/office/drawing/2014/chart" uri="{C3380CC4-5D6E-409C-BE32-E72D297353CC}">
              <c16:uniqueId val="{00000001-5F7B-478B-8C8D-B6B042CF33C3}"/>
            </c:ext>
          </c:extLst>
        </c:ser>
        <c:ser>
          <c:idx val="3"/>
          <c:order val="3"/>
          <c:tx>
            <c:strRef>
              <c:f>'TERRENO E BENFEITORIAS'!$X$233</c:f>
              <c:strCache>
                <c:ptCount val="1"/>
                <c:pt idx="0">
                  <c:v>Limite superior</c:v>
                </c:pt>
              </c:strCache>
            </c:strRef>
          </c:tx>
          <c:spPr>
            <a:ln w="12700" cap="sq">
              <a:solidFill>
                <a:schemeClr val="tx2">
                  <a:lumMod val="50000"/>
                  <a:lumOff val="50000"/>
                </a:schemeClr>
              </a:solidFill>
              <a:prstDash val="solid"/>
              <a:round/>
            </a:ln>
            <a:effectLst/>
          </c:spPr>
          <c:marker>
            <c:symbol val="none"/>
          </c:marker>
          <c:val>
            <c:numRef>
              <c:f>'TERRENO E BENFEITORIAS'!$X$234:$X$238</c:f>
              <c:numCache>
                <c:formatCode>#,##0.00_ ;[Red]\-#,##0.00\ </c:formatCode>
                <c:ptCount val="5"/>
                <c:pt idx="0">
                  <c:v>540.88906359121142</c:v>
                </c:pt>
                <c:pt idx="1">
                  <c:v>540.88906359121142</c:v>
                </c:pt>
                <c:pt idx="2">
                  <c:v>540.88906359121142</c:v>
                </c:pt>
                <c:pt idx="3">
                  <c:v>540.88906359121142</c:v>
                </c:pt>
                <c:pt idx="4">
                  <c:v>540.88906359121142</c:v>
                </c:pt>
              </c:numCache>
            </c:numRef>
          </c:val>
          <c:smooth val="0"/>
          <c:extLst>
            <c:ext xmlns:c16="http://schemas.microsoft.com/office/drawing/2014/chart" uri="{C3380CC4-5D6E-409C-BE32-E72D297353CC}">
              <c16:uniqueId val="{00000002-5F7B-478B-8C8D-B6B042CF33C3}"/>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BENFEITORIAS'!$B$213</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BENFEITORIAS'!$B$214:$B$218</c:f>
              <c:numCache>
                <c:formatCode>#,##0.00_ ;[Red]\-#,##0.00\ </c:formatCode>
                <c:ptCount val="5"/>
                <c:pt idx="0">
                  <c:v>525</c:v>
                </c:pt>
                <c:pt idx="1">
                  <c:v>540.00000000000023</c:v>
                </c:pt>
                <c:pt idx="2">
                  <c:v>511.57894736842115</c:v>
                </c:pt>
                <c:pt idx="3">
                  <c:v>520.71428571428601</c:v>
                </c:pt>
                <c:pt idx="4">
                  <c:v>513.00000000000023</c:v>
                </c:pt>
              </c:numCache>
            </c:numRef>
          </c:yVal>
          <c:smooth val="0"/>
          <c:extLst>
            <c:ext xmlns:c16="http://schemas.microsoft.com/office/drawing/2014/chart" uri="{C3380CC4-5D6E-409C-BE32-E72D297353CC}">
              <c16:uniqueId val="{00000003-5F7B-478B-8C8D-B6B042CF33C3}"/>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(intervalo em torno da média)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3"/>
          <c:order val="0"/>
          <c:tx>
            <c:strRef>
              <c:f>'TERRENO E BENFEITORIAS'!$Y$197</c:f>
              <c:strCache>
                <c:ptCount val="1"/>
                <c:pt idx="0">
                  <c:v>Média</c:v>
                </c:pt>
              </c:strCache>
            </c:strRef>
          </c:tx>
          <c:spPr>
            <a:ln w="19050" cap="sq">
              <a:solidFill>
                <a:schemeClr val="tx1">
                  <a:lumMod val="65000"/>
                  <a:lumOff val="35000"/>
                </a:schemeClr>
              </a:solidFill>
              <a:prstDash val="dash"/>
              <a:round/>
            </a:ln>
            <a:effectLst/>
          </c:spPr>
          <c:marker>
            <c:symbol val="none"/>
          </c:marker>
          <c:val>
            <c:numRef>
              <c:f>'TERRENO E BENFEITORIAS'!$Y$198:$Y$202</c:f>
              <c:numCache>
                <c:formatCode>#,##0.00_ ;[Red]\-#,##0.00\ </c:formatCode>
                <c:ptCount val="5"/>
                <c:pt idx="0">
                  <c:v>522.05864661654141</c:v>
                </c:pt>
                <c:pt idx="1">
                  <c:v>522.05864661654141</c:v>
                </c:pt>
                <c:pt idx="2">
                  <c:v>522.05864661654141</c:v>
                </c:pt>
                <c:pt idx="3">
                  <c:v>522.05864661654141</c:v>
                </c:pt>
                <c:pt idx="4">
                  <c:v>522.05864661654141</c:v>
                </c:pt>
              </c:numCache>
            </c:numRef>
          </c:val>
          <c:smooth val="0"/>
          <c:extLst>
            <c:ext xmlns:c16="http://schemas.microsoft.com/office/drawing/2014/chart" uri="{C3380CC4-5D6E-409C-BE32-E72D297353CC}">
              <c16:uniqueId val="{00000000-A9CD-40D1-8B70-D4FF36E2233B}"/>
            </c:ext>
          </c:extLst>
        </c:ser>
        <c:ser>
          <c:idx val="2"/>
          <c:order val="2"/>
          <c:tx>
            <c:strRef>
              <c:f>'TERRENO E BENFEITORIAS'!$X$197</c:f>
              <c:strCache>
                <c:ptCount val="1"/>
                <c:pt idx="0">
                  <c:v>Limite superior</c:v>
                </c:pt>
              </c:strCache>
            </c:strRef>
          </c:tx>
          <c:spPr>
            <a:ln w="12700" cap="sq">
              <a:solidFill>
                <a:srgbClr val="0070C0"/>
              </a:solidFill>
              <a:prstDash val="solid"/>
              <a:round/>
            </a:ln>
            <a:effectLst/>
          </c:spPr>
          <c:marker>
            <c:symbol val="none"/>
          </c:marker>
          <c:val>
            <c:numRef>
              <c:f>'TERRENO E BENFEITORIAS'!$X$198:$X$202</c:f>
              <c:numCache>
                <c:formatCode>#,##0.00_ ;[Red]\-#,##0.00\ </c:formatCode>
                <c:ptCount val="5"/>
                <c:pt idx="0">
                  <c:v>678.67624060150388</c:v>
                </c:pt>
                <c:pt idx="1">
                  <c:v>678.67624060150388</c:v>
                </c:pt>
                <c:pt idx="2">
                  <c:v>678.67624060150388</c:v>
                </c:pt>
                <c:pt idx="3">
                  <c:v>678.67624060150388</c:v>
                </c:pt>
                <c:pt idx="4">
                  <c:v>678.67624060150388</c:v>
                </c:pt>
              </c:numCache>
            </c:numRef>
          </c:val>
          <c:smooth val="0"/>
          <c:extLst>
            <c:ext xmlns:c16="http://schemas.microsoft.com/office/drawing/2014/chart" uri="{C3380CC4-5D6E-409C-BE32-E72D297353CC}">
              <c16:uniqueId val="{00000001-A9CD-40D1-8B70-D4FF36E2233B}"/>
            </c:ext>
          </c:extLst>
        </c:ser>
        <c:ser>
          <c:idx val="1"/>
          <c:order val="3"/>
          <c:tx>
            <c:strRef>
              <c:f>'TERRENO E BENFEITORIAS'!$W$197</c:f>
              <c:strCache>
                <c:ptCount val="1"/>
                <c:pt idx="0">
                  <c:v>Limite inferior</c:v>
                </c:pt>
              </c:strCache>
            </c:strRef>
          </c:tx>
          <c:spPr>
            <a:ln w="12700" cap="sq">
              <a:solidFill>
                <a:srgbClr val="FF0000"/>
              </a:solidFill>
              <a:round/>
            </a:ln>
            <a:effectLst/>
          </c:spPr>
          <c:marker>
            <c:symbol val="none"/>
          </c:marker>
          <c:val>
            <c:numRef>
              <c:f>'TERRENO E BENFEITORIAS'!$W$198:$W$202</c:f>
              <c:numCache>
                <c:formatCode>#,##0.00_ ;[Red]\-#,##0.00\ </c:formatCode>
                <c:ptCount val="5"/>
                <c:pt idx="0">
                  <c:v>365.44105263157894</c:v>
                </c:pt>
                <c:pt idx="1">
                  <c:v>365.44105263157894</c:v>
                </c:pt>
                <c:pt idx="2">
                  <c:v>365.44105263157894</c:v>
                </c:pt>
                <c:pt idx="3">
                  <c:v>365.44105263157894</c:v>
                </c:pt>
                <c:pt idx="4">
                  <c:v>365.44105263157894</c:v>
                </c:pt>
              </c:numCache>
            </c:numRef>
          </c:val>
          <c:smooth val="0"/>
          <c:extLst>
            <c:ext xmlns:c16="http://schemas.microsoft.com/office/drawing/2014/chart" uri="{C3380CC4-5D6E-409C-BE32-E72D297353CC}">
              <c16:uniqueId val="{00000002-A9CD-40D1-8B70-D4FF36E2233B}"/>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1"/>
          <c:tx>
            <c:strRef>
              <c:f>'TERRENO E BENFEITORIAS'!$B$179</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BENFEITORIAS'!$B$180:$B$184</c:f>
              <c:numCache>
                <c:formatCode>#,##0.00_ ;[Red]\-#,##0.00\ </c:formatCode>
                <c:ptCount val="5"/>
                <c:pt idx="0">
                  <c:v>525</c:v>
                </c:pt>
                <c:pt idx="1">
                  <c:v>540.00000000000023</c:v>
                </c:pt>
                <c:pt idx="2">
                  <c:v>511.57894736842115</c:v>
                </c:pt>
                <c:pt idx="3">
                  <c:v>520.71428571428601</c:v>
                </c:pt>
                <c:pt idx="4">
                  <c:v>513.00000000000023</c:v>
                </c:pt>
              </c:numCache>
            </c:numRef>
          </c:yVal>
          <c:smooth val="0"/>
          <c:extLst>
            <c:ext xmlns:c16="http://schemas.microsoft.com/office/drawing/2014/chart" uri="{C3380CC4-5D6E-409C-BE32-E72D297353CC}">
              <c16:uniqueId val="{00000003-A9CD-40D1-8B70-D4FF36E2233B}"/>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Arley)</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1"/>
          <c:order val="1"/>
          <c:tx>
            <c:strRef>
              <c:f>'TERRENO E BENFEITORIAS'!$Y$273</c:f>
              <c:strCache>
                <c:ptCount val="1"/>
                <c:pt idx="0">
                  <c:v>Média</c:v>
                </c:pt>
              </c:strCache>
            </c:strRef>
          </c:tx>
          <c:spPr>
            <a:ln w="19050" cap="sq">
              <a:solidFill>
                <a:schemeClr val="tx1">
                  <a:lumMod val="75000"/>
                  <a:lumOff val="25000"/>
                </a:schemeClr>
              </a:solidFill>
              <a:prstDash val="dash"/>
              <a:round/>
            </a:ln>
            <a:effectLst/>
          </c:spPr>
          <c:marker>
            <c:symbol val="none"/>
          </c:marker>
          <c:val>
            <c:numRef>
              <c:f>'TERRENO E BENFEITORIAS'!$Y$274:$Y$278</c:f>
              <c:numCache>
                <c:formatCode>#,##0.00_ ;[Red]\-#,##0.00\ </c:formatCode>
                <c:ptCount val="5"/>
                <c:pt idx="0">
                  <c:v>522.05864661654141</c:v>
                </c:pt>
                <c:pt idx="1">
                  <c:v>522.05864661654141</c:v>
                </c:pt>
                <c:pt idx="2">
                  <c:v>522.05864661654141</c:v>
                </c:pt>
                <c:pt idx="3">
                  <c:v>522.05864661654141</c:v>
                </c:pt>
                <c:pt idx="4">
                  <c:v>522.05864661654141</c:v>
                </c:pt>
              </c:numCache>
            </c:numRef>
          </c:val>
          <c:smooth val="0"/>
          <c:extLst>
            <c:ext xmlns:c16="http://schemas.microsoft.com/office/drawing/2014/chart" uri="{C3380CC4-5D6E-409C-BE32-E72D297353CC}">
              <c16:uniqueId val="{00000000-DCC6-4AC0-BC46-E5CBCA60AFAC}"/>
            </c:ext>
          </c:extLst>
        </c:ser>
        <c:ser>
          <c:idx val="3"/>
          <c:order val="2"/>
          <c:tx>
            <c:strRef>
              <c:f>'TERRENO E BENFEITORIAS'!$W$273</c:f>
              <c:strCache>
                <c:ptCount val="1"/>
                <c:pt idx="0">
                  <c:v>Limite inferior</c:v>
                </c:pt>
              </c:strCache>
            </c:strRef>
          </c:tx>
          <c:spPr>
            <a:ln w="12700" cap="sq">
              <a:solidFill>
                <a:srgbClr val="FF0000"/>
              </a:solidFill>
              <a:round/>
            </a:ln>
            <a:effectLst/>
          </c:spPr>
          <c:marker>
            <c:symbol val="none"/>
          </c:marker>
          <c:val>
            <c:numRef>
              <c:f>'TERRENO E BENFEITORIAS'!$W$274:$W$278</c:f>
              <c:numCache>
                <c:formatCode>#,##0.00_ ;[Red]\-#,##0.00\ </c:formatCode>
                <c:ptCount val="5"/>
                <c:pt idx="0">
                  <c:v>503.61845297042635</c:v>
                </c:pt>
                <c:pt idx="1">
                  <c:v>503.61845297042635</c:v>
                </c:pt>
                <c:pt idx="2">
                  <c:v>503.61845297042635</c:v>
                </c:pt>
                <c:pt idx="3">
                  <c:v>503.61845297042635</c:v>
                </c:pt>
                <c:pt idx="4">
                  <c:v>503.61845297042635</c:v>
                </c:pt>
              </c:numCache>
            </c:numRef>
          </c:val>
          <c:smooth val="0"/>
          <c:extLst>
            <c:ext xmlns:c16="http://schemas.microsoft.com/office/drawing/2014/chart" uri="{C3380CC4-5D6E-409C-BE32-E72D297353CC}">
              <c16:uniqueId val="{00000001-DCC6-4AC0-BC46-E5CBCA60AFAC}"/>
            </c:ext>
          </c:extLst>
        </c:ser>
        <c:ser>
          <c:idx val="2"/>
          <c:order val="3"/>
          <c:tx>
            <c:strRef>
              <c:f>'TERRENO E BENFEITORIAS'!$X$273</c:f>
              <c:strCache>
                <c:ptCount val="1"/>
                <c:pt idx="0">
                  <c:v>Limite superior</c:v>
                </c:pt>
              </c:strCache>
            </c:strRef>
          </c:tx>
          <c:spPr>
            <a:ln w="12700" cap="sq">
              <a:solidFill>
                <a:schemeClr val="tx2">
                  <a:lumMod val="50000"/>
                  <a:lumOff val="50000"/>
                </a:schemeClr>
              </a:solidFill>
              <a:round/>
            </a:ln>
            <a:effectLst/>
          </c:spPr>
          <c:marker>
            <c:symbol val="none"/>
          </c:marker>
          <c:val>
            <c:numRef>
              <c:f>'TERRENO E BENFEITORIAS'!$X$274:$X$278</c:f>
              <c:numCache>
                <c:formatCode>#,##0.00_ ;[Red]\-#,##0.00\ </c:formatCode>
                <c:ptCount val="5"/>
                <c:pt idx="0">
                  <c:v>540.49884026265647</c:v>
                </c:pt>
                <c:pt idx="1">
                  <c:v>540.49884026265647</c:v>
                </c:pt>
                <c:pt idx="2">
                  <c:v>540.49884026265647</c:v>
                </c:pt>
                <c:pt idx="3">
                  <c:v>540.49884026265647</c:v>
                </c:pt>
                <c:pt idx="4">
                  <c:v>540.49884026265647</c:v>
                </c:pt>
              </c:numCache>
            </c:numRef>
          </c:val>
          <c:smooth val="0"/>
          <c:extLst>
            <c:ext xmlns:c16="http://schemas.microsoft.com/office/drawing/2014/chart" uri="{C3380CC4-5D6E-409C-BE32-E72D297353CC}">
              <c16:uniqueId val="{00000002-DCC6-4AC0-BC46-E5CBCA60AFAC}"/>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BENFEITORIAS'!$B$250</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BENFEITORIAS'!$B$251:$B$255</c:f>
              <c:numCache>
                <c:formatCode>#,##0.00_ ;[Red]\-#,##0.00\ </c:formatCode>
                <c:ptCount val="5"/>
                <c:pt idx="0">
                  <c:v>525</c:v>
                </c:pt>
                <c:pt idx="1">
                  <c:v>540.00000000000023</c:v>
                </c:pt>
                <c:pt idx="2">
                  <c:v>511.57894736842115</c:v>
                </c:pt>
                <c:pt idx="3">
                  <c:v>520.71428571428601</c:v>
                </c:pt>
                <c:pt idx="4">
                  <c:v>513.00000000000023</c:v>
                </c:pt>
              </c:numCache>
            </c:numRef>
          </c:yVal>
          <c:smooth val="0"/>
          <c:extLst>
            <c:ext xmlns:c16="http://schemas.microsoft.com/office/drawing/2014/chart" uri="{C3380CC4-5D6E-409C-BE32-E72D297353CC}">
              <c16:uniqueId val="{00000003-DCC6-4AC0-BC46-E5CBCA60AFAC}"/>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7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2.xml"/><Relationship Id="rId7" Type="http://schemas.openxmlformats.org/officeDocument/2006/relationships/image" Target="../media/image3.png"/><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image" Target="../media/image2.png"/><Relationship Id="rId11" Type="http://schemas.openxmlformats.org/officeDocument/2006/relationships/chart" Target="../charts/chart8.xml"/><Relationship Id="rId5" Type="http://schemas.openxmlformats.org/officeDocument/2006/relationships/chart" Target="../charts/chart4.xml"/><Relationship Id="rId10" Type="http://schemas.openxmlformats.org/officeDocument/2006/relationships/chart" Target="../charts/chart7.xml"/><Relationship Id="rId4" Type="http://schemas.openxmlformats.org/officeDocument/2006/relationships/chart" Target="../charts/chart3.xml"/><Relationship Id="rId9" Type="http://schemas.openxmlformats.org/officeDocument/2006/relationships/chart" Target="../charts/chart6.xml"/></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xdr:colOff>
      <xdr:row>0</xdr:row>
      <xdr:rowOff>57164</xdr:rowOff>
    </xdr:from>
    <xdr:to>
      <xdr:col>12</xdr:col>
      <xdr:colOff>161944</xdr:colOff>
      <xdr:row>0</xdr:row>
      <xdr:rowOff>1697845</xdr:rowOff>
    </xdr:to>
    <xdr:pic>
      <xdr:nvPicPr>
        <xdr:cNvPr id="6" name="Imagem 5">
          <a:extLst>
            <a:ext uri="{FF2B5EF4-FFF2-40B4-BE49-F238E27FC236}">
              <a16:creationId xmlns:a16="http://schemas.microsoft.com/office/drawing/2014/main" id="{B09D6B3D-032D-50E6-B041-206442EFAD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 y="57164"/>
          <a:ext cx="8048625" cy="1640681"/>
        </a:xfrm>
        <a:prstGeom prst="rect">
          <a:avLst/>
        </a:prstGeom>
      </xdr:spPr>
    </xdr:pic>
    <xdr:clientData/>
  </xdr:twoCellAnchor>
  <xdr:twoCellAnchor editAs="oneCell">
    <xdr:from>
      <xdr:col>2</xdr:col>
      <xdr:colOff>0</xdr:colOff>
      <xdr:row>65</xdr:row>
      <xdr:rowOff>0</xdr:rowOff>
    </xdr:from>
    <xdr:to>
      <xdr:col>10</xdr:col>
      <xdr:colOff>502200</xdr:colOff>
      <xdr:row>79</xdr:row>
      <xdr:rowOff>132900</xdr:rowOff>
    </xdr:to>
    <xdr:graphicFrame macro="">
      <xdr:nvGraphicFramePr>
        <xdr:cNvPr id="7" name="Gráfico 6">
          <a:extLst>
            <a:ext uri="{FF2B5EF4-FFF2-40B4-BE49-F238E27FC236}">
              <a16:creationId xmlns:a16="http://schemas.microsoft.com/office/drawing/2014/main" id="{5EC23D0D-8467-4FBD-A964-3AF9AE84C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81</xdr:row>
      <xdr:rowOff>0</xdr:rowOff>
    </xdr:from>
    <xdr:to>
      <xdr:col>10</xdr:col>
      <xdr:colOff>502200</xdr:colOff>
      <xdr:row>95</xdr:row>
      <xdr:rowOff>132900</xdr:rowOff>
    </xdr:to>
    <xdr:graphicFrame macro="">
      <xdr:nvGraphicFramePr>
        <xdr:cNvPr id="8" name="Gráfico 7">
          <a:extLst>
            <a:ext uri="{FF2B5EF4-FFF2-40B4-BE49-F238E27FC236}">
              <a16:creationId xmlns:a16="http://schemas.microsoft.com/office/drawing/2014/main" id="{C8FA57C0-7196-411F-811B-E7D8BC66E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0</xdr:colOff>
      <xdr:row>99</xdr:row>
      <xdr:rowOff>0</xdr:rowOff>
    </xdr:from>
    <xdr:to>
      <xdr:col>10</xdr:col>
      <xdr:colOff>502200</xdr:colOff>
      <xdr:row>113</xdr:row>
      <xdr:rowOff>132900</xdr:rowOff>
    </xdr:to>
    <xdr:graphicFrame macro="">
      <xdr:nvGraphicFramePr>
        <xdr:cNvPr id="9" name="Gráfico 8">
          <a:extLst>
            <a:ext uri="{FF2B5EF4-FFF2-40B4-BE49-F238E27FC236}">
              <a16:creationId xmlns:a16="http://schemas.microsoft.com/office/drawing/2014/main" id="{2B720C3C-457C-45C9-BDF8-455377120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117</xdr:row>
      <xdr:rowOff>0</xdr:rowOff>
    </xdr:from>
    <xdr:to>
      <xdr:col>10</xdr:col>
      <xdr:colOff>502200</xdr:colOff>
      <xdr:row>131</xdr:row>
      <xdr:rowOff>132900</xdr:rowOff>
    </xdr:to>
    <xdr:graphicFrame macro="">
      <xdr:nvGraphicFramePr>
        <xdr:cNvPr id="11" name="Gráfico 10">
          <a:extLst>
            <a:ext uri="{FF2B5EF4-FFF2-40B4-BE49-F238E27FC236}">
              <a16:creationId xmlns:a16="http://schemas.microsoft.com/office/drawing/2014/main" id="{3A04113D-0F3B-41D3-8D8B-0C2C99993A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4</xdr:colOff>
      <xdr:row>383</xdr:row>
      <xdr:rowOff>7</xdr:rowOff>
    </xdr:from>
    <xdr:to>
      <xdr:col>6</xdr:col>
      <xdr:colOff>502451</xdr:colOff>
      <xdr:row>393</xdr:row>
      <xdr:rowOff>650</xdr:rowOff>
    </xdr:to>
    <xdr:pic>
      <xdr:nvPicPr>
        <xdr:cNvPr id="13" name="Imagem 12"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3B63FF5B-3FA9-464E-919C-0CEBA30960C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bwMode="auto">
        <a:xfrm>
          <a:off x="657229" y="103270057"/>
          <a:ext cx="3788572" cy="2477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xdr:colOff>
      <xdr:row>396</xdr:row>
      <xdr:rowOff>7</xdr:rowOff>
    </xdr:from>
    <xdr:to>
      <xdr:col>2</xdr:col>
      <xdr:colOff>55163</xdr:colOff>
      <xdr:row>397</xdr:row>
      <xdr:rowOff>59976</xdr:rowOff>
    </xdr:to>
    <xdr:pic>
      <xdr:nvPicPr>
        <xdr:cNvPr id="14" name="Imagem 13" descr="  k_d = -d \\ f_d = 1 + k_d ">
          <a:extLst>
            <a:ext uri="{FF2B5EF4-FFF2-40B4-BE49-F238E27FC236}">
              <a16:creationId xmlns:a16="http://schemas.microsoft.com/office/drawing/2014/main" id="{50A8F626-6116-40B2-9E60-23DBB869F9E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657232" y="106489507"/>
          <a:ext cx="712381" cy="307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430</xdr:row>
      <xdr:rowOff>0</xdr:rowOff>
    </xdr:from>
    <xdr:to>
      <xdr:col>9</xdr:col>
      <xdr:colOff>87320</xdr:colOff>
      <xdr:row>440</xdr:row>
      <xdr:rowOff>208846</xdr:rowOff>
    </xdr:to>
    <xdr:graphicFrame macro="">
      <xdr:nvGraphicFramePr>
        <xdr:cNvPr id="15" name="Gráfico 14">
          <a:extLst>
            <a:ext uri="{FF2B5EF4-FFF2-40B4-BE49-F238E27FC236}">
              <a16:creationId xmlns:a16="http://schemas.microsoft.com/office/drawing/2014/main" id="{BEEFC317-4DAB-4EEA-B45A-56F4C850418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xdr:col>
      <xdr:colOff>0</xdr:colOff>
      <xdr:row>229</xdr:row>
      <xdr:rowOff>247649</xdr:rowOff>
    </xdr:from>
    <xdr:to>
      <xdr:col>10</xdr:col>
      <xdr:colOff>502200</xdr:colOff>
      <xdr:row>244</xdr:row>
      <xdr:rowOff>132899</xdr:rowOff>
    </xdr:to>
    <xdr:graphicFrame macro="">
      <xdr:nvGraphicFramePr>
        <xdr:cNvPr id="5" name="Gráfico 4">
          <a:extLst>
            <a:ext uri="{FF2B5EF4-FFF2-40B4-BE49-F238E27FC236}">
              <a16:creationId xmlns:a16="http://schemas.microsoft.com/office/drawing/2014/main" id="{5B91A965-AE1A-4625-8EE8-BFCBD2B10A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2</xdr:col>
      <xdr:colOff>0</xdr:colOff>
      <xdr:row>193</xdr:row>
      <xdr:rowOff>0</xdr:rowOff>
    </xdr:from>
    <xdr:to>
      <xdr:col>10</xdr:col>
      <xdr:colOff>502200</xdr:colOff>
      <xdr:row>207</xdr:row>
      <xdr:rowOff>132900</xdr:rowOff>
    </xdr:to>
    <xdr:graphicFrame macro="">
      <xdr:nvGraphicFramePr>
        <xdr:cNvPr id="12" name="Gráfico 11">
          <a:extLst>
            <a:ext uri="{FF2B5EF4-FFF2-40B4-BE49-F238E27FC236}">
              <a16:creationId xmlns:a16="http://schemas.microsoft.com/office/drawing/2014/main" id="{95F830A9-4C73-4560-8863-BD6A3ED2D8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2</xdr:col>
      <xdr:colOff>0</xdr:colOff>
      <xdr:row>268</xdr:row>
      <xdr:rowOff>247649</xdr:rowOff>
    </xdr:from>
    <xdr:to>
      <xdr:col>10</xdr:col>
      <xdr:colOff>502200</xdr:colOff>
      <xdr:row>283</xdr:row>
      <xdr:rowOff>132899</xdr:rowOff>
    </xdr:to>
    <xdr:graphicFrame macro="">
      <xdr:nvGraphicFramePr>
        <xdr:cNvPr id="16" name="Gráfico 15">
          <a:extLst>
            <a:ext uri="{FF2B5EF4-FFF2-40B4-BE49-F238E27FC236}">
              <a16:creationId xmlns:a16="http://schemas.microsoft.com/office/drawing/2014/main" id="{576DD053-B18C-43C6-B89C-847762F502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175</xdr:row>
      <xdr:rowOff>0</xdr:rowOff>
    </xdr:from>
    <xdr:to>
      <xdr:col>6</xdr:col>
      <xdr:colOff>409018</xdr:colOff>
      <xdr:row>186</xdr:row>
      <xdr:rowOff>190136</xdr:rowOff>
    </xdr:to>
    <xdr:pic>
      <xdr:nvPicPr>
        <xdr:cNvPr id="2" name="Imagem 1"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8AFFF2C6-B96B-408E-B432-021CDB32A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09625" y="43338750"/>
          <a:ext cx="4457143" cy="2914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xdr:colOff>
      <xdr:row>248</xdr:row>
      <xdr:rowOff>4</xdr:rowOff>
    </xdr:from>
    <xdr:to>
      <xdr:col>8</xdr:col>
      <xdr:colOff>227867</xdr:colOff>
      <xdr:row>254</xdr:row>
      <xdr:rowOff>9342</xdr:rowOff>
    </xdr:to>
    <xdr:pic>
      <xdr:nvPicPr>
        <xdr:cNvPr id="3" name="Imagem 2" descr="     k_d = \dfrac{-d}{100} \\  \vspace{0.5cm} \\  \begin{tabular}{llll} \\  Na equação acima: &amp;  &amp; &amp; \\  &amp; d  &amp; = &amp; valor bruto resultado da equação inicial; \\  &amp; k_d  &amp; = &amp; coeficiente de depreciação (percentual negativo);  \end{tabular}  ">
          <a:extLst>
            <a:ext uri="{FF2B5EF4-FFF2-40B4-BE49-F238E27FC236}">
              <a16:creationId xmlns:a16="http://schemas.microsoft.com/office/drawing/2014/main" id="{1ECD457D-B8D7-420B-AD7A-8A4D34309C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09629" y="61417204"/>
          <a:ext cx="5895238" cy="1495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xdr:colOff>
      <xdr:row>314</xdr:row>
      <xdr:rowOff>3</xdr:rowOff>
    </xdr:from>
    <xdr:to>
      <xdr:col>6</xdr:col>
      <xdr:colOff>580553</xdr:colOff>
      <xdr:row>318</xdr:row>
      <xdr:rowOff>180832</xdr:rowOff>
    </xdr:to>
    <xdr:pic>
      <xdr:nvPicPr>
        <xdr:cNvPr id="4" name="Imagem 3" descr="  f_d = 1 + k_d \\  \vspace{0.5cm} \\  \begin{tabular}{llll} \\  Na equação acima: &amp; &amp; &amp;  \\  &amp; f_d &amp; = &amp; fator de depreciação. \\  \end{tabular}  ">
          <a:extLst>
            <a:ext uri="{FF2B5EF4-FFF2-40B4-BE49-F238E27FC236}">
              <a16:creationId xmlns:a16="http://schemas.microsoft.com/office/drawing/2014/main" id="{A6DD36C2-3696-40EF-B445-7501E088F5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1619255" y="77762103"/>
          <a:ext cx="3819048" cy="117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E2F8-CBDA-4065-B2E0-488D4A9CC820}">
  <sheetPr>
    <pageSetUpPr fitToPage="1"/>
  </sheetPr>
  <dimension ref="A1:BN480"/>
  <sheetViews>
    <sheetView tabSelected="1" zoomScaleNormal="100" workbookViewId="0">
      <selection activeCell="M11" sqref="M11:O12"/>
    </sheetView>
  </sheetViews>
  <sheetFormatPr defaultColWidth="20.625" defaultRowHeight="20.100000000000001" customHeight="1" x14ac:dyDescent="0.25"/>
  <cols>
    <col min="1" max="18" width="8.625" style="23" customWidth="1"/>
    <col min="19" max="21" width="25.625" style="23" customWidth="1"/>
    <col min="22" max="16384" width="20.625" style="66"/>
  </cols>
  <sheetData>
    <row r="1" spans="1:18" ht="140.1" customHeight="1" x14ac:dyDescent="0.25">
      <c r="A1" s="83"/>
      <c r="B1" s="83"/>
      <c r="C1" s="83"/>
      <c r="D1" s="83"/>
      <c r="E1" s="83"/>
      <c r="F1" s="83"/>
      <c r="G1" s="83"/>
      <c r="H1" s="83"/>
      <c r="I1" s="83"/>
      <c r="J1" s="83"/>
      <c r="K1" s="83"/>
      <c r="L1" s="83"/>
      <c r="M1" s="83"/>
      <c r="N1" s="83"/>
      <c r="O1" s="83"/>
      <c r="P1" s="83"/>
      <c r="Q1" s="83"/>
      <c r="R1" s="83"/>
    </row>
    <row r="2" spans="1:18" ht="5.0999999999999996" customHeight="1" x14ac:dyDescent="0.25"/>
    <row r="3" spans="1:18" ht="5.0999999999999996" customHeight="1" x14ac:dyDescent="0.25">
      <c r="A3" s="83"/>
      <c r="B3" s="83"/>
      <c r="C3" s="83"/>
      <c r="D3" s="83"/>
      <c r="E3" s="83"/>
      <c r="F3" s="83"/>
      <c r="G3" s="83"/>
      <c r="H3" s="83"/>
      <c r="I3" s="83"/>
      <c r="J3" s="83"/>
      <c r="K3" s="83"/>
      <c r="L3" s="83"/>
      <c r="M3" s="83"/>
      <c r="N3" s="83"/>
      <c r="O3" s="83"/>
      <c r="P3" s="83"/>
      <c r="Q3" s="83"/>
      <c r="R3" s="83"/>
    </row>
    <row r="5" spans="1:18" ht="20.100000000000001" customHeight="1" x14ac:dyDescent="0.25">
      <c r="A5" s="210" t="s">
        <v>258</v>
      </c>
      <c r="B5" s="210"/>
      <c r="C5" s="210"/>
      <c r="D5" s="210"/>
      <c r="E5" s="210"/>
      <c r="F5" s="210"/>
      <c r="G5" s="210"/>
      <c r="H5" s="210"/>
      <c r="I5" s="210"/>
      <c r="J5" s="210"/>
      <c r="K5" s="210"/>
      <c r="L5" s="210"/>
      <c r="M5" s="210"/>
      <c r="N5" s="210"/>
      <c r="O5" s="210"/>
      <c r="P5" s="210"/>
      <c r="Q5" s="210"/>
      <c r="R5" s="210"/>
    </row>
    <row r="7" spans="1:18" ht="20.100000000000001" customHeight="1" x14ac:dyDescent="0.25">
      <c r="A7" s="210" t="s">
        <v>245</v>
      </c>
      <c r="B7" s="210"/>
      <c r="C7" s="210"/>
      <c r="D7" s="210"/>
      <c r="E7" s="210"/>
      <c r="F7" s="210"/>
      <c r="G7" s="210"/>
      <c r="H7" s="210"/>
      <c r="I7" s="210"/>
      <c r="J7" s="210"/>
      <c r="K7" s="210"/>
      <c r="L7" s="210"/>
      <c r="M7" s="210"/>
      <c r="N7" s="210"/>
      <c r="O7" s="210"/>
      <c r="P7" s="210"/>
      <c r="Q7" s="210"/>
      <c r="R7" s="210"/>
    </row>
    <row r="9" spans="1:18" ht="20.100000000000001" customHeight="1" x14ac:dyDescent="0.25">
      <c r="A9" s="110" t="s">
        <v>263</v>
      </c>
      <c r="B9" s="110"/>
      <c r="C9" s="110"/>
      <c r="D9" s="110"/>
      <c r="E9" s="110"/>
      <c r="F9" s="110"/>
      <c r="G9" s="110"/>
      <c r="H9" s="110"/>
      <c r="I9" s="110"/>
      <c r="J9" s="110"/>
      <c r="K9" s="110"/>
      <c r="L9" s="110"/>
      <c r="M9" s="110"/>
      <c r="N9" s="110"/>
      <c r="O9" s="110"/>
      <c r="P9" s="110"/>
      <c r="Q9" s="110"/>
      <c r="R9" s="110"/>
    </row>
    <row r="10" spans="1:18" ht="20.100000000000001" customHeight="1" x14ac:dyDescent="0.25">
      <c r="A10" s="147" t="s">
        <v>17</v>
      </c>
      <c r="B10" s="147"/>
      <c r="C10" s="147" t="s">
        <v>87</v>
      </c>
      <c r="D10" s="147"/>
      <c r="E10" s="147"/>
      <c r="F10" s="147"/>
      <c r="G10" s="147"/>
      <c r="H10" s="147"/>
      <c r="I10" s="147"/>
      <c r="J10" s="147" t="s">
        <v>88</v>
      </c>
      <c r="K10" s="147"/>
      <c r="L10" s="147"/>
      <c r="M10" s="147"/>
      <c r="N10" s="147"/>
      <c r="O10" s="147"/>
      <c r="P10" s="147"/>
      <c r="Q10" s="147"/>
      <c r="R10" s="147"/>
    </row>
    <row r="11" spans="1:18" ht="20.100000000000001" customHeight="1" x14ac:dyDescent="0.25">
      <c r="A11" s="162">
        <v>2</v>
      </c>
      <c r="B11" s="162"/>
      <c r="C11" s="162" t="s">
        <v>262</v>
      </c>
      <c r="D11" s="162"/>
      <c r="E11" s="162"/>
      <c r="F11" s="162"/>
      <c r="G11" s="162"/>
      <c r="H11" s="162"/>
      <c r="I11" s="162"/>
      <c r="J11" s="162" t="s">
        <v>91</v>
      </c>
      <c r="K11" s="162"/>
      <c r="L11" s="162"/>
      <c r="M11" s="299" t="s">
        <v>92</v>
      </c>
      <c r="N11" s="299"/>
      <c r="O11" s="299"/>
      <c r="P11" s="162" t="s">
        <v>82</v>
      </c>
      <c r="Q11" s="162"/>
      <c r="R11" s="162"/>
    </row>
    <row r="12" spans="1:18" ht="20.100000000000001" customHeight="1" x14ac:dyDescent="0.25">
      <c r="A12" s="162"/>
      <c r="B12" s="162"/>
      <c r="C12" s="162"/>
      <c r="D12" s="162"/>
      <c r="E12" s="162"/>
      <c r="F12" s="162"/>
      <c r="G12" s="162"/>
      <c r="H12" s="162"/>
      <c r="I12" s="162"/>
      <c r="J12" s="162">
        <v>12</v>
      </c>
      <c r="K12" s="162"/>
      <c r="L12" s="162"/>
      <c r="M12" s="299">
        <v>5</v>
      </c>
      <c r="N12" s="299"/>
      <c r="O12" s="299"/>
      <c r="P12" s="162">
        <v>3</v>
      </c>
      <c r="Q12" s="162"/>
      <c r="R12" s="162"/>
    </row>
    <row r="14" spans="1:18" ht="20.100000000000001" customHeight="1" x14ac:dyDescent="0.25">
      <c r="A14" s="114" t="s">
        <v>17</v>
      </c>
      <c r="B14" s="163" t="s">
        <v>514</v>
      </c>
      <c r="C14" s="163"/>
      <c r="D14" s="163"/>
      <c r="E14" s="163"/>
      <c r="F14" s="163"/>
      <c r="G14" s="163" t="s">
        <v>515</v>
      </c>
      <c r="H14" s="163"/>
      <c r="I14" s="163"/>
      <c r="J14" s="163"/>
      <c r="K14" s="163"/>
      <c r="L14" s="163"/>
      <c r="M14" s="163" t="s">
        <v>516</v>
      </c>
      <c r="N14" s="163"/>
      <c r="O14" s="163"/>
      <c r="P14" s="163" t="s">
        <v>517</v>
      </c>
      <c r="Q14" s="163"/>
      <c r="R14" s="163"/>
    </row>
    <row r="15" spans="1:18" ht="20.100000000000001" customHeight="1" x14ac:dyDescent="0.25">
      <c r="A15" s="115">
        <v>1</v>
      </c>
      <c r="B15" s="118" t="s">
        <v>518</v>
      </c>
      <c r="C15" s="118"/>
      <c r="D15" s="118"/>
      <c r="E15" s="118"/>
      <c r="F15" s="118"/>
      <c r="G15" s="118"/>
      <c r="H15" s="118"/>
      <c r="I15" s="118"/>
      <c r="J15" s="118"/>
      <c r="K15" s="118"/>
      <c r="L15" s="118"/>
      <c r="M15" s="118"/>
      <c r="N15" s="118"/>
      <c r="O15" s="118"/>
      <c r="P15" s="118"/>
      <c r="Q15" s="118"/>
      <c r="R15" s="118"/>
    </row>
    <row r="16" spans="1:18" ht="20.100000000000001" customHeight="1" x14ac:dyDescent="0.25">
      <c r="A16" s="115">
        <v>2</v>
      </c>
      <c r="B16" s="118" t="s">
        <v>518</v>
      </c>
      <c r="C16" s="118"/>
      <c r="D16" s="118"/>
      <c r="E16" s="118"/>
      <c r="F16" s="118"/>
      <c r="G16" s="118"/>
      <c r="H16" s="118"/>
      <c r="I16" s="118"/>
      <c r="J16" s="118"/>
      <c r="K16" s="118"/>
      <c r="L16" s="118"/>
      <c r="M16" s="118"/>
      <c r="N16" s="118"/>
      <c r="O16" s="118"/>
      <c r="P16" s="118"/>
      <c r="Q16" s="118"/>
      <c r="R16" s="118"/>
    </row>
    <row r="17" spans="1:21" ht="20.100000000000001" customHeight="1" x14ac:dyDescent="0.25">
      <c r="A17" s="115">
        <v>3</v>
      </c>
      <c r="B17" s="118" t="s">
        <v>518</v>
      </c>
      <c r="C17" s="118"/>
      <c r="D17" s="118"/>
      <c r="E17" s="118"/>
      <c r="F17" s="118"/>
      <c r="G17" s="118"/>
      <c r="H17" s="118"/>
      <c r="I17" s="118"/>
      <c r="J17" s="118"/>
      <c r="K17" s="118"/>
      <c r="L17" s="118"/>
      <c r="M17" s="118"/>
      <c r="N17" s="118"/>
      <c r="O17" s="118"/>
      <c r="P17" s="118"/>
      <c r="Q17" s="118"/>
      <c r="R17" s="118"/>
    </row>
    <row r="18" spans="1:21" ht="20.100000000000001" customHeight="1" x14ac:dyDescent="0.25">
      <c r="A18" s="115">
        <v>4</v>
      </c>
      <c r="B18" s="118" t="s">
        <v>518</v>
      </c>
      <c r="C18" s="118"/>
      <c r="D18" s="118"/>
      <c r="E18" s="118"/>
      <c r="F18" s="118"/>
      <c r="G18" s="118"/>
      <c r="H18" s="118"/>
      <c r="I18" s="118"/>
      <c r="J18" s="118"/>
      <c r="K18" s="118"/>
      <c r="L18" s="118"/>
      <c r="M18" s="118"/>
      <c r="N18" s="118"/>
      <c r="O18" s="118"/>
      <c r="P18" s="118"/>
      <c r="Q18" s="118"/>
      <c r="R18" s="118"/>
    </row>
    <row r="19" spans="1:21" ht="20.100000000000001" customHeight="1" thickBot="1" x14ac:dyDescent="0.3">
      <c r="A19" s="116">
        <v>5</v>
      </c>
      <c r="B19" s="117" t="s">
        <v>518</v>
      </c>
      <c r="C19" s="117"/>
      <c r="D19" s="117"/>
      <c r="E19" s="117"/>
      <c r="F19" s="117"/>
      <c r="G19" s="117"/>
      <c r="H19" s="117"/>
      <c r="I19" s="117"/>
      <c r="J19" s="117"/>
      <c r="K19" s="117"/>
      <c r="L19" s="117"/>
      <c r="M19" s="117"/>
      <c r="N19" s="117"/>
      <c r="O19" s="117"/>
      <c r="P19" s="117"/>
      <c r="Q19" s="117"/>
      <c r="R19" s="117"/>
    </row>
    <row r="22" spans="1:21" ht="20.100000000000001" customHeight="1" x14ac:dyDescent="0.25">
      <c r="A22" s="210" t="s">
        <v>20</v>
      </c>
      <c r="B22" s="210"/>
      <c r="C22" s="210"/>
      <c r="D22" s="210"/>
      <c r="E22" s="210"/>
      <c r="F22" s="210"/>
      <c r="G22" s="210"/>
      <c r="H22" s="210"/>
      <c r="I22" s="210"/>
      <c r="J22" s="210"/>
      <c r="K22" s="210"/>
      <c r="L22" s="210"/>
      <c r="M22" s="210"/>
      <c r="N22" s="210"/>
      <c r="O22" s="210"/>
      <c r="P22" s="210"/>
      <c r="Q22" s="210"/>
      <c r="R22" s="210"/>
    </row>
    <row r="24" spans="1:21" ht="39.950000000000003" customHeight="1" thickBot="1" x14ac:dyDescent="0.3">
      <c r="A24" s="84" t="s">
        <v>17</v>
      </c>
      <c r="B24" s="107" t="s">
        <v>469</v>
      </c>
      <c r="C24" s="107"/>
      <c r="D24" s="107"/>
      <c r="E24" s="107" t="s">
        <v>18</v>
      </c>
      <c r="F24" s="107"/>
      <c r="G24" s="107"/>
      <c r="H24" s="107" t="s">
        <v>19</v>
      </c>
      <c r="I24" s="107"/>
      <c r="J24" s="107"/>
      <c r="K24" s="107" t="s">
        <v>243</v>
      </c>
      <c r="L24" s="107"/>
      <c r="M24" s="107"/>
      <c r="N24" s="107" t="s">
        <v>21</v>
      </c>
      <c r="O24" s="107"/>
      <c r="P24" s="107" t="s">
        <v>22</v>
      </c>
      <c r="Q24" s="107"/>
      <c r="R24" s="107"/>
      <c r="T24" s="158" t="s">
        <v>14</v>
      </c>
      <c r="U24" s="158"/>
    </row>
    <row r="25" spans="1:21" ht="20.100000000000001" customHeight="1" x14ac:dyDescent="0.25">
      <c r="A25" s="85">
        <v>1</v>
      </c>
      <c r="B25" s="134">
        <v>210000</v>
      </c>
      <c r="C25" s="134"/>
      <c r="D25" s="134"/>
      <c r="E25" s="149">
        <v>360</v>
      </c>
      <c r="F25" s="149"/>
      <c r="G25" s="149"/>
      <c r="H25" s="134">
        <f>B25/E25</f>
        <v>583.33333333333337</v>
      </c>
      <c r="I25" s="134"/>
      <c r="J25" s="134"/>
      <c r="K25" s="151" t="s">
        <v>482</v>
      </c>
      <c r="L25" s="151"/>
      <c r="M25" s="151"/>
      <c r="N25" s="132">
        <f>VLOOKUP(K25,$T$26:$U$27,2,0)</f>
        <v>0.9</v>
      </c>
      <c r="O25" s="132"/>
      <c r="P25" s="134">
        <f>H25*N25</f>
        <v>525</v>
      </c>
      <c r="Q25" s="134"/>
      <c r="R25" s="134"/>
      <c r="T25" s="88" t="s">
        <v>483</v>
      </c>
      <c r="U25" s="88" t="s">
        <v>15</v>
      </c>
    </row>
    <row r="26" spans="1:21" ht="20.100000000000001" customHeight="1" x14ac:dyDescent="0.25">
      <c r="A26" s="89">
        <v>2</v>
      </c>
      <c r="B26" s="134">
        <v>200000</v>
      </c>
      <c r="C26" s="134"/>
      <c r="D26" s="134"/>
      <c r="E26" s="149">
        <v>300</v>
      </c>
      <c r="F26" s="149"/>
      <c r="G26" s="149"/>
      <c r="H26" s="134">
        <f t="shared" ref="H26:H27" si="0">B26/E26</f>
        <v>666.66666666666663</v>
      </c>
      <c r="I26" s="134"/>
      <c r="J26" s="134"/>
      <c r="K26" s="151" t="s">
        <v>482</v>
      </c>
      <c r="L26" s="151"/>
      <c r="M26" s="151"/>
      <c r="N26" s="132">
        <f>VLOOKUP(K26,$T$26:$U$27,2,0)</f>
        <v>0.9</v>
      </c>
      <c r="O26" s="132"/>
      <c r="P26" s="134">
        <f t="shared" ref="P26:P27" si="1">H26*N26</f>
        <v>600</v>
      </c>
      <c r="Q26" s="134"/>
      <c r="R26" s="134"/>
      <c r="T26" s="25" t="s">
        <v>482</v>
      </c>
      <c r="U26" s="91">
        <v>0.9</v>
      </c>
    </row>
    <row r="27" spans="1:21" ht="20.100000000000001" customHeight="1" x14ac:dyDescent="0.25">
      <c r="A27" s="92">
        <v>3</v>
      </c>
      <c r="B27" s="134">
        <v>180000</v>
      </c>
      <c r="C27" s="134"/>
      <c r="D27" s="134"/>
      <c r="E27" s="149">
        <v>300</v>
      </c>
      <c r="F27" s="149"/>
      <c r="G27" s="149"/>
      <c r="H27" s="134">
        <f t="shared" si="0"/>
        <v>600</v>
      </c>
      <c r="I27" s="134"/>
      <c r="J27" s="134"/>
      <c r="K27" s="151" t="s">
        <v>482</v>
      </c>
      <c r="L27" s="151"/>
      <c r="M27" s="151"/>
      <c r="N27" s="132">
        <f>VLOOKUP(K27,$T$26:$U$27,2,0)</f>
        <v>0.9</v>
      </c>
      <c r="O27" s="132"/>
      <c r="P27" s="134">
        <f t="shared" si="1"/>
        <v>540</v>
      </c>
      <c r="Q27" s="134"/>
      <c r="R27" s="134"/>
      <c r="T27" s="25" t="s">
        <v>16</v>
      </c>
      <c r="U27" s="91">
        <v>1</v>
      </c>
    </row>
    <row r="28" spans="1:21" ht="20.100000000000001" customHeight="1" x14ac:dyDescent="0.25">
      <c r="A28" s="89">
        <v>4</v>
      </c>
      <c r="B28" s="134">
        <v>180000</v>
      </c>
      <c r="C28" s="134"/>
      <c r="D28" s="134"/>
      <c r="E28" s="149">
        <v>280</v>
      </c>
      <c r="F28" s="149"/>
      <c r="G28" s="149"/>
      <c r="H28" s="134">
        <f>B28/E28</f>
        <v>642.85714285714289</v>
      </c>
      <c r="I28" s="134"/>
      <c r="J28" s="134"/>
      <c r="K28" s="151" t="s">
        <v>482</v>
      </c>
      <c r="L28" s="151"/>
      <c r="M28" s="151"/>
      <c r="N28" s="132">
        <f>VLOOKUP(K28,$T$26:$U$27,2,0)</f>
        <v>0.9</v>
      </c>
      <c r="O28" s="132"/>
      <c r="P28" s="134">
        <f>H28*N28</f>
        <v>578.57142857142867</v>
      </c>
      <c r="Q28" s="134"/>
      <c r="R28" s="134"/>
    </row>
    <row r="29" spans="1:21" ht="20.100000000000001" customHeight="1" thickBot="1" x14ac:dyDescent="0.3">
      <c r="A29" s="93">
        <v>5</v>
      </c>
      <c r="B29" s="135">
        <v>190000</v>
      </c>
      <c r="C29" s="135"/>
      <c r="D29" s="135"/>
      <c r="E29" s="150">
        <v>300</v>
      </c>
      <c r="F29" s="150"/>
      <c r="G29" s="150"/>
      <c r="H29" s="135">
        <f>B29/E29</f>
        <v>633.33333333333337</v>
      </c>
      <c r="I29" s="135"/>
      <c r="J29" s="135"/>
      <c r="K29" s="152" t="s">
        <v>482</v>
      </c>
      <c r="L29" s="152"/>
      <c r="M29" s="152"/>
      <c r="N29" s="133">
        <f>VLOOKUP(K29,$T$26:$U$27,2,0)</f>
        <v>0.9</v>
      </c>
      <c r="O29" s="133"/>
      <c r="P29" s="135">
        <f>H29*N29</f>
        <v>570</v>
      </c>
      <c r="Q29" s="135"/>
      <c r="R29" s="135"/>
    </row>
    <row r="31" spans="1:21" ht="20.100000000000001" customHeight="1" x14ac:dyDescent="0.25">
      <c r="L31" s="120" t="s">
        <v>36</v>
      </c>
      <c r="M31" s="120"/>
      <c r="N31" s="120"/>
      <c r="O31" s="120"/>
      <c r="P31" s="143">
        <f>AVERAGE(P25:R29)</f>
        <v>562.71428571428567</v>
      </c>
      <c r="Q31" s="143"/>
      <c r="R31" s="143"/>
    </row>
    <row r="32" spans="1:21" ht="20.100000000000001" customHeight="1" x14ac:dyDescent="0.25">
      <c r="L32" s="138" t="s">
        <v>37</v>
      </c>
      <c r="M32" s="138"/>
      <c r="N32" s="138"/>
      <c r="O32" s="138"/>
      <c r="P32" s="143">
        <f>STDEVA(P25:R29)</f>
        <v>30.137440271570007</v>
      </c>
      <c r="Q32" s="143"/>
      <c r="R32" s="143"/>
    </row>
    <row r="33" spans="1:18" ht="20.100000000000001" customHeight="1" x14ac:dyDescent="0.25">
      <c r="L33" s="130" t="s">
        <v>35</v>
      </c>
      <c r="M33" s="130"/>
      <c r="N33" s="130"/>
      <c r="O33" s="130"/>
      <c r="P33" s="145">
        <f>P32/P31</f>
        <v>5.3557268824826115E-2</v>
      </c>
      <c r="Q33" s="145"/>
      <c r="R33" s="145"/>
    </row>
    <row r="36" spans="1:18" ht="20.100000000000001" customHeight="1" x14ac:dyDescent="0.25">
      <c r="A36" s="111" t="s">
        <v>29</v>
      </c>
      <c r="B36" s="111"/>
      <c r="C36" s="111"/>
      <c r="D36" s="111"/>
      <c r="E36" s="111"/>
      <c r="F36" s="111"/>
      <c r="G36" s="111"/>
      <c r="H36" s="111"/>
      <c r="I36" s="111"/>
      <c r="J36" s="111"/>
      <c r="K36" s="111"/>
      <c r="L36" s="111"/>
      <c r="M36" s="111"/>
      <c r="N36" s="111"/>
      <c r="O36" s="111"/>
      <c r="P36" s="111"/>
      <c r="Q36" s="111"/>
      <c r="R36" s="111"/>
    </row>
    <row r="38" spans="1:18" ht="80.099999999999994" customHeight="1" x14ac:dyDescent="0.25">
      <c r="A38" s="123" t="s">
        <v>85</v>
      </c>
      <c r="B38" s="123"/>
      <c r="C38" s="123"/>
      <c r="D38" s="123"/>
      <c r="E38" s="123"/>
      <c r="F38" s="123"/>
      <c r="G38" s="123"/>
      <c r="H38" s="123"/>
      <c r="I38" s="123"/>
      <c r="J38" s="123"/>
      <c r="K38" s="123"/>
      <c r="L38" s="123"/>
      <c r="M38" s="123"/>
      <c r="N38" s="123"/>
      <c r="O38" s="123"/>
      <c r="P38" s="123"/>
      <c r="Q38" s="123"/>
      <c r="R38" s="123"/>
    </row>
    <row r="40" spans="1:18" ht="20.100000000000001" customHeight="1" x14ac:dyDescent="0.25">
      <c r="A40" s="153" t="s">
        <v>23</v>
      </c>
      <c r="B40" s="153"/>
      <c r="C40" s="153"/>
      <c r="D40" s="153"/>
      <c r="E40" s="153"/>
      <c r="F40" s="153"/>
      <c r="G40" s="153"/>
      <c r="H40" s="153" t="s">
        <v>86</v>
      </c>
      <c r="I40" s="153"/>
      <c r="J40" s="160" t="s">
        <v>480</v>
      </c>
      <c r="K40" s="160"/>
      <c r="L40" s="160"/>
      <c r="M40" s="160"/>
      <c r="N40" s="160"/>
      <c r="O40" s="161" t="s">
        <v>481</v>
      </c>
      <c r="P40" s="161"/>
      <c r="Q40" s="161"/>
      <c r="R40" s="161"/>
    </row>
    <row r="41" spans="1:18" ht="20.100000000000001" customHeight="1" x14ac:dyDescent="0.25">
      <c r="A41" s="130" t="s">
        <v>24</v>
      </c>
      <c r="B41" s="130"/>
      <c r="C41" s="130"/>
      <c r="D41" s="130"/>
      <c r="E41" s="130"/>
      <c r="F41" s="130"/>
      <c r="G41" s="130"/>
      <c r="H41" s="174" t="s">
        <v>484</v>
      </c>
      <c r="I41" s="174"/>
      <c r="J41" s="141" t="s">
        <v>475</v>
      </c>
      <c r="K41" s="141"/>
      <c r="L41" s="141"/>
      <c r="M41" s="141"/>
      <c r="N41" s="141"/>
      <c r="O41" s="142">
        <v>1</v>
      </c>
      <c r="P41" s="142"/>
      <c r="Q41" s="142"/>
      <c r="R41" s="142"/>
    </row>
    <row r="42" spans="1:18" ht="20.100000000000001" customHeight="1" x14ac:dyDescent="0.25">
      <c r="A42" s="130" t="s">
        <v>27</v>
      </c>
      <c r="B42" s="130"/>
      <c r="C42" s="130"/>
      <c r="D42" s="130"/>
      <c r="E42" s="130"/>
      <c r="F42" s="130"/>
      <c r="G42" s="130"/>
      <c r="H42" s="175" t="s">
        <v>485</v>
      </c>
      <c r="I42" s="175"/>
      <c r="J42" s="141" t="s">
        <v>476</v>
      </c>
      <c r="K42" s="141"/>
      <c r="L42" s="141"/>
      <c r="M42" s="141"/>
      <c r="N42" s="141"/>
      <c r="O42" s="142">
        <v>1</v>
      </c>
      <c r="P42" s="142"/>
      <c r="Q42" s="142"/>
      <c r="R42" s="142"/>
    </row>
    <row r="43" spans="1:18" ht="20.100000000000001" customHeight="1" x14ac:dyDescent="0.25">
      <c r="A43" s="130" t="s">
        <v>28</v>
      </c>
      <c r="B43" s="130"/>
      <c r="C43" s="130"/>
      <c r="D43" s="130"/>
      <c r="E43" s="130"/>
      <c r="F43" s="130"/>
      <c r="G43" s="130"/>
      <c r="H43" s="175" t="s">
        <v>486</v>
      </c>
      <c r="I43" s="175"/>
      <c r="J43" s="141" t="s">
        <v>477</v>
      </c>
      <c r="K43" s="141"/>
      <c r="L43" s="141"/>
      <c r="M43" s="141"/>
      <c r="N43" s="141"/>
      <c r="O43" s="142">
        <v>1</v>
      </c>
      <c r="P43" s="142"/>
      <c r="Q43" s="142"/>
      <c r="R43" s="142"/>
    </row>
    <row r="44" spans="1:18" ht="20.100000000000001" customHeight="1" x14ac:dyDescent="0.25">
      <c r="A44" s="130" t="s">
        <v>25</v>
      </c>
      <c r="B44" s="130"/>
      <c r="C44" s="130"/>
      <c r="D44" s="130"/>
      <c r="E44" s="130"/>
      <c r="F44" s="130"/>
      <c r="G44" s="130"/>
      <c r="H44" s="175" t="s">
        <v>487</v>
      </c>
      <c r="I44" s="175"/>
      <c r="J44" s="141" t="s">
        <v>478</v>
      </c>
      <c r="K44" s="141"/>
      <c r="L44" s="141"/>
      <c r="M44" s="141"/>
      <c r="N44" s="141"/>
      <c r="O44" s="142">
        <v>1</v>
      </c>
      <c r="P44" s="142"/>
      <c r="Q44" s="142"/>
      <c r="R44" s="142"/>
    </row>
    <row r="45" spans="1:18" ht="20.100000000000001" customHeight="1" x14ac:dyDescent="0.25">
      <c r="A45" s="130" t="s">
        <v>26</v>
      </c>
      <c r="B45" s="130"/>
      <c r="C45" s="130"/>
      <c r="D45" s="130"/>
      <c r="E45" s="130"/>
      <c r="F45" s="130"/>
      <c r="G45" s="130"/>
      <c r="H45" s="175" t="s">
        <v>488</v>
      </c>
      <c r="I45" s="175"/>
      <c r="J45" s="141" t="s">
        <v>479</v>
      </c>
      <c r="K45" s="141"/>
      <c r="L45" s="141"/>
      <c r="M45" s="141"/>
      <c r="N45" s="141"/>
      <c r="O45" s="142">
        <v>1</v>
      </c>
      <c r="P45" s="142"/>
      <c r="Q45" s="142"/>
      <c r="R45" s="142"/>
    </row>
    <row r="48" spans="1:18" ht="20.100000000000001" customHeight="1" x14ac:dyDescent="0.25">
      <c r="A48" s="154" t="s">
        <v>33</v>
      </c>
      <c r="B48" s="154"/>
      <c r="C48" s="154"/>
      <c r="D48" s="154"/>
      <c r="E48" s="154" t="s">
        <v>34</v>
      </c>
      <c r="F48" s="154"/>
      <c r="G48" s="154"/>
      <c r="H48" s="154"/>
      <c r="I48" s="154"/>
      <c r="J48" s="154" t="s">
        <v>30</v>
      </c>
      <c r="K48" s="154"/>
    </row>
    <row r="49" spans="1:18" ht="20.100000000000001" customHeight="1" x14ac:dyDescent="0.25">
      <c r="A49" s="153"/>
      <c r="B49" s="153"/>
      <c r="C49" s="153"/>
      <c r="D49" s="153"/>
      <c r="E49" s="84" t="s">
        <v>484</v>
      </c>
      <c r="F49" s="84" t="s">
        <v>485</v>
      </c>
      <c r="G49" s="84" t="s">
        <v>486</v>
      </c>
      <c r="H49" s="84" t="s">
        <v>487</v>
      </c>
      <c r="I49" s="84" t="s">
        <v>488</v>
      </c>
      <c r="J49" s="153"/>
      <c r="K49" s="153"/>
    </row>
    <row r="50" spans="1:18" ht="20.100000000000001" customHeight="1" thickBot="1" x14ac:dyDescent="0.3">
      <c r="A50" s="95"/>
      <c r="B50" s="95"/>
      <c r="C50" s="95"/>
      <c r="D50" s="95"/>
      <c r="E50" s="94">
        <v>0.9</v>
      </c>
      <c r="F50" s="94">
        <v>1</v>
      </c>
      <c r="G50" s="94">
        <v>1</v>
      </c>
      <c r="H50" s="94">
        <v>1</v>
      </c>
      <c r="I50" s="94">
        <v>1</v>
      </c>
      <c r="J50" s="135">
        <f>SUM(E50:I50)-COUNT(E50:I50)+1</f>
        <v>0.90000000000000036</v>
      </c>
      <c r="K50" s="135"/>
    </row>
    <row r="52" spans="1:18" ht="39.950000000000003" customHeight="1" x14ac:dyDescent="0.25">
      <c r="A52" s="84" t="s">
        <v>17</v>
      </c>
      <c r="B52" s="107" t="str">
        <f>P24</f>
        <v>Valor unitário ajustado</v>
      </c>
      <c r="C52" s="107"/>
      <c r="D52" s="107"/>
      <c r="E52" s="84" t="s">
        <v>484</v>
      </c>
      <c r="F52" s="84" t="s">
        <v>485</v>
      </c>
      <c r="G52" s="84" t="s">
        <v>486</v>
      </c>
      <c r="H52" s="84" t="s">
        <v>487</v>
      </c>
      <c r="I52" s="84" t="s">
        <v>488</v>
      </c>
      <c r="J52" s="107" t="s">
        <v>30</v>
      </c>
      <c r="K52" s="107"/>
      <c r="L52" s="107" t="s">
        <v>31</v>
      </c>
      <c r="M52" s="107"/>
      <c r="N52" s="107" t="s">
        <v>23</v>
      </c>
      <c r="O52" s="107"/>
      <c r="P52" s="107" t="s">
        <v>32</v>
      </c>
      <c r="Q52" s="107"/>
      <c r="R52" s="107"/>
    </row>
    <row r="53" spans="1:18" ht="20.100000000000001" customHeight="1" x14ac:dyDescent="0.25">
      <c r="A53" s="89">
        <v>1</v>
      </c>
      <c r="B53" s="136">
        <f>P25</f>
        <v>525</v>
      </c>
      <c r="C53" s="136"/>
      <c r="D53" s="136"/>
      <c r="E53" s="87">
        <v>0.9</v>
      </c>
      <c r="F53" s="87">
        <v>1</v>
      </c>
      <c r="G53" s="87">
        <v>1</v>
      </c>
      <c r="H53" s="87">
        <v>1</v>
      </c>
      <c r="I53" s="87">
        <v>1</v>
      </c>
      <c r="J53" s="136">
        <f>SUM(E53:I53)-COUNT(E53:I53)+1</f>
        <v>0.90000000000000036</v>
      </c>
      <c r="K53" s="138"/>
      <c r="L53" s="136">
        <f t="shared" ref="L53:L57" si="2">$J$50</f>
        <v>0.90000000000000036</v>
      </c>
      <c r="M53" s="138"/>
      <c r="N53" s="136">
        <f t="shared" ref="N53:N57" si="3">L53/J53</f>
        <v>1</v>
      </c>
      <c r="O53" s="138"/>
      <c r="P53" s="136">
        <f t="shared" ref="P53:P57" si="4">B53*N53</f>
        <v>525</v>
      </c>
      <c r="Q53" s="136"/>
      <c r="R53" s="136"/>
    </row>
    <row r="54" spans="1:18" ht="20.100000000000001" customHeight="1" x14ac:dyDescent="0.25">
      <c r="A54" s="89">
        <v>2</v>
      </c>
      <c r="B54" s="134">
        <f t="shared" ref="B54:B55" si="5">P26</f>
        <v>600</v>
      </c>
      <c r="C54" s="134"/>
      <c r="D54" s="134"/>
      <c r="E54" s="90">
        <v>1</v>
      </c>
      <c r="F54" s="90">
        <v>1</v>
      </c>
      <c r="G54" s="90">
        <v>1</v>
      </c>
      <c r="H54" s="90">
        <v>1</v>
      </c>
      <c r="I54" s="90">
        <v>1</v>
      </c>
      <c r="J54" s="134">
        <f t="shared" ref="J54:J55" si="6">SUM(E54:I54)-COUNT(E54:I54)+1</f>
        <v>1</v>
      </c>
      <c r="K54" s="130"/>
      <c r="L54" s="134">
        <f t="shared" si="2"/>
        <v>0.90000000000000036</v>
      </c>
      <c r="M54" s="130"/>
      <c r="N54" s="134">
        <f t="shared" ref="N54:N55" si="7">L54/J54</f>
        <v>0.90000000000000036</v>
      </c>
      <c r="O54" s="130"/>
      <c r="P54" s="134">
        <f t="shared" ref="P54:P55" si="8">B54*N54</f>
        <v>540.00000000000023</v>
      </c>
      <c r="Q54" s="134"/>
      <c r="R54" s="134"/>
    </row>
    <row r="55" spans="1:18" ht="20.100000000000001" customHeight="1" x14ac:dyDescent="0.25">
      <c r="A55" s="89">
        <v>3</v>
      </c>
      <c r="B55" s="134">
        <f t="shared" si="5"/>
        <v>540</v>
      </c>
      <c r="C55" s="134"/>
      <c r="D55" s="134"/>
      <c r="E55" s="90">
        <v>0.95</v>
      </c>
      <c r="F55" s="90">
        <v>1</v>
      </c>
      <c r="G55" s="90">
        <v>1</v>
      </c>
      <c r="H55" s="90">
        <v>1</v>
      </c>
      <c r="I55" s="90">
        <v>1</v>
      </c>
      <c r="J55" s="134">
        <f t="shared" si="6"/>
        <v>0.95000000000000018</v>
      </c>
      <c r="K55" s="130"/>
      <c r="L55" s="134">
        <f t="shared" si="2"/>
        <v>0.90000000000000036</v>
      </c>
      <c r="M55" s="130"/>
      <c r="N55" s="134">
        <f t="shared" si="7"/>
        <v>0.94736842105263175</v>
      </c>
      <c r="O55" s="130"/>
      <c r="P55" s="134">
        <f t="shared" si="8"/>
        <v>511.57894736842115</v>
      </c>
      <c r="Q55" s="134"/>
      <c r="R55" s="134"/>
    </row>
    <row r="56" spans="1:18" ht="20.100000000000001" customHeight="1" x14ac:dyDescent="0.25">
      <c r="A56" s="89">
        <v>4</v>
      </c>
      <c r="B56" s="134">
        <f>P28</f>
        <v>578.57142857142867</v>
      </c>
      <c r="C56" s="134"/>
      <c r="D56" s="134"/>
      <c r="E56" s="90">
        <v>1</v>
      </c>
      <c r="F56" s="90">
        <v>1</v>
      </c>
      <c r="G56" s="90">
        <v>1</v>
      </c>
      <c r="H56" s="90">
        <v>1</v>
      </c>
      <c r="I56" s="90">
        <v>1</v>
      </c>
      <c r="J56" s="134">
        <f t="shared" ref="J56:J57" si="9">SUM(E56:I56)-COUNT(E56:I56)+1</f>
        <v>1</v>
      </c>
      <c r="K56" s="130"/>
      <c r="L56" s="134">
        <f t="shared" si="2"/>
        <v>0.90000000000000036</v>
      </c>
      <c r="M56" s="130"/>
      <c r="N56" s="134">
        <f t="shared" si="3"/>
        <v>0.90000000000000036</v>
      </c>
      <c r="O56" s="130"/>
      <c r="P56" s="134">
        <f t="shared" si="4"/>
        <v>520.71428571428601</v>
      </c>
      <c r="Q56" s="134"/>
      <c r="R56" s="134"/>
    </row>
    <row r="57" spans="1:18" ht="20.100000000000001" customHeight="1" thickBot="1" x14ac:dyDescent="0.3">
      <c r="A57" s="93">
        <v>5</v>
      </c>
      <c r="B57" s="135">
        <f>P29</f>
        <v>570</v>
      </c>
      <c r="C57" s="135"/>
      <c r="D57" s="135"/>
      <c r="E57" s="94">
        <v>1</v>
      </c>
      <c r="F57" s="94">
        <v>1</v>
      </c>
      <c r="G57" s="94">
        <v>1</v>
      </c>
      <c r="H57" s="94">
        <v>1</v>
      </c>
      <c r="I57" s="94">
        <v>1</v>
      </c>
      <c r="J57" s="135">
        <f t="shared" si="9"/>
        <v>1</v>
      </c>
      <c r="K57" s="139"/>
      <c r="L57" s="135">
        <f t="shared" si="2"/>
        <v>0.90000000000000036</v>
      </c>
      <c r="M57" s="139"/>
      <c r="N57" s="135">
        <f t="shared" si="3"/>
        <v>0.90000000000000036</v>
      </c>
      <c r="O57" s="139"/>
      <c r="P57" s="135">
        <f t="shared" si="4"/>
        <v>513.00000000000023</v>
      </c>
      <c r="Q57" s="135"/>
      <c r="R57" s="135"/>
    </row>
    <row r="59" spans="1:18" ht="20.100000000000001" customHeight="1" x14ac:dyDescent="0.25">
      <c r="E59" s="96"/>
      <c r="F59" s="96"/>
      <c r="G59" s="96"/>
      <c r="H59" s="96"/>
      <c r="I59" s="96"/>
      <c r="L59" s="120" t="s">
        <v>36</v>
      </c>
      <c r="M59" s="120"/>
      <c r="N59" s="120"/>
      <c r="O59" s="120"/>
      <c r="P59" s="143">
        <f>AVERAGE(P53:R57)</f>
        <v>522.05864661654141</v>
      </c>
      <c r="Q59" s="143"/>
      <c r="R59" s="143"/>
    </row>
    <row r="60" spans="1:18" ht="20.100000000000001" customHeight="1" x14ac:dyDescent="0.25">
      <c r="E60" s="86"/>
      <c r="L60" s="138" t="s">
        <v>37</v>
      </c>
      <c r="M60" s="138"/>
      <c r="N60" s="138"/>
      <c r="O60" s="138"/>
      <c r="P60" s="143">
        <f>STDEVA(P53:R57)</f>
        <v>11.448080647497976</v>
      </c>
      <c r="Q60" s="143"/>
      <c r="R60" s="143"/>
    </row>
    <row r="61" spans="1:18" ht="20.100000000000001" customHeight="1" x14ac:dyDescent="0.25">
      <c r="H61" s="97"/>
      <c r="L61" s="130" t="s">
        <v>35</v>
      </c>
      <c r="M61" s="130"/>
      <c r="N61" s="130"/>
      <c r="O61" s="130"/>
      <c r="P61" s="145">
        <f>P60/P59</f>
        <v>2.192872529110074E-2</v>
      </c>
      <c r="Q61" s="145"/>
      <c r="R61" s="145"/>
    </row>
    <row r="62" spans="1:18" ht="20.100000000000001" customHeight="1" x14ac:dyDescent="0.25">
      <c r="I62" s="98"/>
    </row>
    <row r="63" spans="1:18" ht="20.100000000000001" customHeight="1" x14ac:dyDescent="0.25">
      <c r="I63" s="98"/>
    </row>
    <row r="64" spans="1:18" ht="20.100000000000001" customHeight="1" x14ac:dyDescent="0.25">
      <c r="A64" s="138" t="s">
        <v>95</v>
      </c>
      <c r="B64" s="138"/>
      <c r="C64" s="138"/>
      <c r="D64" s="138"/>
      <c r="E64" s="138"/>
      <c r="F64" s="138"/>
      <c r="G64" s="138"/>
      <c r="H64" s="138"/>
      <c r="I64" s="138"/>
      <c r="J64" s="138"/>
      <c r="K64" s="138"/>
      <c r="L64" s="138"/>
      <c r="M64" s="138"/>
      <c r="N64" s="138"/>
      <c r="O64" s="138"/>
      <c r="P64" s="138"/>
      <c r="Q64" s="138"/>
      <c r="R64" s="138"/>
    </row>
    <row r="65" spans="9:9" ht="20.100000000000001" customHeight="1" x14ac:dyDescent="0.25">
      <c r="I65" s="98"/>
    </row>
    <row r="66" spans="9:9" ht="20.100000000000001" customHeight="1" x14ac:dyDescent="0.25">
      <c r="I66" s="98"/>
    </row>
    <row r="67" spans="9:9" ht="20.100000000000001" customHeight="1" x14ac:dyDescent="0.25">
      <c r="I67" s="98"/>
    </row>
    <row r="68" spans="9:9" ht="20.100000000000001" customHeight="1" x14ac:dyDescent="0.25">
      <c r="I68" s="98"/>
    </row>
    <row r="69" spans="9:9" ht="20.100000000000001" customHeight="1" x14ac:dyDescent="0.25">
      <c r="I69" s="98"/>
    </row>
    <row r="70" spans="9:9" ht="20.100000000000001" customHeight="1" x14ac:dyDescent="0.25">
      <c r="I70" s="98"/>
    </row>
    <row r="71" spans="9:9" ht="20.100000000000001" customHeight="1" x14ac:dyDescent="0.25">
      <c r="I71" s="98"/>
    </row>
    <row r="72" spans="9:9" ht="20.100000000000001" customHeight="1" x14ac:dyDescent="0.25">
      <c r="I72" s="98"/>
    </row>
    <row r="73" spans="9:9" ht="20.100000000000001" customHeight="1" x14ac:dyDescent="0.25">
      <c r="I73" s="98"/>
    </row>
    <row r="74" spans="9:9" ht="20.100000000000001" customHeight="1" x14ac:dyDescent="0.25">
      <c r="I74" s="98"/>
    </row>
    <row r="75" spans="9:9" ht="20.100000000000001" customHeight="1" x14ac:dyDescent="0.25">
      <c r="I75" s="98"/>
    </row>
    <row r="76" spans="9:9" ht="20.100000000000001" customHeight="1" x14ac:dyDescent="0.25">
      <c r="I76" s="98"/>
    </row>
    <row r="77" spans="9:9" ht="20.100000000000001" customHeight="1" x14ac:dyDescent="0.25">
      <c r="I77" s="98"/>
    </row>
    <row r="78" spans="9:9" ht="20.100000000000001" customHeight="1" x14ac:dyDescent="0.25">
      <c r="I78" s="98"/>
    </row>
    <row r="79" spans="9:9" ht="20.100000000000001" customHeight="1" x14ac:dyDescent="0.25">
      <c r="I79" s="98"/>
    </row>
    <row r="80" spans="9:9" ht="20.100000000000001" customHeight="1" x14ac:dyDescent="0.25">
      <c r="I80" s="98"/>
    </row>
    <row r="81" spans="9:9" ht="20.100000000000001" customHeight="1" x14ac:dyDescent="0.25">
      <c r="I81" s="98"/>
    </row>
    <row r="82" spans="9:9" ht="20.100000000000001" customHeight="1" x14ac:dyDescent="0.25">
      <c r="I82" s="98"/>
    </row>
    <row r="83" spans="9:9" ht="20.100000000000001" customHeight="1" x14ac:dyDescent="0.25">
      <c r="I83" s="98"/>
    </row>
    <row r="84" spans="9:9" ht="20.100000000000001" customHeight="1" x14ac:dyDescent="0.25">
      <c r="I84" s="98"/>
    </row>
    <row r="85" spans="9:9" ht="20.100000000000001" customHeight="1" x14ac:dyDescent="0.25">
      <c r="I85" s="98"/>
    </row>
    <row r="86" spans="9:9" ht="20.100000000000001" customHeight="1" x14ac:dyDescent="0.25">
      <c r="I86" s="98"/>
    </row>
    <row r="87" spans="9:9" ht="20.100000000000001" customHeight="1" x14ac:dyDescent="0.25">
      <c r="I87" s="98"/>
    </row>
    <row r="88" spans="9:9" ht="20.100000000000001" customHeight="1" x14ac:dyDescent="0.25">
      <c r="I88" s="98"/>
    </row>
    <row r="89" spans="9:9" ht="20.100000000000001" customHeight="1" x14ac:dyDescent="0.25">
      <c r="I89" s="98"/>
    </row>
    <row r="90" spans="9:9" ht="20.100000000000001" customHeight="1" x14ac:dyDescent="0.25">
      <c r="I90" s="98"/>
    </row>
    <row r="91" spans="9:9" ht="20.100000000000001" customHeight="1" x14ac:dyDescent="0.25">
      <c r="I91" s="98"/>
    </row>
    <row r="92" spans="9:9" ht="20.100000000000001" customHeight="1" x14ac:dyDescent="0.25">
      <c r="I92" s="98"/>
    </row>
    <row r="93" spans="9:9" ht="20.100000000000001" customHeight="1" x14ac:dyDescent="0.25">
      <c r="I93" s="98"/>
    </row>
    <row r="94" spans="9:9" ht="20.100000000000001" customHeight="1" x14ac:dyDescent="0.25">
      <c r="I94" s="98"/>
    </row>
    <row r="95" spans="9:9" ht="20.100000000000001" customHeight="1" x14ac:dyDescent="0.25">
      <c r="I95" s="98"/>
    </row>
    <row r="96" spans="9:9" ht="20.100000000000001" customHeight="1" x14ac:dyDescent="0.25">
      <c r="I96" s="98"/>
    </row>
    <row r="97" spans="1:18" ht="20.100000000000001" customHeight="1" x14ac:dyDescent="0.25">
      <c r="I97" s="98"/>
    </row>
    <row r="98" spans="1:18" ht="20.100000000000001" customHeight="1" x14ac:dyDescent="0.25">
      <c r="A98" s="138" t="s">
        <v>94</v>
      </c>
      <c r="B98" s="138"/>
      <c r="C98" s="138"/>
      <c r="D98" s="138"/>
      <c r="E98" s="138"/>
      <c r="F98" s="138"/>
      <c r="G98" s="138"/>
      <c r="H98" s="138"/>
      <c r="I98" s="138"/>
      <c r="J98" s="138"/>
      <c r="K98" s="138"/>
      <c r="L98" s="138"/>
      <c r="M98" s="138"/>
      <c r="N98" s="138"/>
      <c r="O98" s="138"/>
      <c r="P98" s="138"/>
      <c r="Q98" s="138"/>
      <c r="R98" s="138"/>
    </row>
    <row r="99" spans="1:18" ht="20.100000000000001" customHeight="1" x14ac:dyDescent="0.25">
      <c r="I99" s="98"/>
    </row>
    <row r="100" spans="1:18" ht="20.100000000000001" customHeight="1" x14ac:dyDescent="0.25">
      <c r="I100" s="98"/>
    </row>
    <row r="101" spans="1:18" ht="20.100000000000001" customHeight="1" x14ac:dyDescent="0.25">
      <c r="I101" s="98"/>
    </row>
    <row r="102" spans="1:18" ht="20.100000000000001" customHeight="1" x14ac:dyDescent="0.25">
      <c r="I102" s="98"/>
    </row>
    <row r="103" spans="1:18" ht="20.100000000000001" customHeight="1" x14ac:dyDescent="0.25">
      <c r="I103" s="98"/>
    </row>
    <row r="104" spans="1:18" ht="20.100000000000001" customHeight="1" x14ac:dyDescent="0.25">
      <c r="I104" s="98"/>
    </row>
    <row r="105" spans="1:18" ht="20.100000000000001" customHeight="1" x14ac:dyDescent="0.25">
      <c r="I105" s="98"/>
    </row>
    <row r="106" spans="1:18" ht="20.100000000000001" customHeight="1" x14ac:dyDescent="0.25">
      <c r="I106" s="98"/>
    </row>
    <row r="107" spans="1:18" ht="20.100000000000001" customHeight="1" x14ac:dyDescent="0.25">
      <c r="I107" s="98"/>
    </row>
    <row r="108" spans="1:18" ht="20.100000000000001" customHeight="1" x14ac:dyDescent="0.25">
      <c r="I108" s="98"/>
    </row>
    <row r="109" spans="1:18" ht="20.100000000000001" customHeight="1" x14ac:dyDescent="0.25">
      <c r="I109" s="98"/>
    </row>
    <row r="110" spans="1:18" ht="20.100000000000001" customHeight="1" x14ac:dyDescent="0.25">
      <c r="I110" s="98"/>
    </row>
    <row r="111" spans="1:18" ht="20.100000000000001" customHeight="1" x14ac:dyDescent="0.25">
      <c r="I111" s="98"/>
    </row>
    <row r="112" spans="1:18" ht="20.100000000000001" customHeight="1" x14ac:dyDescent="0.25">
      <c r="I112" s="98"/>
    </row>
    <row r="113" spans="1:18" ht="20.100000000000001" customHeight="1" x14ac:dyDescent="0.25">
      <c r="I113" s="98"/>
    </row>
    <row r="114" spans="1:18" ht="20.100000000000001" customHeight="1" x14ac:dyDescent="0.25">
      <c r="I114" s="98"/>
    </row>
    <row r="115" spans="1:18" ht="20.100000000000001" customHeight="1" x14ac:dyDescent="0.25">
      <c r="I115" s="98"/>
    </row>
    <row r="116" spans="1:18" ht="20.100000000000001" customHeight="1" x14ac:dyDescent="0.25">
      <c r="A116" s="138" t="s">
        <v>93</v>
      </c>
      <c r="B116" s="138"/>
      <c r="C116" s="138"/>
      <c r="D116" s="138"/>
      <c r="E116" s="138"/>
      <c r="F116" s="138"/>
      <c r="G116" s="138"/>
      <c r="H116" s="138"/>
      <c r="I116" s="138"/>
      <c r="J116" s="138"/>
      <c r="K116" s="138"/>
      <c r="L116" s="138"/>
      <c r="M116" s="138"/>
      <c r="N116" s="138"/>
      <c r="O116" s="138"/>
      <c r="P116" s="138"/>
      <c r="Q116" s="138"/>
      <c r="R116" s="138"/>
    </row>
    <row r="117" spans="1:18" ht="20.100000000000001" customHeight="1" x14ac:dyDescent="0.25">
      <c r="I117" s="98"/>
    </row>
    <row r="118" spans="1:18" ht="20.100000000000001" customHeight="1" x14ac:dyDescent="0.25">
      <c r="I118" s="98"/>
    </row>
    <row r="119" spans="1:18" ht="20.100000000000001" customHeight="1" x14ac:dyDescent="0.25">
      <c r="I119" s="98"/>
    </row>
    <row r="120" spans="1:18" ht="20.100000000000001" customHeight="1" x14ac:dyDescent="0.25">
      <c r="I120" s="98"/>
    </row>
    <row r="121" spans="1:18" ht="20.100000000000001" customHeight="1" x14ac:dyDescent="0.25">
      <c r="I121" s="98"/>
    </row>
    <row r="122" spans="1:18" ht="20.100000000000001" customHeight="1" x14ac:dyDescent="0.25">
      <c r="I122" s="98"/>
    </row>
    <row r="123" spans="1:18" ht="20.100000000000001" customHeight="1" x14ac:dyDescent="0.25">
      <c r="I123" s="98"/>
    </row>
    <row r="124" spans="1:18" ht="20.100000000000001" customHeight="1" x14ac:dyDescent="0.25">
      <c r="I124" s="98"/>
    </row>
    <row r="125" spans="1:18" ht="20.100000000000001" customHeight="1" x14ac:dyDescent="0.25">
      <c r="I125" s="98"/>
    </row>
    <row r="126" spans="1:18" ht="20.100000000000001" customHeight="1" x14ac:dyDescent="0.25">
      <c r="I126" s="98"/>
    </row>
    <row r="127" spans="1:18" ht="20.100000000000001" customHeight="1" x14ac:dyDescent="0.25">
      <c r="I127" s="98"/>
    </row>
    <row r="128" spans="1:18" ht="20.100000000000001" customHeight="1" x14ac:dyDescent="0.25">
      <c r="I128" s="98"/>
    </row>
    <row r="129" spans="1:18" ht="20.100000000000001" customHeight="1" x14ac:dyDescent="0.25">
      <c r="I129" s="98"/>
    </row>
    <row r="130" spans="1:18" ht="20.100000000000001" customHeight="1" x14ac:dyDescent="0.25">
      <c r="I130" s="98"/>
    </row>
    <row r="131" spans="1:18" ht="20.100000000000001" customHeight="1" x14ac:dyDescent="0.25">
      <c r="I131" s="98"/>
    </row>
    <row r="132" spans="1:18" ht="20.100000000000001" customHeight="1" x14ac:dyDescent="0.25">
      <c r="I132" s="98"/>
    </row>
    <row r="135" spans="1:18" ht="20.100000000000001" customHeight="1" x14ac:dyDescent="0.25">
      <c r="A135" s="112" t="s">
        <v>38</v>
      </c>
      <c r="B135" s="112"/>
      <c r="C135" s="112"/>
      <c r="D135" s="112"/>
      <c r="E135" s="112"/>
      <c r="F135" s="112"/>
      <c r="G135" s="112"/>
      <c r="H135" s="112"/>
      <c r="I135" s="112"/>
      <c r="J135" s="112"/>
      <c r="K135" s="112"/>
      <c r="L135" s="112"/>
      <c r="M135" s="112"/>
      <c r="N135" s="112"/>
      <c r="O135" s="112"/>
      <c r="P135" s="112"/>
      <c r="Q135" s="112"/>
      <c r="R135" s="112"/>
    </row>
    <row r="137" spans="1:18" ht="39.950000000000003" customHeight="1" x14ac:dyDescent="0.25">
      <c r="A137" s="107" t="s">
        <v>40</v>
      </c>
      <c r="B137" s="107"/>
      <c r="C137" s="107"/>
      <c r="D137" s="107"/>
      <c r="E137" s="107"/>
      <c r="F137" s="107"/>
      <c r="G137" s="107"/>
      <c r="H137" s="107"/>
      <c r="I137" s="99" t="s">
        <v>86</v>
      </c>
      <c r="J137" s="107" t="s">
        <v>39</v>
      </c>
      <c r="K137" s="107"/>
      <c r="L137" s="107"/>
      <c r="M137" s="107" t="s">
        <v>33</v>
      </c>
      <c r="N137" s="107"/>
      <c r="O137" s="107"/>
      <c r="P137" s="107" t="s">
        <v>41</v>
      </c>
      <c r="Q137" s="107"/>
      <c r="R137" s="107"/>
    </row>
    <row r="138" spans="1:18" ht="20.100000000000001" customHeight="1" x14ac:dyDescent="0.25">
      <c r="A138" s="156" t="s">
        <v>501</v>
      </c>
      <c r="B138" s="156"/>
      <c r="C138" s="156"/>
      <c r="D138" s="156"/>
      <c r="E138" s="156"/>
      <c r="F138" s="156"/>
      <c r="G138" s="156"/>
      <c r="H138" s="156"/>
      <c r="I138" s="23" t="s">
        <v>489</v>
      </c>
      <c r="J138" s="155">
        <v>0.15</v>
      </c>
      <c r="K138" s="155"/>
      <c r="L138" s="155"/>
      <c r="M138" s="155">
        <f>J138</f>
        <v>0.15</v>
      </c>
      <c r="N138" s="155"/>
      <c r="O138" s="155"/>
      <c r="P138" s="155">
        <f>(J138-M138)</f>
        <v>0</v>
      </c>
      <c r="Q138" s="155"/>
      <c r="R138" s="155"/>
    </row>
    <row r="139" spans="1:18" ht="20.100000000000001" customHeight="1" x14ac:dyDescent="0.25">
      <c r="A139" s="146" t="s">
        <v>502</v>
      </c>
      <c r="B139" s="146"/>
      <c r="C139" s="146"/>
      <c r="D139" s="146"/>
      <c r="E139" s="146"/>
      <c r="F139" s="146"/>
      <c r="G139" s="146"/>
      <c r="H139" s="146"/>
      <c r="I139" s="25" t="s">
        <v>490</v>
      </c>
      <c r="J139" s="140">
        <v>0.1</v>
      </c>
      <c r="K139" s="140"/>
      <c r="L139" s="140"/>
      <c r="M139" s="140">
        <f t="shared" ref="M139:M144" si="10">J139</f>
        <v>0.1</v>
      </c>
      <c r="N139" s="140"/>
      <c r="O139" s="140"/>
      <c r="P139" s="140">
        <f t="shared" ref="P139:P144" si="11">(J139-M139)</f>
        <v>0</v>
      </c>
      <c r="Q139" s="140"/>
      <c r="R139" s="140"/>
    </row>
    <row r="140" spans="1:18" ht="20.100000000000001" customHeight="1" x14ac:dyDescent="0.25">
      <c r="A140" s="146" t="s">
        <v>503</v>
      </c>
      <c r="B140" s="146"/>
      <c r="C140" s="146"/>
      <c r="D140" s="146"/>
      <c r="E140" s="146"/>
      <c r="F140" s="146"/>
      <c r="G140" s="146"/>
      <c r="H140" s="146"/>
      <c r="I140" s="25" t="s">
        <v>491</v>
      </c>
      <c r="J140" s="140">
        <v>0.05</v>
      </c>
      <c r="K140" s="140"/>
      <c r="L140" s="140"/>
      <c r="M140" s="140">
        <f t="shared" si="10"/>
        <v>0.05</v>
      </c>
      <c r="N140" s="140"/>
      <c r="O140" s="140"/>
      <c r="P140" s="140">
        <f t="shared" si="11"/>
        <v>0</v>
      </c>
      <c r="Q140" s="140"/>
      <c r="R140" s="140"/>
    </row>
    <row r="141" spans="1:18" ht="20.100000000000001" customHeight="1" x14ac:dyDescent="0.25">
      <c r="A141" s="146" t="s">
        <v>504</v>
      </c>
      <c r="B141" s="146"/>
      <c r="C141" s="146"/>
      <c r="D141" s="146"/>
      <c r="E141" s="146"/>
      <c r="F141" s="146"/>
      <c r="G141" s="146"/>
      <c r="H141" s="146"/>
      <c r="I141" s="25" t="s">
        <v>492</v>
      </c>
      <c r="J141" s="140">
        <v>0.15</v>
      </c>
      <c r="K141" s="140"/>
      <c r="L141" s="140"/>
      <c r="M141" s="140">
        <f t="shared" si="10"/>
        <v>0.15</v>
      </c>
      <c r="N141" s="140"/>
      <c r="O141" s="140"/>
      <c r="P141" s="140">
        <f t="shared" si="11"/>
        <v>0</v>
      </c>
      <c r="Q141" s="140"/>
      <c r="R141" s="140"/>
    </row>
    <row r="142" spans="1:18" ht="20.100000000000001" customHeight="1" x14ac:dyDescent="0.25">
      <c r="A142" s="146" t="s">
        <v>505</v>
      </c>
      <c r="B142" s="146"/>
      <c r="C142" s="146"/>
      <c r="D142" s="146"/>
      <c r="E142" s="146"/>
      <c r="F142" s="146"/>
      <c r="G142" s="146"/>
      <c r="H142" s="146"/>
      <c r="I142" s="25" t="s">
        <v>493</v>
      </c>
      <c r="J142" s="140">
        <v>0.1</v>
      </c>
      <c r="K142" s="140"/>
      <c r="L142" s="140"/>
      <c r="M142" s="140">
        <f t="shared" si="10"/>
        <v>0.1</v>
      </c>
      <c r="N142" s="140"/>
      <c r="O142" s="140"/>
      <c r="P142" s="140">
        <f t="shared" si="11"/>
        <v>0</v>
      </c>
      <c r="Q142" s="140"/>
      <c r="R142" s="140"/>
    </row>
    <row r="143" spans="1:18" ht="20.100000000000001" customHeight="1" x14ac:dyDescent="0.25">
      <c r="A143" s="146" t="s">
        <v>1</v>
      </c>
      <c r="B143" s="146"/>
      <c r="C143" s="146"/>
      <c r="D143" s="146"/>
      <c r="E143" s="146"/>
      <c r="F143" s="146"/>
      <c r="G143" s="146"/>
      <c r="H143" s="146"/>
      <c r="I143" s="25" t="s">
        <v>494</v>
      </c>
      <c r="J143" s="140">
        <v>0.3</v>
      </c>
      <c r="K143" s="140"/>
      <c r="L143" s="140"/>
      <c r="M143" s="140">
        <f t="shared" si="10"/>
        <v>0.3</v>
      </c>
      <c r="N143" s="140"/>
      <c r="O143" s="140"/>
      <c r="P143" s="140">
        <f t="shared" si="11"/>
        <v>0</v>
      </c>
      <c r="Q143" s="140"/>
      <c r="R143" s="140"/>
    </row>
    <row r="144" spans="1:18" ht="20.100000000000001" customHeight="1" x14ac:dyDescent="0.25">
      <c r="A144" s="146" t="s">
        <v>506</v>
      </c>
      <c r="B144" s="146"/>
      <c r="C144" s="146"/>
      <c r="D144" s="146"/>
      <c r="E144" s="146"/>
      <c r="F144" s="146"/>
      <c r="G144" s="146"/>
      <c r="H144" s="146"/>
      <c r="I144" s="25" t="s">
        <v>495</v>
      </c>
      <c r="J144" s="140">
        <v>0.05</v>
      </c>
      <c r="K144" s="140"/>
      <c r="L144" s="140"/>
      <c r="M144" s="140">
        <f t="shared" si="10"/>
        <v>0.05</v>
      </c>
      <c r="N144" s="140"/>
      <c r="O144" s="140"/>
      <c r="P144" s="140">
        <f t="shared" si="11"/>
        <v>0</v>
      </c>
      <c r="Q144" s="140"/>
      <c r="R144" s="140"/>
    </row>
    <row r="146" spans="1:18" ht="20.100000000000001" customHeight="1" x14ac:dyDescent="0.25">
      <c r="A146" s="120" t="s">
        <v>264</v>
      </c>
      <c r="B146" s="120"/>
      <c r="C146" s="120"/>
      <c r="D146" s="120"/>
      <c r="E146" s="120"/>
      <c r="F146" s="120"/>
      <c r="G146" s="120"/>
      <c r="H146" s="120"/>
      <c r="I146" s="120"/>
      <c r="J146" s="125">
        <f>1+(SUM(J138:L144))</f>
        <v>1.9</v>
      </c>
      <c r="K146" s="125"/>
      <c r="L146" s="125"/>
      <c r="M146" s="125">
        <f>1+(SUM(M138:O144))</f>
        <v>1.9</v>
      </c>
      <c r="N146" s="125"/>
      <c r="O146" s="125"/>
    </row>
    <row r="147" spans="1:18" ht="20.100000000000001" customHeight="1" x14ac:dyDescent="0.25">
      <c r="A147" s="123" t="s">
        <v>496</v>
      </c>
      <c r="B147" s="123"/>
      <c r="C147" s="123"/>
      <c r="D147" s="123"/>
      <c r="E147" s="123"/>
      <c r="F147" s="123"/>
      <c r="G147" s="123"/>
      <c r="H147" s="123"/>
      <c r="I147" s="123"/>
      <c r="J147" s="123"/>
      <c r="K147" s="123"/>
      <c r="L147" s="123"/>
      <c r="M147" s="123"/>
      <c r="N147" s="123"/>
      <c r="O147" s="123"/>
    </row>
    <row r="148" spans="1:18" ht="20.100000000000001" customHeight="1" x14ac:dyDescent="0.25">
      <c r="A148" s="124"/>
      <c r="B148" s="124"/>
      <c r="C148" s="124"/>
      <c r="D148" s="124"/>
      <c r="E148" s="124"/>
      <c r="F148" s="124"/>
      <c r="G148" s="124"/>
      <c r="H148" s="124"/>
      <c r="I148" s="124"/>
      <c r="J148" s="124"/>
      <c r="K148" s="124"/>
      <c r="L148" s="124"/>
      <c r="M148" s="124"/>
      <c r="N148" s="124"/>
      <c r="O148" s="124"/>
      <c r="P148" s="125">
        <f>SUM(P138:R144)</f>
        <v>0</v>
      </c>
      <c r="Q148" s="125"/>
      <c r="R148" s="125"/>
    </row>
    <row r="150" spans="1:18" ht="20.100000000000001" customHeight="1" x14ac:dyDescent="0.25">
      <c r="A150" s="119" t="s">
        <v>507</v>
      </c>
      <c r="B150" s="119"/>
      <c r="C150" s="119"/>
      <c r="D150" s="119"/>
      <c r="E150" s="109" t="s">
        <v>34</v>
      </c>
      <c r="F150" s="109"/>
      <c r="G150" s="109"/>
      <c r="H150" s="109"/>
      <c r="I150" s="109"/>
      <c r="J150" s="109"/>
      <c r="K150" s="109"/>
      <c r="L150" s="109"/>
      <c r="M150" s="109"/>
      <c r="N150" s="109"/>
      <c r="O150" s="109"/>
      <c r="P150" s="119" t="s">
        <v>15</v>
      </c>
      <c r="Q150" s="119"/>
      <c r="R150" s="119"/>
    </row>
    <row r="151" spans="1:18" ht="20.100000000000001" customHeight="1" x14ac:dyDescent="0.25">
      <c r="A151" s="119"/>
      <c r="B151" s="119"/>
      <c r="C151" s="119"/>
      <c r="D151" s="119"/>
      <c r="E151" s="99"/>
      <c r="F151" s="99"/>
      <c r="G151" s="99"/>
      <c r="H151" s="99"/>
      <c r="I151" s="99" t="s">
        <v>489</v>
      </c>
      <c r="J151" s="99" t="s">
        <v>490</v>
      </c>
      <c r="K151" s="99" t="s">
        <v>491</v>
      </c>
      <c r="L151" s="99" t="s">
        <v>492</v>
      </c>
      <c r="M151" s="99" t="s">
        <v>493</v>
      </c>
      <c r="N151" s="99" t="s">
        <v>494</v>
      </c>
      <c r="O151" s="99" t="s">
        <v>495</v>
      </c>
      <c r="P151" s="127"/>
      <c r="Q151" s="127"/>
      <c r="R151" s="127"/>
    </row>
    <row r="152" spans="1:18" ht="20.100000000000001" customHeight="1" thickBot="1" x14ac:dyDescent="0.3">
      <c r="A152" s="126"/>
      <c r="B152" s="126"/>
      <c r="C152" s="126"/>
      <c r="D152" s="126"/>
      <c r="E152" s="101"/>
      <c r="F152" s="101"/>
      <c r="G152" s="101"/>
      <c r="H152" s="101"/>
      <c r="I152" s="101">
        <f>$M$138</f>
        <v>0.15</v>
      </c>
      <c r="J152" s="101">
        <f>$M$139</f>
        <v>0.1</v>
      </c>
      <c r="K152" s="101">
        <f>$M$140</f>
        <v>0.05</v>
      </c>
      <c r="L152" s="101">
        <f>$M$141</f>
        <v>0.15</v>
      </c>
      <c r="M152" s="101">
        <f>$M$142</f>
        <v>0.1</v>
      </c>
      <c r="N152" s="101">
        <f>$M$143</f>
        <v>0.3</v>
      </c>
      <c r="O152" s="101">
        <f>$M$144</f>
        <v>0.05</v>
      </c>
      <c r="P152" s="144">
        <f>1+(SUM(I152:O152))</f>
        <v>1.9</v>
      </c>
      <c r="Q152" s="144"/>
      <c r="R152" s="144"/>
    </row>
    <row r="154" spans="1:18" ht="20.100000000000001" customHeight="1" x14ac:dyDescent="0.25">
      <c r="A154" s="138" t="s">
        <v>261</v>
      </c>
      <c r="B154" s="138"/>
      <c r="C154" s="138"/>
      <c r="D154" s="138"/>
      <c r="E154" s="138"/>
      <c r="F154" s="138"/>
      <c r="G154" s="138"/>
      <c r="H154" s="138"/>
      <c r="I154" s="138"/>
      <c r="J154" s="138"/>
      <c r="K154" s="138"/>
      <c r="L154" s="138"/>
      <c r="M154" s="138"/>
      <c r="N154" s="138"/>
      <c r="O154" s="138"/>
      <c r="P154" s="138"/>
      <c r="Q154" s="138"/>
      <c r="R154" s="138"/>
    </row>
    <row r="155" spans="1:18" ht="20.100000000000001" customHeight="1" x14ac:dyDescent="0.25">
      <c r="A155" s="138"/>
      <c r="B155" s="138"/>
      <c r="C155" s="138"/>
      <c r="D155" s="138"/>
      <c r="E155" s="138"/>
      <c r="F155" s="138"/>
      <c r="G155" s="138"/>
      <c r="H155" s="138"/>
      <c r="I155" s="138"/>
      <c r="J155" s="138"/>
      <c r="K155" s="138"/>
      <c r="L155" s="138"/>
      <c r="M155" s="138"/>
      <c r="N155" s="138"/>
      <c r="O155" s="138"/>
      <c r="P155" s="138"/>
      <c r="Q155" s="138"/>
      <c r="R155" s="138"/>
    </row>
    <row r="156" spans="1:18" ht="20.100000000000001" customHeight="1" x14ac:dyDescent="0.25">
      <c r="A156" s="138"/>
      <c r="B156" s="138"/>
      <c r="C156" s="138"/>
      <c r="D156" s="138"/>
      <c r="E156" s="138"/>
      <c r="F156" s="138"/>
      <c r="G156" s="138"/>
      <c r="H156" s="138"/>
      <c r="I156" s="138"/>
      <c r="J156" s="138"/>
      <c r="K156" s="138"/>
      <c r="L156" s="138"/>
      <c r="M156" s="138"/>
      <c r="N156" s="138"/>
      <c r="O156" s="138"/>
      <c r="P156" s="138"/>
      <c r="Q156" s="138"/>
      <c r="R156" s="138"/>
    </row>
    <row r="158" spans="1:18" ht="39.950000000000003" customHeight="1" x14ac:dyDescent="0.25">
      <c r="A158" s="84" t="s">
        <v>17</v>
      </c>
      <c r="B158" s="107" t="str">
        <f t="shared" ref="B158:B163" si="12">P52</f>
        <v>Valor unitário homogeneizado</v>
      </c>
      <c r="C158" s="107"/>
      <c r="D158" s="107"/>
      <c r="E158" s="84"/>
      <c r="F158" s="84"/>
      <c r="G158" s="84"/>
      <c r="H158" s="84"/>
      <c r="I158" s="84" t="s">
        <v>489</v>
      </c>
      <c r="J158" s="84" t="s">
        <v>490</v>
      </c>
      <c r="K158" s="84" t="s">
        <v>491</v>
      </c>
      <c r="L158" s="84" t="s">
        <v>492</v>
      </c>
      <c r="M158" s="84" t="s">
        <v>493</v>
      </c>
      <c r="N158" s="84" t="s">
        <v>494</v>
      </c>
      <c r="O158" s="84" t="s">
        <v>495</v>
      </c>
      <c r="P158" s="107" t="s">
        <v>15</v>
      </c>
      <c r="Q158" s="107"/>
      <c r="R158" s="107"/>
    </row>
    <row r="159" spans="1:18" ht="20.100000000000001" customHeight="1" x14ac:dyDescent="0.25">
      <c r="A159" s="89">
        <v>1</v>
      </c>
      <c r="B159" s="136">
        <f t="shared" si="12"/>
        <v>525</v>
      </c>
      <c r="C159" s="136"/>
      <c r="D159" s="136"/>
      <c r="E159" s="100"/>
      <c r="F159" s="100"/>
      <c r="G159" s="100"/>
      <c r="H159" s="100"/>
      <c r="I159" s="100">
        <f>$J$138</f>
        <v>0.15</v>
      </c>
      <c r="J159" s="100">
        <f>$J$139</f>
        <v>0.1</v>
      </c>
      <c r="K159" s="100">
        <f>$J$140</f>
        <v>0.05</v>
      </c>
      <c r="L159" s="100">
        <f>$J$141</f>
        <v>0.15</v>
      </c>
      <c r="M159" s="100">
        <f>$J$142</f>
        <v>0.1</v>
      </c>
      <c r="N159" s="100">
        <f>$J$143</f>
        <v>0.3</v>
      </c>
      <c r="O159" s="100">
        <f>$J$144</f>
        <v>0.05</v>
      </c>
      <c r="P159" s="131">
        <f>1+(SUM(I159:O159))</f>
        <v>1.9</v>
      </c>
      <c r="Q159" s="131"/>
      <c r="R159" s="131"/>
    </row>
    <row r="160" spans="1:18" ht="20.100000000000001" customHeight="1" x14ac:dyDescent="0.25">
      <c r="A160" s="89">
        <v>2</v>
      </c>
      <c r="B160" s="134">
        <f t="shared" si="12"/>
        <v>540.00000000000023</v>
      </c>
      <c r="C160" s="134"/>
      <c r="D160" s="134"/>
      <c r="E160" s="100"/>
      <c r="F160" s="100"/>
      <c r="G160" s="100"/>
      <c r="H160" s="100"/>
      <c r="I160" s="100">
        <f t="shared" ref="I160:I163" si="13">$J$138</f>
        <v>0.15</v>
      </c>
      <c r="J160" s="100">
        <f t="shared" ref="J160:J163" si="14">$J$139</f>
        <v>0.1</v>
      </c>
      <c r="K160" s="100">
        <f t="shared" ref="K160:K163" si="15">$J$140</f>
        <v>0.05</v>
      </c>
      <c r="L160" s="100">
        <f t="shared" ref="L160:L163" si="16">$J$141</f>
        <v>0.15</v>
      </c>
      <c r="M160" s="100">
        <f t="shared" ref="M160:M163" si="17">$J$142</f>
        <v>0.1</v>
      </c>
      <c r="N160" s="100">
        <f t="shared" ref="N160:N163" si="18">$J$143</f>
        <v>0.3</v>
      </c>
      <c r="O160" s="100">
        <f t="shared" ref="O160:O163" si="19">$J$144</f>
        <v>0.05</v>
      </c>
      <c r="P160" s="132">
        <f>1+(SUM(I160:O160))</f>
        <v>1.9</v>
      </c>
      <c r="Q160" s="132"/>
      <c r="R160" s="132"/>
    </row>
    <row r="161" spans="1:18" ht="20.100000000000001" customHeight="1" x14ac:dyDescent="0.25">
      <c r="A161" s="85">
        <v>3</v>
      </c>
      <c r="B161" s="136">
        <f t="shared" si="12"/>
        <v>511.57894736842115</v>
      </c>
      <c r="C161" s="136"/>
      <c r="D161" s="136"/>
      <c r="E161" s="100"/>
      <c r="F161" s="100"/>
      <c r="G161" s="100"/>
      <c r="H161" s="100"/>
      <c r="I161" s="100">
        <f t="shared" si="13"/>
        <v>0.15</v>
      </c>
      <c r="J161" s="100">
        <f t="shared" si="14"/>
        <v>0.1</v>
      </c>
      <c r="K161" s="100">
        <f t="shared" si="15"/>
        <v>0.05</v>
      </c>
      <c r="L161" s="100">
        <f t="shared" si="16"/>
        <v>0.15</v>
      </c>
      <c r="M161" s="100">
        <f t="shared" si="17"/>
        <v>0.1</v>
      </c>
      <c r="N161" s="100">
        <f t="shared" si="18"/>
        <v>0.3</v>
      </c>
      <c r="O161" s="100">
        <f t="shared" si="19"/>
        <v>0.05</v>
      </c>
      <c r="P161" s="132">
        <f>1+(SUM(I161:O161))</f>
        <v>1.9</v>
      </c>
      <c r="Q161" s="132"/>
      <c r="R161" s="132"/>
    </row>
    <row r="162" spans="1:18" ht="20.100000000000001" customHeight="1" x14ac:dyDescent="0.25">
      <c r="A162" s="85">
        <v>4</v>
      </c>
      <c r="B162" s="134">
        <f t="shared" si="12"/>
        <v>520.71428571428601</v>
      </c>
      <c r="C162" s="134"/>
      <c r="D162" s="134"/>
      <c r="E162" s="100"/>
      <c r="F162" s="100"/>
      <c r="G162" s="100"/>
      <c r="H162" s="100"/>
      <c r="I162" s="100">
        <f t="shared" si="13"/>
        <v>0.15</v>
      </c>
      <c r="J162" s="100">
        <f t="shared" si="14"/>
        <v>0.1</v>
      </c>
      <c r="K162" s="100">
        <f t="shared" si="15"/>
        <v>0.05</v>
      </c>
      <c r="L162" s="100">
        <f t="shared" si="16"/>
        <v>0.15</v>
      </c>
      <c r="M162" s="100">
        <f t="shared" si="17"/>
        <v>0.1</v>
      </c>
      <c r="N162" s="100">
        <f t="shared" si="18"/>
        <v>0.3</v>
      </c>
      <c r="O162" s="100">
        <f t="shared" si="19"/>
        <v>0.05</v>
      </c>
      <c r="P162" s="132">
        <f>1+(SUM(I162:O162))</f>
        <v>1.9</v>
      </c>
      <c r="Q162" s="132"/>
      <c r="R162" s="132"/>
    </row>
    <row r="163" spans="1:18" ht="20.100000000000001" customHeight="1" thickBot="1" x14ac:dyDescent="0.3">
      <c r="A163" s="93">
        <v>5</v>
      </c>
      <c r="B163" s="135">
        <f t="shared" si="12"/>
        <v>513.00000000000023</v>
      </c>
      <c r="C163" s="135"/>
      <c r="D163" s="135"/>
      <c r="E163" s="102"/>
      <c r="F163" s="102"/>
      <c r="G163" s="102"/>
      <c r="H163" s="102"/>
      <c r="I163" s="102">
        <f t="shared" si="13"/>
        <v>0.15</v>
      </c>
      <c r="J163" s="102">
        <f t="shared" si="14"/>
        <v>0.1</v>
      </c>
      <c r="K163" s="102">
        <f t="shared" si="15"/>
        <v>0.05</v>
      </c>
      <c r="L163" s="102">
        <f t="shared" si="16"/>
        <v>0.15</v>
      </c>
      <c r="M163" s="102">
        <f t="shared" si="17"/>
        <v>0.1</v>
      </c>
      <c r="N163" s="102">
        <f t="shared" si="18"/>
        <v>0.3</v>
      </c>
      <c r="O163" s="102">
        <f t="shared" si="19"/>
        <v>0.05</v>
      </c>
      <c r="P163" s="133">
        <f>1+(SUM(I163:O163))</f>
        <v>1.9</v>
      </c>
      <c r="Q163" s="133"/>
      <c r="R163" s="133"/>
    </row>
    <row r="165" spans="1:18" ht="39.950000000000003" customHeight="1" x14ac:dyDescent="0.25">
      <c r="A165" s="84" t="s">
        <v>17</v>
      </c>
      <c r="B165" s="108" t="str">
        <f>B158</f>
        <v>Valor unitário homogeneizado</v>
      </c>
      <c r="C165" s="108"/>
      <c r="D165" s="108"/>
      <c r="E165" s="108"/>
      <c r="F165" s="107" t="s">
        <v>497</v>
      </c>
      <c r="G165" s="107"/>
      <c r="H165" s="107"/>
      <c r="I165" s="107" t="s">
        <v>498</v>
      </c>
      <c r="J165" s="107"/>
      <c r="K165" s="107"/>
      <c r="L165" s="107" t="s">
        <v>23</v>
      </c>
      <c r="M165" s="107"/>
      <c r="N165" s="107"/>
      <c r="O165" s="108" t="s">
        <v>42</v>
      </c>
      <c r="P165" s="108"/>
      <c r="Q165" s="108"/>
      <c r="R165" s="108"/>
    </row>
    <row r="166" spans="1:18" ht="20.100000000000001" customHeight="1" x14ac:dyDescent="0.25">
      <c r="A166" s="89">
        <v>1</v>
      </c>
      <c r="B166" s="134">
        <f>B159</f>
        <v>525</v>
      </c>
      <c r="C166" s="134"/>
      <c r="D166" s="134"/>
      <c r="E166" s="134"/>
      <c r="F166" s="157">
        <f>P159</f>
        <v>1.9</v>
      </c>
      <c r="G166" s="157"/>
      <c r="H166" s="157"/>
      <c r="I166" s="157">
        <f>$P$152</f>
        <v>1.9</v>
      </c>
      <c r="J166" s="157"/>
      <c r="K166" s="157"/>
      <c r="L166" s="157">
        <f>I166/F166</f>
        <v>1</v>
      </c>
      <c r="M166" s="157"/>
      <c r="N166" s="157"/>
      <c r="O166" s="134">
        <f>B166*L166</f>
        <v>525</v>
      </c>
      <c r="P166" s="134"/>
      <c r="Q166" s="134"/>
      <c r="R166" s="134"/>
    </row>
    <row r="167" spans="1:18" ht="20.100000000000001" customHeight="1" x14ac:dyDescent="0.25">
      <c r="A167" s="89">
        <v>2</v>
      </c>
      <c r="B167" s="134">
        <f t="shared" ref="B167:B170" si="20">B160</f>
        <v>540.00000000000023</v>
      </c>
      <c r="C167" s="134"/>
      <c r="D167" s="134"/>
      <c r="E167" s="134"/>
      <c r="F167" s="157">
        <f>P160</f>
        <v>1.9</v>
      </c>
      <c r="G167" s="157"/>
      <c r="H167" s="157"/>
      <c r="I167" s="157">
        <f t="shared" ref="I167:I170" si="21">$P$152</f>
        <v>1.9</v>
      </c>
      <c r="J167" s="157"/>
      <c r="K167" s="157"/>
      <c r="L167" s="157">
        <f t="shared" ref="L167:L170" si="22">I167/F167</f>
        <v>1</v>
      </c>
      <c r="M167" s="157"/>
      <c r="N167" s="157"/>
      <c r="O167" s="134">
        <f>B167*L167</f>
        <v>540.00000000000023</v>
      </c>
      <c r="P167" s="134"/>
      <c r="Q167" s="134"/>
      <c r="R167" s="134"/>
    </row>
    <row r="168" spans="1:18" ht="20.100000000000001" customHeight="1" x14ac:dyDescent="0.25">
      <c r="A168" s="85">
        <v>3</v>
      </c>
      <c r="B168" s="134">
        <f t="shared" si="20"/>
        <v>511.57894736842115</v>
      </c>
      <c r="C168" s="134"/>
      <c r="D168" s="134"/>
      <c r="E168" s="134"/>
      <c r="F168" s="157">
        <f>P161</f>
        <v>1.9</v>
      </c>
      <c r="G168" s="157"/>
      <c r="H168" s="157"/>
      <c r="I168" s="157">
        <f t="shared" si="21"/>
        <v>1.9</v>
      </c>
      <c r="J168" s="157"/>
      <c r="K168" s="157"/>
      <c r="L168" s="157">
        <f t="shared" ref="L168:L169" si="23">I168/F168</f>
        <v>1</v>
      </c>
      <c r="M168" s="157"/>
      <c r="N168" s="157"/>
      <c r="O168" s="134">
        <f>B168*L168</f>
        <v>511.57894736842115</v>
      </c>
      <c r="P168" s="134"/>
      <c r="Q168" s="134"/>
      <c r="R168" s="134"/>
    </row>
    <row r="169" spans="1:18" ht="20.100000000000001" customHeight="1" x14ac:dyDescent="0.25">
      <c r="A169" s="85">
        <v>4</v>
      </c>
      <c r="B169" s="134">
        <f t="shared" si="20"/>
        <v>520.71428571428601</v>
      </c>
      <c r="C169" s="134"/>
      <c r="D169" s="134"/>
      <c r="E169" s="134"/>
      <c r="F169" s="157">
        <f>P162</f>
        <v>1.9</v>
      </c>
      <c r="G169" s="157"/>
      <c r="H169" s="157"/>
      <c r="I169" s="157">
        <f t="shared" si="21"/>
        <v>1.9</v>
      </c>
      <c r="J169" s="157"/>
      <c r="K169" s="157"/>
      <c r="L169" s="157">
        <f t="shared" si="23"/>
        <v>1</v>
      </c>
      <c r="M169" s="157"/>
      <c r="N169" s="157"/>
      <c r="O169" s="134">
        <f>B169*L169</f>
        <v>520.71428571428601</v>
      </c>
      <c r="P169" s="134"/>
      <c r="Q169" s="134"/>
      <c r="R169" s="134"/>
    </row>
    <row r="170" spans="1:18" ht="20.100000000000001" customHeight="1" thickBot="1" x14ac:dyDescent="0.3">
      <c r="A170" s="93">
        <v>5</v>
      </c>
      <c r="B170" s="135">
        <f t="shared" si="20"/>
        <v>513.00000000000023</v>
      </c>
      <c r="C170" s="135"/>
      <c r="D170" s="135"/>
      <c r="E170" s="135"/>
      <c r="F170" s="209">
        <f>P163</f>
        <v>1.9</v>
      </c>
      <c r="G170" s="209"/>
      <c r="H170" s="209"/>
      <c r="I170" s="209">
        <f t="shared" si="21"/>
        <v>1.9</v>
      </c>
      <c r="J170" s="209"/>
      <c r="K170" s="209"/>
      <c r="L170" s="209">
        <f t="shared" si="22"/>
        <v>1</v>
      </c>
      <c r="M170" s="209"/>
      <c r="N170" s="209"/>
      <c r="O170" s="135">
        <f>B170*L170</f>
        <v>513.00000000000023</v>
      </c>
      <c r="P170" s="135"/>
      <c r="Q170" s="135"/>
      <c r="R170" s="135"/>
    </row>
    <row r="172" spans="1:18" ht="20.100000000000001" customHeight="1" x14ac:dyDescent="0.25">
      <c r="L172" s="120" t="s">
        <v>36</v>
      </c>
      <c r="M172" s="120"/>
      <c r="N172" s="120"/>
      <c r="O172" s="120"/>
      <c r="P172" s="143">
        <f>AVERAGE(O166:R170)</f>
        <v>522.05864661654141</v>
      </c>
      <c r="Q172" s="143"/>
      <c r="R172" s="143"/>
    </row>
    <row r="173" spans="1:18" ht="20.100000000000001" customHeight="1" x14ac:dyDescent="0.25">
      <c r="L173" s="138" t="s">
        <v>37</v>
      </c>
      <c r="M173" s="138"/>
      <c r="N173" s="138"/>
      <c r="O173" s="138"/>
      <c r="P173" s="143">
        <f>STDEVA(O166:R170)</f>
        <v>11.448080647497976</v>
      </c>
      <c r="Q173" s="143"/>
      <c r="R173" s="143"/>
    </row>
    <row r="174" spans="1:18" ht="20.100000000000001" customHeight="1" x14ac:dyDescent="0.25">
      <c r="L174" s="130" t="s">
        <v>35</v>
      </c>
      <c r="M174" s="130"/>
      <c r="N174" s="130"/>
      <c r="O174" s="130"/>
      <c r="P174" s="145">
        <f>P173/P172</f>
        <v>2.192872529110074E-2</v>
      </c>
      <c r="Q174" s="145"/>
      <c r="R174" s="145"/>
    </row>
    <row r="177" spans="1:24" ht="20.100000000000001" customHeight="1" x14ac:dyDescent="0.25">
      <c r="A177" s="111" t="s">
        <v>49</v>
      </c>
      <c r="B177" s="111"/>
      <c r="C177" s="111"/>
      <c r="D177" s="111"/>
      <c r="E177" s="111"/>
      <c r="F177" s="111"/>
      <c r="G177" s="111"/>
      <c r="H177" s="111"/>
      <c r="I177" s="111"/>
      <c r="J177" s="111"/>
      <c r="K177" s="111"/>
      <c r="L177" s="111"/>
      <c r="M177" s="111"/>
      <c r="N177" s="111"/>
      <c r="O177" s="111"/>
      <c r="P177" s="111"/>
      <c r="Q177" s="111"/>
      <c r="R177" s="111"/>
    </row>
    <row r="179" spans="1:24" ht="20.100000000000001" customHeight="1" x14ac:dyDescent="0.25">
      <c r="A179" s="84" t="s">
        <v>17</v>
      </c>
      <c r="B179" s="107" t="s">
        <v>32</v>
      </c>
      <c r="C179" s="107"/>
      <c r="D179" s="107"/>
      <c r="E179" s="107"/>
      <c r="F179" s="107"/>
      <c r="L179" s="120" t="s">
        <v>43</v>
      </c>
      <c r="M179" s="120"/>
      <c r="N179" s="120"/>
      <c r="O179" s="120"/>
      <c r="P179" s="120"/>
      <c r="Q179" s="176">
        <v>0.3</v>
      </c>
      <c r="R179" s="176"/>
    </row>
    <row r="180" spans="1:24" ht="20.100000000000001" customHeight="1" x14ac:dyDescent="0.25">
      <c r="A180" s="89">
        <v>1</v>
      </c>
      <c r="B180" s="212">
        <f>O166</f>
        <v>525</v>
      </c>
      <c r="C180" s="212"/>
      <c r="D180" s="212"/>
      <c r="E180" s="212"/>
      <c r="F180" s="212"/>
      <c r="G180" s="66">
        <f>A180</f>
        <v>1</v>
      </c>
    </row>
    <row r="181" spans="1:24" ht="20.100000000000001" customHeight="1" x14ac:dyDescent="0.25">
      <c r="A181" s="89">
        <v>2</v>
      </c>
      <c r="B181" s="149">
        <f>O167</f>
        <v>540.00000000000023</v>
      </c>
      <c r="C181" s="149"/>
      <c r="D181" s="149"/>
      <c r="E181" s="149"/>
      <c r="F181" s="149"/>
      <c r="G181" s="66">
        <f t="shared" ref="G181:G184" si="24">A181</f>
        <v>2</v>
      </c>
      <c r="L181" s="120" t="s">
        <v>36</v>
      </c>
      <c r="M181" s="120"/>
      <c r="N181" s="120"/>
      <c r="O181" s="120"/>
      <c r="P181" s="143">
        <f>AVERAGE(B180:B184)</f>
        <v>522.05864661654141</v>
      </c>
      <c r="Q181" s="143"/>
      <c r="R181" s="143"/>
    </row>
    <row r="182" spans="1:24" ht="20.100000000000001" customHeight="1" x14ac:dyDescent="0.25">
      <c r="A182" s="89">
        <v>3</v>
      </c>
      <c r="B182" s="149">
        <f>O168</f>
        <v>511.57894736842115</v>
      </c>
      <c r="C182" s="149"/>
      <c r="D182" s="149"/>
      <c r="E182" s="149"/>
      <c r="F182" s="149"/>
      <c r="G182" s="66">
        <f t="shared" si="24"/>
        <v>3</v>
      </c>
      <c r="L182" s="120" t="s">
        <v>45</v>
      </c>
      <c r="M182" s="120"/>
      <c r="N182" s="120"/>
      <c r="O182" s="120"/>
      <c r="P182" s="143">
        <f>P181*(1+Q179)</f>
        <v>678.67624060150388</v>
      </c>
      <c r="Q182" s="143"/>
      <c r="R182" s="143"/>
    </row>
    <row r="183" spans="1:24" ht="20.100000000000001" customHeight="1" x14ac:dyDescent="0.25">
      <c r="A183" s="89">
        <v>4</v>
      </c>
      <c r="B183" s="149">
        <f>O169</f>
        <v>520.71428571428601</v>
      </c>
      <c r="C183" s="149"/>
      <c r="D183" s="149"/>
      <c r="E183" s="149"/>
      <c r="F183" s="149"/>
      <c r="G183" s="66">
        <f t="shared" si="24"/>
        <v>4</v>
      </c>
      <c r="L183" s="120" t="s">
        <v>44</v>
      </c>
      <c r="M183" s="120"/>
      <c r="N183" s="120"/>
      <c r="O183" s="120"/>
      <c r="P183" s="143">
        <f>P181*(1-Q179)</f>
        <v>365.44105263157894</v>
      </c>
      <c r="Q183" s="143"/>
      <c r="R183" s="143"/>
    </row>
    <row r="184" spans="1:24" ht="20.100000000000001" customHeight="1" x14ac:dyDescent="0.25">
      <c r="A184" s="89">
        <v>5</v>
      </c>
      <c r="B184" s="149">
        <f>O170</f>
        <v>513.00000000000023</v>
      </c>
      <c r="C184" s="149"/>
      <c r="D184" s="149"/>
      <c r="E184" s="149"/>
      <c r="F184" s="149"/>
      <c r="G184" s="66">
        <f t="shared" si="24"/>
        <v>5</v>
      </c>
      <c r="L184" s="120" t="s">
        <v>47</v>
      </c>
      <c r="M184" s="120"/>
      <c r="N184" s="120"/>
      <c r="O184" s="120"/>
      <c r="P184" s="143">
        <f>MAX(B180:B184)</f>
        <v>540.00000000000023</v>
      </c>
      <c r="Q184" s="143"/>
      <c r="R184" s="143"/>
    </row>
    <row r="185" spans="1:24" ht="20.100000000000001" customHeight="1" x14ac:dyDescent="0.25">
      <c r="L185" s="120" t="s">
        <v>46</v>
      </c>
      <c r="M185" s="120"/>
      <c r="N185" s="120"/>
      <c r="O185" s="120"/>
      <c r="P185" s="143">
        <f>MIN(B180:B184)</f>
        <v>511.57894736842115</v>
      </c>
      <c r="Q185" s="143"/>
      <c r="R185" s="143"/>
    </row>
    <row r="186" spans="1:24" ht="20.100000000000001" customHeight="1" x14ac:dyDescent="0.25">
      <c r="L186" s="138"/>
      <c r="M186" s="138"/>
      <c r="N186" s="138"/>
      <c r="O186" s="138"/>
      <c r="P186" s="136"/>
      <c r="Q186" s="136"/>
      <c r="R186" s="136"/>
      <c r="V186" s="72"/>
    </row>
    <row r="187" spans="1:24" ht="20.100000000000001" customHeight="1" x14ac:dyDescent="0.25">
      <c r="L187" s="120" t="s">
        <v>51</v>
      </c>
      <c r="M187" s="120"/>
      <c r="N187" s="120" t="str">
        <f>IF(P187="Nada a excluir","",X189)</f>
        <v/>
      </c>
      <c r="O187" s="120"/>
      <c r="P187" s="143" t="str" cm="1">
        <f t="array" ref="P187">_xlfn.IFS(AND(OR(P184&gt;P182,P185&lt;P183),(P184-P181)&gt;(P181-P185)),P184,AND(OR(P185&lt;P183,P184&gt;P182),(P181-P185)&gt;(P184-P181)),P185,AND(P184&lt;=P182,P185&gt;=P183),"Nada a excluir")</f>
        <v>Nada a excluir</v>
      </c>
      <c r="Q187" s="143"/>
      <c r="R187" s="143"/>
      <c r="V187" s="72"/>
    </row>
    <row r="188" spans="1:24" ht="20.100000000000001" customHeight="1" x14ac:dyDescent="0.25">
      <c r="L188" s="130" t="s">
        <v>50</v>
      </c>
      <c r="M188" s="130"/>
      <c r="N188" s="130"/>
      <c r="O188" s="130"/>
      <c r="P188" s="165" t="str">
        <f>IF(P187="Nada a excluir","Encerrar","Continuar")</f>
        <v>Encerrar</v>
      </c>
      <c r="Q188" s="165"/>
      <c r="R188" s="165"/>
    </row>
    <row r="189" spans="1:24" ht="20.100000000000001" customHeight="1" x14ac:dyDescent="0.25">
      <c r="X189" s="66" t="e">
        <f>VLOOKUP(P187,B180:G184,6,0)</f>
        <v>#N/A</v>
      </c>
    </row>
    <row r="190" spans="1:24" ht="20.100000000000001" customHeight="1" x14ac:dyDescent="0.25">
      <c r="L190" s="120" t="s">
        <v>48</v>
      </c>
      <c r="M190" s="120"/>
      <c r="N190" s="120"/>
      <c r="O190" s="120"/>
      <c r="P190" s="121">
        <f>STDEVA(B180:B184)</f>
        <v>11.448080647497976</v>
      </c>
      <c r="Q190" s="122"/>
      <c r="R190" s="122"/>
    </row>
    <row r="191" spans="1:24" ht="20.100000000000001" customHeight="1" x14ac:dyDescent="0.25">
      <c r="L191" s="130" t="s">
        <v>35</v>
      </c>
      <c r="M191" s="130"/>
      <c r="N191" s="130"/>
      <c r="O191" s="130"/>
      <c r="P191" s="164">
        <f>P190/P181</f>
        <v>2.192872529110074E-2</v>
      </c>
      <c r="Q191" s="164"/>
      <c r="R191" s="164"/>
    </row>
    <row r="194" spans="16:25" ht="20.100000000000001" customHeight="1" x14ac:dyDescent="0.25">
      <c r="P194" s="103"/>
      <c r="Q194" s="103"/>
      <c r="R194" s="103"/>
    </row>
    <row r="195" spans="16:25" ht="20.100000000000001" customHeight="1" x14ac:dyDescent="0.25">
      <c r="P195" s="103"/>
      <c r="Q195" s="103"/>
      <c r="R195" s="103"/>
    </row>
    <row r="196" spans="16:25" ht="20.100000000000001" customHeight="1" x14ac:dyDescent="0.25">
      <c r="P196" s="103"/>
      <c r="Q196" s="103"/>
      <c r="R196" s="103"/>
    </row>
    <row r="197" spans="16:25" ht="20.100000000000001" customHeight="1" x14ac:dyDescent="0.25">
      <c r="P197" s="103"/>
      <c r="Q197" s="103"/>
      <c r="R197" s="103"/>
      <c r="W197" s="66" t="s">
        <v>44</v>
      </c>
      <c r="X197" s="66" t="s">
        <v>45</v>
      </c>
      <c r="Y197" s="66" t="s">
        <v>36</v>
      </c>
    </row>
    <row r="198" spans="16:25" ht="20.100000000000001" customHeight="1" x14ac:dyDescent="0.25">
      <c r="P198" s="103"/>
      <c r="Q198" s="103"/>
      <c r="R198" s="103"/>
      <c r="W198" s="72">
        <f>$P$183</f>
        <v>365.44105263157894</v>
      </c>
      <c r="X198" s="72">
        <f>$P$182</f>
        <v>678.67624060150388</v>
      </c>
      <c r="Y198" s="72">
        <f>$P$181</f>
        <v>522.05864661654141</v>
      </c>
    </row>
    <row r="199" spans="16:25" ht="20.100000000000001" customHeight="1" x14ac:dyDescent="0.25">
      <c r="P199" s="103"/>
      <c r="Q199" s="103"/>
      <c r="R199" s="103"/>
      <c r="W199" s="72">
        <f>$P$183</f>
        <v>365.44105263157894</v>
      </c>
      <c r="X199" s="72">
        <f>$P$182</f>
        <v>678.67624060150388</v>
      </c>
      <c r="Y199" s="72">
        <f t="shared" ref="Y199:Y202" si="25">$P$181</f>
        <v>522.05864661654141</v>
      </c>
    </row>
    <row r="200" spans="16:25" ht="20.100000000000001" customHeight="1" x14ac:dyDescent="0.25">
      <c r="P200" s="103"/>
      <c r="Q200" s="103"/>
      <c r="R200" s="103"/>
      <c r="W200" s="72">
        <f>$P$183</f>
        <v>365.44105263157894</v>
      </c>
      <c r="X200" s="72">
        <f>$P$182</f>
        <v>678.67624060150388</v>
      </c>
      <c r="Y200" s="72">
        <f t="shared" si="25"/>
        <v>522.05864661654141</v>
      </c>
    </row>
    <row r="201" spans="16:25" ht="20.100000000000001" customHeight="1" x14ac:dyDescent="0.25">
      <c r="P201" s="103"/>
      <c r="Q201" s="103"/>
      <c r="R201" s="103"/>
      <c r="W201" s="72">
        <f>$P$183</f>
        <v>365.44105263157894</v>
      </c>
      <c r="X201" s="72">
        <f>$P$182</f>
        <v>678.67624060150388</v>
      </c>
      <c r="Y201" s="72">
        <f t="shared" si="25"/>
        <v>522.05864661654141</v>
      </c>
    </row>
    <row r="202" spans="16:25" ht="20.100000000000001" customHeight="1" x14ac:dyDescent="0.25">
      <c r="P202" s="103"/>
      <c r="Q202" s="103"/>
      <c r="R202" s="103"/>
      <c r="W202" s="72">
        <f>$P$183</f>
        <v>365.44105263157894</v>
      </c>
      <c r="X202" s="72">
        <f>$P$182</f>
        <v>678.67624060150388</v>
      </c>
      <c r="Y202" s="72">
        <f t="shared" si="25"/>
        <v>522.05864661654141</v>
      </c>
    </row>
    <row r="203" spans="16:25" ht="20.100000000000001" customHeight="1" x14ac:dyDescent="0.25">
      <c r="P203" s="103"/>
      <c r="Q203" s="103"/>
      <c r="R203" s="103"/>
      <c r="W203" s="72"/>
      <c r="X203" s="72"/>
      <c r="Y203" s="72"/>
    </row>
    <row r="204" spans="16:25" ht="20.100000000000001" customHeight="1" x14ac:dyDescent="0.25">
      <c r="P204" s="103"/>
      <c r="Q204" s="103"/>
      <c r="R204" s="103"/>
      <c r="W204" s="72"/>
      <c r="X204" s="72"/>
      <c r="Y204" s="72"/>
    </row>
    <row r="205" spans="16:25" ht="20.100000000000001" customHeight="1" x14ac:dyDescent="0.25">
      <c r="P205" s="103"/>
      <c r="Q205" s="103"/>
      <c r="R205" s="103"/>
    </row>
    <row r="206" spans="16:25" ht="20.100000000000001" customHeight="1" x14ac:dyDescent="0.25">
      <c r="P206" s="103"/>
      <c r="Q206" s="103"/>
      <c r="R206" s="103"/>
    </row>
    <row r="211" spans="1:30" ht="20.100000000000001" customHeight="1" x14ac:dyDescent="0.25">
      <c r="A211" s="111" t="s">
        <v>52</v>
      </c>
      <c r="B211" s="111"/>
      <c r="C211" s="111"/>
      <c r="D211" s="111"/>
      <c r="E211" s="111"/>
      <c r="F211" s="111"/>
      <c r="G211" s="111"/>
      <c r="H211" s="111"/>
      <c r="I211" s="111"/>
      <c r="J211" s="111"/>
      <c r="K211" s="111"/>
      <c r="L211" s="111"/>
      <c r="M211" s="111"/>
      <c r="N211" s="111"/>
      <c r="O211" s="111"/>
      <c r="P211" s="111"/>
      <c r="Q211" s="111"/>
      <c r="R211" s="111"/>
    </row>
    <row r="213" spans="1:30" ht="20.100000000000001" customHeight="1" x14ac:dyDescent="0.25">
      <c r="A213" s="84" t="s">
        <v>17</v>
      </c>
      <c r="B213" s="107" t="s">
        <v>32</v>
      </c>
      <c r="C213" s="107"/>
      <c r="D213" s="107"/>
      <c r="E213" s="107"/>
      <c r="F213" s="107"/>
      <c r="L213" s="120" t="s">
        <v>244</v>
      </c>
      <c r="M213" s="120"/>
      <c r="N213" s="120"/>
      <c r="O213" s="120"/>
      <c r="P213" s="120"/>
      <c r="Q213" s="211">
        <v>5</v>
      </c>
      <c r="R213" s="211"/>
      <c r="S213" s="119" t="s">
        <v>259</v>
      </c>
      <c r="T213" s="119"/>
      <c r="U213" s="119"/>
      <c r="AD213" s="66" t="s">
        <v>44</v>
      </c>
    </row>
    <row r="214" spans="1:30" ht="20.100000000000001" customHeight="1" x14ac:dyDescent="0.25">
      <c r="A214" s="89">
        <v>1</v>
      </c>
      <c r="B214" s="212">
        <f>O166</f>
        <v>525</v>
      </c>
      <c r="C214" s="212"/>
      <c r="D214" s="212"/>
      <c r="E214" s="212"/>
      <c r="F214" s="212"/>
      <c r="G214" s="66">
        <f>A214</f>
        <v>1</v>
      </c>
      <c r="L214" s="120" t="s">
        <v>53</v>
      </c>
      <c r="M214" s="120"/>
      <c r="N214" s="120"/>
      <c r="O214" s="120"/>
      <c r="P214" s="120"/>
      <c r="Q214" s="169">
        <f>_xlfn.NORM.S.INV(1-((1/Q213)/4))</f>
        <v>1.6448536269514715</v>
      </c>
      <c r="R214" s="169"/>
      <c r="Y214" s="104"/>
      <c r="AB214" s="72"/>
      <c r="AC214" s="72"/>
      <c r="AD214" s="72">
        <f>$P$220</f>
        <v>503.22822964187139</v>
      </c>
    </row>
    <row r="215" spans="1:30" ht="20.100000000000001" customHeight="1" x14ac:dyDescent="0.25">
      <c r="A215" s="89">
        <v>2</v>
      </c>
      <c r="B215" s="149">
        <f>O167</f>
        <v>540.00000000000023</v>
      </c>
      <c r="C215" s="149"/>
      <c r="D215" s="149"/>
      <c r="E215" s="149"/>
      <c r="F215" s="149"/>
      <c r="G215" s="66">
        <f t="shared" ref="G215:G218" si="26">A215</f>
        <v>2</v>
      </c>
      <c r="AB215" s="72"/>
      <c r="AC215" s="72"/>
      <c r="AD215" s="72">
        <f>$P$220</f>
        <v>503.22822964187139</v>
      </c>
    </row>
    <row r="216" spans="1:30" ht="20.100000000000001" customHeight="1" x14ac:dyDescent="0.25">
      <c r="A216" s="89">
        <v>3</v>
      </c>
      <c r="B216" s="149">
        <f>O168</f>
        <v>511.57894736842115</v>
      </c>
      <c r="C216" s="149"/>
      <c r="D216" s="149"/>
      <c r="E216" s="149"/>
      <c r="F216" s="149"/>
      <c r="G216" s="66">
        <f t="shared" si="26"/>
        <v>3</v>
      </c>
      <c r="L216" s="120" t="s">
        <v>36</v>
      </c>
      <c r="M216" s="120"/>
      <c r="N216" s="120"/>
      <c r="O216" s="120"/>
      <c r="P216" s="143">
        <f>AVERAGE(B214:B218)</f>
        <v>522.05864661654141</v>
      </c>
      <c r="Q216" s="143"/>
      <c r="R216" s="143"/>
      <c r="AB216" s="72"/>
      <c r="AC216" s="72"/>
      <c r="AD216" s="72"/>
    </row>
    <row r="217" spans="1:30" ht="20.100000000000001" customHeight="1" x14ac:dyDescent="0.25">
      <c r="A217" s="89">
        <v>4</v>
      </c>
      <c r="B217" s="149">
        <f>O169</f>
        <v>520.71428571428601</v>
      </c>
      <c r="C217" s="149"/>
      <c r="D217" s="149"/>
      <c r="E217" s="149"/>
      <c r="F217" s="149"/>
      <c r="G217" s="66">
        <f t="shared" si="26"/>
        <v>4</v>
      </c>
      <c r="L217" s="120" t="s">
        <v>37</v>
      </c>
      <c r="M217" s="120"/>
      <c r="N217" s="120"/>
      <c r="O217" s="120"/>
      <c r="P217" s="143">
        <f>STDEVA(B214:F218)</f>
        <v>11.448080647497976</v>
      </c>
      <c r="Q217" s="143"/>
      <c r="R217" s="143"/>
      <c r="AB217" s="72"/>
      <c r="AC217" s="72"/>
      <c r="AD217" s="72"/>
    </row>
    <row r="218" spans="1:30" ht="20.100000000000001" customHeight="1" x14ac:dyDescent="0.25">
      <c r="A218" s="89">
        <v>5</v>
      </c>
      <c r="B218" s="149">
        <f>O170</f>
        <v>513.00000000000023</v>
      </c>
      <c r="C218" s="149"/>
      <c r="D218" s="149"/>
      <c r="E218" s="149"/>
      <c r="F218" s="149"/>
      <c r="G218" s="66">
        <f t="shared" si="26"/>
        <v>5</v>
      </c>
      <c r="AB218" s="72"/>
      <c r="AC218" s="72"/>
      <c r="AD218" s="72">
        <f>$P$220</f>
        <v>503.22822964187139</v>
      </c>
    </row>
    <row r="219" spans="1:30" ht="20.100000000000001" customHeight="1" x14ac:dyDescent="0.25">
      <c r="L219" s="120" t="s">
        <v>45</v>
      </c>
      <c r="M219" s="120"/>
      <c r="N219" s="120"/>
      <c r="O219" s="120"/>
      <c r="P219" s="143">
        <f>P216+(Q214*P217)</f>
        <v>540.88906359121142</v>
      </c>
      <c r="Q219" s="143"/>
      <c r="R219" s="143"/>
      <c r="AB219" s="72"/>
      <c r="AC219" s="72"/>
      <c r="AD219" s="72">
        <f>$P$220</f>
        <v>503.22822964187139</v>
      </c>
    </row>
    <row r="220" spans="1:30" ht="20.100000000000001" customHeight="1" x14ac:dyDescent="0.25">
      <c r="L220" s="120" t="s">
        <v>44</v>
      </c>
      <c r="M220" s="120"/>
      <c r="N220" s="120"/>
      <c r="O220" s="120"/>
      <c r="P220" s="143">
        <f>P216-(Q214*P217)</f>
        <v>503.22822964187139</v>
      </c>
      <c r="Q220" s="143"/>
      <c r="R220" s="143"/>
      <c r="AB220" s="72"/>
      <c r="AC220" s="72"/>
      <c r="AD220" s="72">
        <f>$P$220</f>
        <v>503.22822964187139</v>
      </c>
    </row>
    <row r="221" spans="1:30" ht="20.100000000000001" customHeight="1" x14ac:dyDescent="0.25">
      <c r="L221" s="120" t="s">
        <v>47</v>
      </c>
      <c r="M221" s="120"/>
      <c r="N221" s="120"/>
      <c r="O221" s="120"/>
      <c r="P221" s="143">
        <f>MAX(B214:B218)</f>
        <v>540.00000000000023</v>
      </c>
      <c r="Q221" s="143"/>
      <c r="R221" s="143"/>
      <c r="AB221" s="72"/>
      <c r="AC221" s="72"/>
      <c r="AD221" s="72">
        <f>$P$220</f>
        <v>503.22822964187139</v>
      </c>
    </row>
    <row r="222" spans="1:30" ht="20.100000000000001" customHeight="1" x14ac:dyDescent="0.25">
      <c r="L222" s="120" t="s">
        <v>46</v>
      </c>
      <c r="M222" s="120"/>
      <c r="N222" s="120"/>
      <c r="O222" s="120"/>
      <c r="P222" s="143">
        <f>MIN(B214:B218)</f>
        <v>511.57894736842115</v>
      </c>
      <c r="Q222" s="143"/>
      <c r="R222" s="143"/>
      <c r="AB222" s="72"/>
      <c r="AC222" s="72"/>
      <c r="AD222" s="72">
        <f>$P$220</f>
        <v>503.22822964187139</v>
      </c>
    </row>
    <row r="224" spans="1:30" ht="20.100000000000001" customHeight="1" x14ac:dyDescent="0.25">
      <c r="L224" s="120" t="s">
        <v>51</v>
      </c>
      <c r="M224" s="120"/>
      <c r="N224" s="120" t="str">
        <f>IF(P224="Nada a excluir","",X226)</f>
        <v/>
      </c>
      <c r="O224" s="120"/>
      <c r="P224" s="143" t="str" cm="1">
        <f t="array" ref="P224">_xlfn.IFS(AND(OR(P221&gt;P219,P222&lt;P220),(P221-P216)&gt;(P216-P222)),P221,AND(OR(P222&lt;P220,P221&gt;P219),(P216-P222)&gt;(P221-P216)),P222,AND(P221&lt;=P219,P222&gt;=P220),"Nada a excluir")</f>
        <v>Nada a excluir</v>
      </c>
      <c r="Q224" s="143"/>
      <c r="R224" s="143"/>
    </row>
    <row r="225" spans="12:25" ht="20.100000000000001" customHeight="1" x14ac:dyDescent="0.25">
      <c r="L225" s="130" t="s">
        <v>50</v>
      </c>
      <c r="M225" s="130"/>
      <c r="N225" s="130"/>
      <c r="O225" s="130"/>
      <c r="P225" s="165" t="str">
        <f>IF(P224="Nada a excluir","Encerrar","Continuar")</f>
        <v>Encerrar</v>
      </c>
      <c r="Q225" s="165"/>
      <c r="R225" s="165"/>
    </row>
    <row r="226" spans="12:25" ht="20.100000000000001" customHeight="1" x14ac:dyDescent="0.25">
      <c r="X226" s="66" t="e">
        <f>VLOOKUP(P224,B214:G218,6,0)</f>
        <v>#N/A</v>
      </c>
    </row>
    <row r="227" spans="12:25" ht="20.100000000000001" customHeight="1" x14ac:dyDescent="0.25">
      <c r="L227" s="120" t="s">
        <v>48</v>
      </c>
      <c r="M227" s="120"/>
      <c r="N227" s="120"/>
      <c r="O227" s="120"/>
      <c r="P227" s="121">
        <f>P217</f>
        <v>11.448080647497976</v>
      </c>
      <c r="Q227" s="122"/>
      <c r="R227" s="122"/>
    </row>
    <row r="228" spans="12:25" ht="20.100000000000001" customHeight="1" x14ac:dyDescent="0.25">
      <c r="L228" s="130" t="s">
        <v>35</v>
      </c>
      <c r="M228" s="130"/>
      <c r="N228" s="130"/>
      <c r="O228" s="130"/>
      <c r="P228" s="164">
        <f>P217/P216</f>
        <v>2.192872529110074E-2</v>
      </c>
      <c r="Q228" s="164"/>
      <c r="R228" s="164"/>
    </row>
    <row r="233" spans="12:25" ht="20.100000000000001" customHeight="1" x14ac:dyDescent="0.25">
      <c r="W233" s="66" t="s">
        <v>44</v>
      </c>
      <c r="X233" s="66" t="s">
        <v>45</v>
      </c>
      <c r="Y233" s="66" t="s">
        <v>36</v>
      </c>
    </row>
    <row r="234" spans="12:25" ht="20.100000000000001" customHeight="1" x14ac:dyDescent="0.25">
      <c r="W234" s="72">
        <f>$P$220</f>
        <v>503.22822964187139</v>
      </c>
      <c r="X234" s="72">
        <f>$P$219</f>
        <v>540.88906359121142</v>
      </c>
      <c r="Y234" s="72">
        <f>$P$181</f>
        <v>522.05864661654141</v>
      </c>
    </row>
    <row r="235" spans="12:25" ht="20.100000000000001" customHeight="1" x14ac:dyDescent="0.25">
      <c r="W235" s="72">
        <f>$P$220</f>
        <v>503.22822964187139</v>
      </c>
      <c r="X235" s="72">
        <f>$P$219</f>
        <v>540.88906359121142</v>
      </c>
      <c r="Y235" s="72">
        <f t="shared" ref="Y235:Y238" si="27">$P$181</f>
        <v>522.05864661654141</v>
      </c>
    </row>
    <row r="236" spans="12:25" ht="20.100000000000001" customHeight="1" x14ac:dyDescent="0.25">
      <c r="W236" s="72">
        <f>$P$220</f>
        <v>503.22822964187139</v>
      </c>
      <c r="X236" s="72">
        <f>$P$219</f>
        <v>540.88906359121142</v>
      </c>
      <c r="Y236" s="72">
        <f t="shared" si="27"/>
        <v>522.05864661654141</v>
      </c>
    </row>
    <row r="237" spans="12:25" ht="20.100000000000001" customHeight="1" x14ac:dyDescent="0.25">
      <c r="W237" s="72">
        <f>$P$220</f>
        <v>503.22822964187139</v>
      </c>
      <c r="X237" s="72">
        <f>$P$219</f>
        <v>540.88906359121142</v>
      </c>
      <c r="Y237" s="72">
        <f t="shared" si="27"/>
        <v>522.05864661654141</v>
      </c>
    </row>
    <row r="238" spans="12:25" ht="20.100000000000001" customHeight="1" x14ac:dyDescent="0.25">
      <c r="W238" s="72">
        <f>$P$220</f>
        <v>503.22822964187139</v>
      </c>
      <c r="X238" s="72">
        <f>$P$219</f>
        <v>540.88906359121142</v>
      </c>
      <c r="Y238" s="72">
        <f t="shared" si="27"/>
        <v>522.05864661654141</v>
      </c>
    </row>
    <row r="239" spans="12:25" ht="20.100000000000001" customHeight="1" x14ac:dyDescent="0.25">
      <c r="W239" s="72"/>
      <c r="X239" s="72"/>
      <c r="Y239" s="72"/>
    </row>
    <row r="240" spans="12:25" ht="20.100000000000001" customHeight="1" x14ac:dyDescent="0.25">
      <c r="W240" s="72"/>
      <c r="X240" s="72"/>
      <c r="Y240" s="72"/>
    </row>
    <row r="248" spans="1:24" ht="20.100000000000001" customHeight="1" x14ac:dyDescent="0.25">
      <c r="A248" s="111" t="s">
        <v>54</v>
      </c>
      <c r="B248" s="111"/>
      <c r="C248" s="111"/>
      <c r="D248" s="111"/>
      <c r="E248" s="111"/>
      <c r="F248" s="111"/>
      <c r="G248" s="111"/>
      <c r="H248" s="111"/>
      <c r="I248" s="111"/>
      <c r="J248" s="111"/>
      <c r="K248" s="111"/>
      <c r="L248" s="111"/>
      <c r="M248" s="111"/>
      <c r="N248" s="111"/>
      <c r="O248" s="111"/>
      <c r="P248" s="111"/>
      <c r="Q248" s="111"/>
      <c r="R248" s="111"/>
    </row>
    <row r="250" spans="1:24" ht="20.100000000000001" customHeight="1" x14ac:dyDescent="0.25">
      <c r="A250" s="84" t="s">
        <v>17</v>
      </c>
      <c r="B250" s="107" t="s">
        <v>32</v>
      </c>
      <c r="C250" s="107"/>
      <c r="D250" s="107"/>
      <c r="E250" s="107"/>
      <c r="F250" s="107"/>
      <c r="L250" s="120" t="s">
        <v>244</v>
      </c>
      <c r="M250" s="120"/>
      <c r="N250" s="120"/>
      <c r="O250" s="120"/>
      <c r="P250" s="120"/>
      <c r="Q250" s="170">
        <v>5</v>
      </c>
      <c r="R250" s="170"/>
      <c r="S250" s="119" t="s">
        <v>259</v>
      </c>
      <c r="T250" s="119"/>
      <c r="U250" s="119"/>
    </row>
    <row r="251" spans="1:24" ht="20.100000000000001" customHeight="1" x14ac:dyDescent="0.25">
      <c r="A251" s="89">
        <v>1</v>
      </c>
      <c r="B251" s="212">
        <f>O166</f>
        <v>525</v>
      </c>
      <c r="C251" s="212"/>
      <c r="D251" s="212"/>
      <c r="E251" s="212"/>
      <c r="F251" s="212"/>
      <c r="G251" s="66">
        <f>A251</f>
        <v>1</v>
      </c>
      <c r="L251" s="120" t="s">
        <v>55</v>
      </c>
      <c r="M251" s="120"/>
      <c r="N251" s="120"/>
      <c r="O251" s="120"/>
      <c r="P251" s="120"/>
      <c r="Q251" s="159" cm="1">
        <f t="array" ref="Q251">_xlfn.IFS(Q250&lt;=5,0.1,AND(Q250&gt;=6,Q250&lt;=10),0.05,AND(Q250&gt;=11,Q250&lt;=50),0.01,Q250&gt;50,0.001)</f>
        <v>0.1</v>
      </c>
      <c r="R251" s="159"/>
    </row>
    <row r="252" spans="1:24" ht="20.100000000000001" customHeight="1" x14ac:dyDescent="0.25">
      <c r="A252" s="89">
        <v>2</v>
      </c>
      <c r="B252" s="149">
        <f>O167</f>
        <v>540.00000000000023</v>
      </c>
      <c r="C252" s="149"/>
      <c r="D252" s="149"/>
      <c r="E252" s="149"/>
      <c r="F252" s="149"/>
      <c r="G252" s="66">
        <f t="shared" ref="G252:G255" si="28">A252</f>
        <v>2</v>
      </c>
      <c r="L252" s="120" t="s">
        <v>56</v>
      </c>
      <c r="M252" s="120"/>
      <c r="N252" s="120"/>
      <c r="O252" s="120"/>
      <c r="P252" s="120"/>
      <c r="Q252" s="166">
        <f>Q250-2</f>
        <v>3</v>
      </c>
      <c r="R252" s="166"/>
    </row>
    <row r="253" spans="1:24" ht="20.100000000000001" customHeight="1" x14ac:dyDescent="0.25">
      <c r="A253" s="89">
        <v>3</v>
      </c>
      <c r="B253" s="149">
        <f>O168</f>
        <v>511.57894736842115</v>
      </c>
      <c r="C253" s="149"/>
      <c r="D253" s="149"/>
      <c r="E253" s="149"/>
      <c r="F253" s="149"/>
      <c r="G253" s="66">
        <f t="shared" si="28"/>
        <v>3</v>
      </c>
      <c r="L253" s="120" t="s">
        <v>53</v>
      </c>
      <c r="M253" s="120"/>
      <c r="N253" s="120"/>
      <c r="O253" s="120"/>
      <c r="P253" s="120"/>
      <c r="Q253" s="169">
        <f>X257</f>
        <v>1.6107672730402394</v>
      </c>
      <c r="R253" s="169"/>
    </row>
    <row r="254" spans="1:24" ht="20.100000000000001" customHeight="1" x14ac:dyDescent="0.25">
      <c r="A254" s="89">
        <v>4</v>
      </c>
      <c r="B254" s="149">
        <f>O169</f>
        <v>520.71428571428601</v>
      </c>
      <c r="C254" s="149"/>
      <c r="D254" s="149"/>
      <c r="E254" s="149"/>
      <c r="F254" s="149"/>
      <c r="G254" s="66">
        <f t="shared" si="28"/>
        <v>4</v>
      </c>
    </row>
    <row r="255" spans="1:24" ht="20.100000000000001" customHeight="1" x14ac:dyDescent="0.25">
      <c r="A255" s="89">
        <v>5</v>
      </c>
      <c r="B255" s="149">
        <f>O170</f>
        <v>513.00000000000023</v>
      </c>
      <c r="C255" s="149"/>
      <c r="D255" s="149"/>
      <c r="E255" s="149"/>
      <c r="F255" s="149"/>
      <c r="G255" s="66">
        <f t="shared" si="28"/>
        <v>5</v>
      </c>
      <c r="L255" s="120" t="s">
        <v>36</v>
      </c>
      <c r="M255" s="120"/>
      <c r="N255" s="120"/>
      <c r="O255" s="120"/>
      <c r="P255" s="143">
        <f>AVERAGE(B251:B255)</f>
        <v>522.05864661654141</v>
      </c>
      <c r="Q255" s="143"/>
      <c r="R255" s="143"/>
    </row>
    <row r="256" spans="1:24" ht="20.100000000000001" customHeight="1" x14ac:dyDescent="0.25">
      <c r="L256" s="120" t="s">
        <v>37</v>
      </c>
      <c r="M256" s="120"/>
      <c r="N256" s="120"/>
      <c r="O256" s="120"/>
      <c r="P256" s="143">
        <f>STDEVA(B251:F255)</f>
        <v>11.448080647497976</v>
      </c>
      <c r="Q256" s="143"/>
      <c r="R256" s="143"/>
      <c r="X256" s="66">
        <f>_xlfn.T.INV.2T(Q251,Q252)</f>
        <v>2.3533634348018233</v>
      </c>
    </row>
    <row r="257" spans="12:24" ht="20.100000000000001" customHeight="1" x14ac:dyDescent="0.25">
      <c r="X257" s="66">
        <f>((((X256^2)*(Q250))-X256^2)/(Q250-2+X256^2))^(1/2)</f>
        <v>1.6107672730402394</v>
      </c>
    </row>
    <row r="258" spans="12:24" ht="20.100000000000001" customHeight="1" x14ac:dyDescent="0.25">
      <c r="L258" s="120" t="s">
        <v>45</v>
      </c>
      <c r="M258" s="120"/>
      <c r="N258" s="120"/>
      <c r="O258" s="120"/>
      <c r="P258" s="143">
        <f>P255+(Q253*P256)</f>
        <v>540.49884026265647</v>
      </c>
      <c r="Q258" s="143"/>
      <c r="R258" s="143"/>
    </row>
    <row r="259" spans="12:24" ht="20.100000000000001" customHeight="1" x14ac:dyDescent="0.25">
      <c r="L259" s="120" t="s">
        <v>44</v>
      </c>
      <c r="M259" s="120"/>
      <c r="N259" s="120"/>
      <c r="O259" s="120"/>
      <c r="P259" s="143">
        <f>P255-(Q253*P256)</f>
        <v>503.61845297042635</v>
      </c>
      <c r="Q259" s="143"/>
      <c r="R259" s="143"/>
    </row>
    <row r="260" spans="12:24" ht="20.100000000000001" customHeight="1" x14ac:dyDescent="0.25">
      <c r="L260" s="120" t="s">
        <v>47</v>
      </c>
      <c r="M260" s="120"/>
      <c r="N260" s="120"/>
      <c r="O260" s="120"/>
      <c r="P260" s="143">
        <f>MAX(B251:B255)</f>
        <v>540.00000000000023</v>
      </c>
      <c r="Q260" s="143"/>
      <c r="R260" s="143"/>
    </row>
    <row r="261" spans="12:24" ht="20.100000000000001" customHeight="1" x14ac:dyDescent="0.25">
      <c r="L261" s="120" t="s">
        <v>46</v>
      </c>
      <c r="M261" s="120"/>
      <c r="N261" s="120"/>
      <c r="O261" s="120"/>
      <c r="P261" s="143">
        <f>MIN(B251:B255)</f>
        <v>511.57894736842115</v>
      </c>
      <c r="Q261" s="143"/>
      <c r="R261" s="143"/>
    </row>
    <row r="263" spans="12:24" ht="20.100000000000001" customHeight="1" x14ac:dyDescent="0.25">
      <c r="L263" s="120" t="s">
        <v>51</v>
      </c>
      <c r="M263" s="120"/>
      <c r="N263" s="120" t="str">
        <f>IF(P263="Nada a excluir","",X266)</f>
        <v/>
      </c>
      <c r="O263" s="120"/>
      <c r="P263" s="143" t="str" cm="1">
        <f t="array" ref="P263">_xlfn.IFS(AND(OR(P260&gt;P258,P261&lt;P259),(P260-P255)&gt;(P255-P261)),P260,AND(OR(P261&lt;P259,P260&gt;P258),(P255-P261)&gt;(P260-P255)),P261,AND(P260&lt;=P258,P261&gt;=P259),"Nada a excluir")</f>
        <v>Nada a excluir</v>
      </c>
      <c r="Q263" s="143"/>
      <c r="R263" s="143"/>
    </row>
    <row r="264" spans="12:24" ht="20.100000000000001" customHeight="1" x14ac:dyDescent="0.25">
      <c r="L264" s="130" t="s">
        <v>50</v>
      </c>
      <c r="M264" s="130"/>
      <c r="N264" s="130"/>
      <c r="O264" s="130"/>
      <c r="P264" s="165" t="str">
        <f>IF(P263="Nada a excluir","Encerrar","Continuar")</f>
        <v>Encerrar</v>
      </c>
      <c r="Q264" s="165"/>
      <c r="R264" s="165"/>
    </row>
    <row r="266" spans="12:24" ht="20.100000000000001" customHeight="1" x14ac:dyDescent="0.25">
      <c r="L266" s="120" t="s">
        <v>48</v>
      </c>
      <c r="M266" s="120"/>
      <c r="N266" s="120"/>
      <c r="O266" s="120"/>
      <c r="P266" s="121">
        <f>P256</f>
        <v>11.448080647497976</v>
      </c>
      <c r="Q266" s="122"/>
      <c r="R266" s="122"/>
      <c r="X266" s="66" t="e">
        <f>VLOOKUP(P263,B251:G255,6,0)</f>
        <v>#N/A</v>
      </c>
    </row>
    <row r="267" spans="12:24" ht="20.100000000000001" customHeight="1" x14ac:dyDescent="0.25">
      <c r="L267" s="130" t="s">
        <v>35</v>
      </c>
      <c r="M267" s="130"/>
      <c r="N267" s="130"/>
      <c r="O267" s="130"/>
      <c r="P267" s="164">
        <f>P256/P255</f>
        <v>2.192872529110074E-2</v>
      </c>
      <c r="Q267" s="164"/>
      <c r="R267" s="164"/>
    </row>
    <row r="273" spans="1:27" ht="20.100000000000001" customHeight="1" x14ac:dyDescent="0.25">
      <c r="W273" s="66" t="s">
        <v>44</v>
      </c>
      <c r="X273" s="66" t="s">
        <v>45</v>
      </c>
      <c r="Y273" s="66" t="s">
        <v>36</v>
      </c>
    </row>
    <row r="274" spans="1:27" ht="20.100000000000001" customHeight="1" x14ac:dyDescent="0.25">
      <c r="W274" s="72">
        <f>$P$259</f>
        <v>503.61845297042635</v>
      </c>
      <c r="X274" s="72">
        <f>$P$258</f>
        <v>540.49884026265647</v>
      </c>
      <c r="Y274" s="72">
        <f>$P$255</f>
        <v>522.05864661654141</v>
      </c>
    </row>
    <row r="275" spans="1:27" ht="20.100000000000001" customHeight="1" x14ac:dyDescent="0.25">
      <c r="W275" s="72">
        <f>$P$259</f>
        <v>503.61845297042635</v>
      </c>
      <c r="X275" s="72">
        <f>$P$258</f>
        <v>540.49884026265647</v>
      </c>
      <c r="Y275" s="72">
        <f>$P$255</f>
        <v>522.05864661654141</v>
      </c>
    </row>
    <row r="276" spans="1:27" ht="20.100000000000001" customHeight="1" x14ac:dyDescent="0.25">
      <c r="W276" s="72">
        <f>$P$259</f>
        <v>503.61845297042635</v>
      </c>
      <c r="X276" s="72">
        <f>$P$258</f>
        <v>540.49884026265647</v>
      </c>
      <c r="Y276" s="72">
        <f>$P$255</f>
        <v>522.05864661654141</v>
      </c>
    </row>
    <row r="277" spans="1:27" ht="20.100000000000001" customHeight="1" x14ac:dyDescent="0.25">
      <c r="W277" s="72">
        <f>$P$259</f>
        <v>503.61845297042635</v>
      </c>
      <c r="X277" s="72">
        <f>$P$258</f>
        <v>540.49884026265647</v>
      </c>
      <c r="Y277" s="72">
        <f>$P$255</f>
        <v>522.05864661654141</v>
      </c>
    </row>
    <row r="278" spans="1:27" ht="20.100000000000001" customHeight="1" x14ac:dyDescent="0.25">
      <c r="W278" s="72">
        <f>$P$259</f>
        <v>503.61845297042635</v>
      </c>
      <c r="X278" s="72">
        <f>$P$258</f>
        <v>540.49884026265647</v>
      </c>
      <c r="Y278" s="72">
        <f>$P$255</f>
        <v>522.05864661654141</v>
      </c>
    </row>
    <row r="279" spans="1:27" ht="20.100000000000001" customHeight="1" x14ac:dyDescent="0.25">
      <c r="W279" s="72"/>
      <c r="X279" s="72"/>
      <c r="Y279" s="72"/>
    </row>
    <row r="280" spans="1:27" ht="20.100000000000001" customHeight="1" x14ac:dyDescent="0.25">
      <c r="W280" s="72"/>
      <c r="X280" s="72"/>
      <c r="Y280" s="72"/>
    </row>
    <row r="287" spans="1:27" ht="20.100000000000001" customHeight="1" x14ac:dyDescent="0.25">
      <c r="A287" s="113" t="s">
        <v>57</v>
      </c>
      <c r="B287" s="113"/>
      <c r="C287" s="113"/>
      <c r="D287" s="113"/>
      <c r="E287" s="113"/>
      <c r="F287" s="113"/>
      <c r="G287" s="113" t="s">
        <v>36</v>
      </c>
      <c r="H287" s="113"/>
      <c r="I287" s="113"/>
      <c r="J287" s="113"/>
      <c r="K287" s="113" t="s">
        <v>37</v>
      </c>
      <c r="L287" s="113"/>
      <c r="M287" s="113"/>
      <c r="N287" s="113"/>
      <c r="O287" s="113" t="s">
        <v>35</v>
      </c>
      <c r="P287" s="113"/>
      <c r="Q287" s="113"/>
      <c r="R287" s="113"/>
    </row>
    <row r="288" spans="1:27" ht="20.100000000000001" customHeight="1" x14ac:dyDescent="0.25">
      <c r="A288" s="138" t="s">
        <v>58</v>
      </c>
      <c r="B288" s="138"/>
      <c r="C288" s="138"/>
      <c r="D288" s="138"/>
      <c r="E288" s="138"/>
      <c r="F288" s="138"/>
      <c r="G288" s="143">
        <f>P181</f>
        <v>522.05864661654141</v>
      </c>
      <c r="H288" s="143"/>
      <c r="I288" s="143"/>
      <c r="J288" s="143"/>
      <c r="K288" s="143">
        <f>P190</f>
        <v>11.448080647497976</v>
      </c>
      <c r="L288" s="143"/>
      <c r="M288" s="143"/>
      <c r="N288" s="143"/>
      <c r="O288" s="168">
        <f>P191</f>
        <v>2.192872529110074E-2</v>
      </c>
      <c r="P288" s="168"/>
      <c r="Q288" s="168"/>
      <c r="R288" s="168"/>
      <c r="X288" s="105">
        <f>O288</f>
        <v>2.192872529110074E-2</v>
      </c>
      <c r="Y288" s="66" t="str">
        <f>A288</f>
        <v>Intervalo em torno da média</v>
      </c>
      <c r="Z288" s="72">
        <f>G288</f>
        <v>522.05864661654141</v>
      </c>
      <c r="AA288" s="72">
        <f>K288</f>
        <v>11.448080647497976</v>
      </c>
    </row>
    <row r="289" spans="1:27" ht="20.100000000000001" customHeight="1" x14ac:dyDescent="0.25">
      <c r="A289" s="130" t="s">
        <v>59</v>
      </c>
      <c r="B289" s="130"/>
      <c r="C289" s="130"/>
      <c r="D289" s="130"/>
      <c r="E289" s="130"/>
      <c r="F289" s="130"/>
      <c r="G289" s="134">
        <f>P216</f>
        <v>522.05864661654141</v>
      </c>
      <c r="H289" s="134"/>
      <c r="I289" s="134"/>
      <c r="J289" s="134"/>
      <c r="K289" s="134">
        <f>P217</f>
        <v>11.448080647497976</v>
      </c>
      <c r="L289" s="134"/>
      <c r="M289" s="134"/>
      <c r="N289" s="134"/>
      <c r="O289" s="137">
        <f>P228</f>
        <v>2.192872529110074E-2</v>
      </c>
      <c r="P289" s="137"/>
      <c r="Q289" s="137"/>
      <c r="R289" s="137"/>
      <c r="X289" s="105">
        <f>O289</f>
        <v>2.192872529110074E-2</v>
      </c>
      <c r="Y289" s="66" t="str">
        <f>A289</f>
        <v>Critério de Chauvenet</v>
      </c>
      <c r="Z289" s="72">
        <f>G289</f>
        <v>522.05864661654141</v>
      </c>
      <c r="AA289" s="72">
        <f>K289</f>
        <v>11.448080647497976</v>
      </c>
    </row>
    <row r="290" spans="1:27" ht="20.100000000000001" customHeight="1" x14ac:dyDescent="0.25">
      <c r="A290" s="130" t="s">
        <v>60</v>
      </c>
      <c r="B290" s="130"/>
      <c r="C290" s="130"/>
      <c r="D290" s="130"/>
      <c r="E290" s="130"/>
      <c r="F290" s="130"/>
      <c r="G290" s="134">
        <f>P255</f>
        <v>522.05864661654141</v>
      </c>
      <c r="H290" s="134"/>
      <c r="I290" s="134"/>
      <c r="J290" s="134"/>
      <c r="K290" s="134">
        <f>P266</f>
        <v>11.448080647497976</v>
      </c>
      <c r="L290" s="134"/>
      <c r="M290" s="134"/>
      <c r="N290" s="134"/>
      <c r="O290" s="137">
        <f>P267</f>
        <v>2.192872529110074E-2</v>
      </c>
      <c r="P290" s="137"/>
      <c r="Q290" s="137"/>
      <c r="R290" s="137"/>
      <c r="X290" s="105">
        <f>O290</f>
        <v>2.192872529110074E-2</v>
      </c>
      <c r="Y290" s="66" t="str">
        <f>A290</f>
        <v>Critério de Arley</v>
      </c>
      <c r="Z290" s="72">
        <f>G290</f>
        <v>522.05864661654141</v>
      </c>
      <c r="AA290" s="72">
        <f>K290</f>
        <v>11.448080647497976</v>
      </c>
    </row>
    <row r="292" spans="1:27" ht="20.100000000000001" customHeight="1" x14ac:dyDescent="0.25">
      <c r="A292" s="120" t="s">
        <v>61</v>
      </c>
      <c r="B292" s="120"/>
      <c r="C292" s="120"/>
      <c r="D292" s="120"/>
      <c r="E292" s="120"/>
      <c r="F292" s="120"/>
      <c r="G292" s="167">
        <f>MIN(O288:R290)</f>
        <v>2.192872529110074E-2</v>
      </c>
      <c r="H292" s="167"/>
      <c r="I292" s="167"/>
      <c r="J292" s="167"/>
      <c r="K292" s="167"/>
      <c r="L292" s="167"/>
    </row>
    <row r="293" spans="1:27" ht="20.100000000000001" customHeight="1" x14ac:dyDescent="0.25">
      <c r="A293" s="130" t="s">
        <v>62</v>
      </c>
      <c r="B293" s="130"/>
      <c r="C293" s="130"/>
      <c r="D293" s="130"/>
      <c r="E293" s="130"/>
      <c r="F293" s="130"/>
      <c r="G293" s="165" t="str">
        <f>VLOOKUP(G292,X288:Z290,2,0)</f>
        <v>Intervalo em torno da média</v>
      </c>
      <c r="H293" s="165"/>
      <c r="I293" s="165"/>
      <c r="J293" s="165"/>
      <c r="K293" s="165"/>
      <c r="L293" s="165"/>
    </row>
    <row r="294" spans="1:27" ht="20.100000000000001" customHeight="1" x14ac:dyDescent="0.25">
      <c r="A294" s="130" t="s">
        <v>63</v>
      </c>
      <c r="B294" s="130"/>
      <c r="C294" s="130"/>
      <c r="D294" s="130"/>
      <c r="E294" s="130"/>
      <c r="F294" s="130"/>
      <c r="G294" s="134">
        <f>VLOOKUP(G292,X288:Z290,3,0)</f>
        <v>522.05864661654141</v>
      </c>
      <c r="H294" s="134"/>
      <c r="I294" s="134"/>
      <c r="J294" s="134"/>
      <c r="K294" s="134"/>
      <c r="L294" s="134"/>
    </row>
    <row r="295" spans="1:27" ht="20.100000000000001" customHeight="1" x14ac:dyDescent="0.25">
      <c r="A295" s="130" t="s">
        <v>70</v>
      </c>
      <c r="B295" s="130"/>
      <c r="C295" s="130"/>
      <c r="D295" s="130"/>
      <c r="E295" s="130"/>
      <c r="F295" s="130"/>
      <c r="G295" s="134">
        <f>VLOOKUP(G292,X288:AA290,4,0)</f>
        <v>11.448080647497976</v>
      </c>
      <c r="H295" s="134"/>
      <c r="I295" s="134"/>
      <c r="J295" s="134"/>
      <c r="K295" s="134"/>
      <c r="L295" s="134"/>
    </row>
    <row r="298" spans="1:27" ht="20.100000000000001" customHeight="1" x14ac:dyDescent="0.25">
      <c r="A298" s="210" t="s">
        <v>509</v>
      </c>
      <c r="B298" s="210"/>
      <c r="C298" s="210"/>
      <c r="D298" s="210"/>
      <c r="E298" s="210"/>
      <c r="F298" s="210"/>
      <c r="G298" s="210"/>
      <c r="H298" s="210"/>
      <c r="I298" s="210"/>
      <c r="J298" s="210"/>
      <c r="K298" s="210"/>
      <c r="L298" s="210"/>
      <c r="M298" s="210"/>
      <c r="N298" s="210"/>
      <c r="O298" s="210"/>
      <c r="P298" s="210"/>
      <c r="Q298" s="210"/>
      <c r="R298" s="210"/>
    </row>
    <row r="300" spans="1:27" ht="39.950000000000003" customHeight="1" x14ac:dyDescent="0.25">
      <c r="A300" s="123" t="s">
        <v>242</v>
      </c>
      <c r="B300" s="123"/>
      <c r="C300" s="123"/>
      <c r="D300" s="123"/>
      <c r="E300" s="123"/>
      <c r="F300" s="123"/>
      <c r="G300" s="123"/>
      <c r="H300" s="123"/>
      <c r="I300" s="123"/>
      <c r="J300" s="123"/>
      <c r="K300" s="123"/>
      <c r="L300" s="123"/>
      <c r="M300" s="123"/>
      <c r="N300" s="123"/>
      <c r="O300" s="123"/>
      <c r="P300" s="123"/>
      <c r="Q300" s="123"/>
      <c r="R300" s="123"/>
    </row>
    <row r="302" spans="1:27" ht="20.100000000000001" customHeight="1" x14ac:dyDescent="0.25">
      <c r="A302" s="120" t="s">
        <v>36</v>
      </c>
      <c r="B302" s="120"/>
      <c r="C302" s="120"/>
      <c r="D302" s="120"/>
      <c r="E302" s="121">
        <f>G294</f>
        <v>522.05864661654141</v>
      </c>
      <c r="F302" s="122"/>
      <c r="G302" s="122"/>
      <c r="H302" s="122"/>
    </row>
    <row r="303" spans="1:27" ht="20.100000000000001" customHeight="1" x14ac:dyDescent="0.25">
      <c r="A303" s="130" t="s">
        <v>37</v>
      </c>
      <c r="B303" s="130"/>
      <c r="C303" s="130"/>
      <c r="D303" s="130"/>
      <c r="E303" s="178">
        <f>G295</f>
        <v>11.448080647497976</v>
      </c>
      <c r="F303" s="165"/>
      <c r="G303" s="165"/>
      <c r="H303" s="165"/>
    </row>
    <row r="304" spans="1:27" ht="20.100000000000001" customHeight="1" x14ac:dyDescent="0.25">
      <c r="A304" s="130" t="s">
        <v>244</v>
      </c>
      <c r="B304" s="130"/>
      <c r="C304" s="130"/>
      <c r="D304" s="130"/>
      <c r="E304" s="128">
        <v>5</v>
      </c>
      <c r="F304" s="128"/>
      <c r="G304" s="128"/>
      <c r="H304" s="128"/>
      <c r="S304" s="119" t="s">
        <v>259</v>
      </c>
      <c r="T304" s="119"/>
      <c r="U304" s="119"/>
    </row>
    <row r="305" spans="1:66" ht="20.100000000000001" customHeight="1" x14ac:dyDescent="0.25">
      <c r="A305" s="130" t="s">
        <v>69</v>
      </c>
      <c r="B305" s="130"/>
      <c r="C305" s="130"/>
      <c r="D305" s="130"/>
      <c r="E305" s="129">
        <v>0.8</v>
      </c>
      <c r="F305" s="129"/>
      <c r="G305" s="129"/>
      <c r="H305" s="129"/>
    </row>
    <row r="306" spans="1:66" ht="20.100000000000001" customHeight="1" x14ac:dyDescent="0.25">
      <c r="A306" s="130" t="s">
        <v>499</v>
      </c>
      <c r="B306" s="130"/>
      <c r="C306" s="130"/>
      <c r="D306" s="130"/>
      <c r="E306" s="179">
        <f>_xlfn.T.INV.2T(1-E305,E304-1)</f>
        <v>1.5332062740589445</v>
      </c>
      <c r="F306" s="179"/>
      <c r="G306" s="179"/>
      <c r="H306" s="179"/>
    </row>
    <row r="307" spans="1:66" ht="20.100000000000001" customHeight="1" x14ac:dyDescent="0.25">
      <c r="A307" s="138"/>
      <c r="B307" s="138"/>
      <c r="C307" s="138"/>
      <c r="D307" s="138"/>
      <c r="E307" s="148"/>
      <c r="F307" s="148"/>
      <c r="G307" s="148"/>
      <c r="H307" s="148"/>
    </row>
    <row r="308" spans="1:66" ht="20.100000000000001" customHeight="1" x14ac:dyDescent="0.25">
      <c r="A308" s="138"/>
      <c r="B308" s="138"/>
      <c r="C308" s="138"/>
      <c r="D308" s="138"/>
      <c r="E308" s="148"/>
      <c r="F308" s="148"/>
      <c r="G308" s="148"/>
      <c r="H308" s="148"/>
    </row>
    <row r="309" spans="1:66" ht="20.100000000000001" customHeight="1" x14ac:dyDescent="0.25">
      <c r="A309" s="210" t="s">
        <v>510</v>
      </c>
      <c r="B309" s="210"/>
      <c r="C309" s="210"/>
      <c r="D309" s="210"/>
      <c r="E309" s="210"/>
      <c r="F309" s="210"/>
      <c r="G309" s="210"/>
      <c r="H309" s="210"/>
      <c r="I309" s="210"/>
      <c r="J309" s="210"/>
      <c r="K309" s="210"/>
      <c r="L309" s="210"/>
      <c r="M309" s="210"/>
      <c r="N309" s="210"/>
      <c r="O309" s="210"/>
      <c r="P309" s="210"/>
      <c r="Q309" s="210"/>
      <c r="R309" s="210"/>
    </row>
    <row r="311" spans="1:66" ht="20.100000000000001" customHeight="1" x14ac:dyDescent="0.25">
      <c r="A311" s="120" t="s">
        <v>44</v>
      </c>
      <c r="B311" s="120"/>
      <c r="C311" s="120"/>
      <c r="D311" s="120"/>
      <c r="E311" s="121">
        <f>E302-(_xlfn.CONFIDENCE.T(1-E305,E303,E304))</f>
        <v>514.2090332544725</v>
      </c>
      <c r="F311" s="122"/>
      <c r="G311" s="122"/>
      <c r="H311" s="122"/>
      <c r="K311" s="120" t="s">
        <v>71</v>
      </c>
      <c r="L311" s="120"/>
      <c r="M311" s="120"/>
      <c r="N311" s="120"/>
      <c r="O311" s="121">
        <f>E312-E311</f>
        <v>15.699226724137816</v>
      </c>
      <c r="P311" s="122"/>
      <c r="Q311" s="122"/>
      <c r="R311" s="122"/>
    </row>
    <row r="312" spans="1:66" ht="20.100000000000001" customHeight="1" x14ac:dyDescent="0.25">
      <c r="A312" s="120" t="s">
        <v>45</v>
      </c>
      <c r="B312" s="120"/>
      <c r="C312" s="120"/>
      <c r="D312" s="120"/>
      <c r="E312" s="121">
        <f>E302+(_xlfn.CONFIDENCE.T(1-E305,E303,E304))</f>
        <v>529.90825997861032</v>
      </c>
      <c r="F312" s="122"/>
      <c r="G312" s="122"/>
      <c r="H312" s="122"/>
      <c r="K312" s="120" t="s">
        <v>36</v>
      </c>
      <c r="L312" s="120"/>
      <c r="M312" s="120"/>
      <c r="N312" s="120"/>
      <c r="O312" s="121">
        <f>E302</f>
        <v>522.05864661654141</v>
      </c>
      <c r="P312" s="122"/>
      <c r="Q312" s="122"/>
      <c r="R312" s="122"/>
    </row>
    <row r="313" spans="1:66" ht="20.100000000000001" customHeight="1" x14ac:dyDescent="0.25">
      <c r="K313" s="120" t="s">
        <v>72</v>
      </c>
      <c r="L313" s="120"/>
      <c r="M313" s="120"/>
      <c r="N313" s="120"/>
      <c r="O313" s="181">
        <f>O311/O312</f>
        <v>3.0071768422732577E-2</v>
      </c>
      <c r="P313" s="181"/>
      <c r="Q313" s="181"/>
      <c r="R313" s="181"/>
    </row>
    <row r="315" spans="1:66" ht="20.100000000000001" customHeight="1" x14ac:dyDescent="0.25">
      <c r="A315" s="182" t="str" cm="1">
        <f t="array" ref="A315">_xlfn.IFS(O313&lt;=0.3,W320,AND(O313&gt;0.3,O313&lt;=0.4),W321,AND(O313&gt;0.4,O313&lt;=0.5),W322,O313&gt;0.5,W323)</f>
        <v>O grau de precisão calculado foi inferior a 30% (trinta por cento); em razão disso, o laudo atingiu o grau de fundamentação III, máximo previsto na tabela 5 do item 9.2.3 da NBR 14653-2:2011 (Avaliação de bens. Parte 2: Imóveis urbanos).</v>
      </c>
      <c r="B315" s="182"/>
      <c r="C315" s="182"/>
      <c r="D315" s="182"/>
      <c r="E315" s="182"/>
      <c r="F315" s="182"/>
      <c r="G315" s="182"/>
      <c r="H315" s="182"/>
      <c r="I315" s="182"/>
      <c r="J315" s="182"/>
      <c r="K315" s="182"/>
      <c r="L315" s="182"/>
      <c r="M315" s="182"/>
      <c r="N315" s="182"/>
      <c r="O315" s="182"/>
      <c r="P315" s="182"/>
      <c r="Q315" s="182"/>
      <c r="R315" s="182"/>
    </row>
    <row r="316" spans="1:66" ht="20.100000000000001" customHeight="1" x14ac:dyDescent="0.25">
      <c r="A316" s="182"/>
      <c r="B316" s="182"/>
      <c r="C316" s="182"/>
      <c r="D316" s="182"/>
      <c r="E316" s="182"/>
      <c r="F316" s="182"/>
      <c r="G316" s="182"/>
      <c r="H316" s="182"/>
      <c r="I316" s="182"/>
      <c r="J316" s="182"/>
      <c r="K316" s="182"/>
      <c r="L316" s="182"/>
      <c r="M316" s="182"/>
      <c r="N316" s="182"/>
      <c r="O316" s="182"/>
      <c r="P316" s="182"/>
      <c r="Q316" s="182"/>
      <c r="R316" s="182"/>
    </row>
    <row r="317" spans="1:66" ht="20.100000000000001" customHeight="1" x14ac:dyDescent="0.25">
      <c r="A317" s="73"/>
      <c r="B317" s="73"/>
      <c r="C317" s="73"/>
      <c r="D317" s="73"/>
      <c r="E317" s="73"/>
      <c r="F317" s="73"/>
      <c r="G317" s="73"/>
      <c r="H317" s="73"/>
      <c r="I317" s="73"/>
      <c r="J317" s="73"/>
      <c r="K317" s="73"/>
      <c r="L317" s="73"/>
      <c r="M317" s="73"/>
      <c r="N317" s="73"/>
      <c r="O317" s="73"/>
      <c r="P317" s="73"/>
      <c r="Q317" s="73"/>
      <c r="R317" s="73"/>
    </row>
    <row r="318" spans="1:66" ht="20.100000000000001" customHeight="1" x14ac:dyDescent="0.25">
      <c r="A318" s="174" t="s">
        <v>500</v>
      </c>
      <c r="B318" s="174"/>
      <c r="C318" s="174"/>
      <c r="D318" s="174"/>
      <c r="E318" s="174"/>
      <c r="F318" s="174"/>
      <c r="G318" s="174"/>
      <c r="H318" s="174"/>
      <c r="I318" s="174"/>
      <c r="J318" s="174"/>
      <c r="K318" s="174"/>
      <c r="L318" s="174"/>
      <c r="M318" s="174"/>
      <c r="N318" s="174"/>
      <c r="O318" s="174"/>
      <c r="P318" s="174"/>
      <c r="Q318" s="174"/>
      <c r="R318" s="174"/>
    </row>
    <row r="319" spans="1:66" ht="20.100000000000001" customHeight="1" x14ac:dyDescent="0.25">
      <c r="A319" s="174"/>
      <c r="B319" s="174"/>
      <c r="C319" s="174"/>
      <c r="D319" s="174"/>
      <c r="E319" s="174"/>
      <c r="F319" s="174"/>
      <c r="G319" s="174"/>
      <c r="H319" s="174"/>
      <c r="I319" s="174"/>
      <c r="J319" s="174"/>
      <c r="K319" s="174"/>
      <c r="L319" s="174"/>
      <c r="M319" s="174"/>
      <c r="N319" s="174"/>
      <c r="O319" s="174"/>
      <c r="P319" s="174"/>
      <c r="Q319" s="174"/>
      <c r="R319" s="174"/>
    </row>
    <row r="320" spans="1:66" ht="20.100000000000001" customHeight="1" x14ac:dyDescent="0.25">
      <c r="A320" s="180" t="s">
        <v>90</v>
      </c>
      <c r="B320" s="180"/>
      <c r="C320" s="180"/>
      <c r="D320" s="180"/>
      <c r="E320" s="180"/>
      <c r="F320" s="180"/>
      <c r="G320" s="180"/>
      <c r="H320" s="180"/>
      <c r="I320" s="180"/>
      <c r="J320" s="180"/>
      <c r="K320" s="180"/>
      <c r="L320" s="180"/>
      <c r="M320" s="180"/>
      <c r="N320" s="180"/>
      <c r="O320" s="180"/>
      <c r="P320" s="180"/>
      <c r="Q320" s="180"/>
      <c r="R320" s="180"/>
      <c r="W320" s="177" t="s">
        <v>100</v>
      </c>
      <c r="X320" s="177"/>
      <c r="Y320" s="177"/>
      <c r="Z320" s="177"/>
      <c r="AA320" s="177"/>
      <c r="AB320" s="177"/>
      <c r="AC320" s="177"/>
      <c r="AD320" s="177"/>
      <c r="AE320" s="177"/>
      <c r="AF320" s="177"/>
      <c r="AG320" s="177"/>
      <c r="AH320" s="177"/>
      <c r="AI320" s="177"/>
      <c r="AJ320" s="177"/>
      <c r="AK320" s="177"/>
      <c r="AL320" s="177"/>
      <c r="AM320" s="177"/>
      <c r="AN320" s="177"/>
      <c r="AO320" s="177"/>
      <c r="AP320" s="177"/>
      <c r="AQ320" s="177"/>
      <c r="AR320" s="177"/>
      <c r="AS320" s="177"/>
      <c r="AT320" s="177"/>
      <c r="AU320" s="177"/>
      <c r="AV320" s="177"/>
      <c r="AW320" s="177"/>
      <c r="AX320" s="177"/>
      <c r="AY320" s="177"/>
      <c r="AZ320" s="177"/>
      <c r="BA320" s="177"/>
      <c r="BB320" s="177"/>
      <c r="BC320" s="177"/>
      <c r="BD320" s="177"/>
      <c r="BE320" s="177"/>
      <c r="BF320" s="177"/>
      <c r="BG320" s="177"/>
      <c r="BH320" s="177"/>
      <c r="BI320" s="177"/>
      <c r="BJ320" s="177"/>
      <c r="BK320" s="177"/>
      <c r="BL320" s="177"/>
      <c r="BM320" s="177"/>
      <c r="BN320" s="177"/>
    </row>
    <row r="321" spans="1:66" ht="20.100000000000001" customHeight="1" x14ac:dyDescent="0.25">
      <c r="A321" s="180"/>
      <c r="B321" s="180"/>
      <c r="C321" s="180"/>
      <c r="D321" s="180"/>
      <c r="E321" s="180"/>
      <c r="F321" s="180"/>
      <c r="G321" s="180"/>
      <c r="H321" s="180"/>
      <c r="I321" s="180"/>
      <c r="J321" s="180"/>
      <c r="K321" s="180"/>
      <c r="L321" s="180"/>
      <c r="M321" s="180"/>
      <c r="N321" s="180"/>
      <c r="O321" s="180"/>
      <c r="P321" s="180"/>
      <c r="Q321" s="180"/>
      <c r="R321" s="180"/>
      <c r="W321" s="177" t="s">
        <v>101</v>
      </c>
      <c r="X321" s="177"/>
      <c r="Y321" s="177"/>
      <c r="Z321" s="177"/>
      <c r="AA321" s="177"/>
      <c r="AB321" s="177"/>
      <c r="AC321" s="177"/>
      <c r="AD321" s="177"/>
      <c r="AE321" s="177"/>
      <c r="AF321" s="177"/>
      <c r="AG321" s="177"/>
      <c r="AH321" s="177"/>
      <c r="AI321" s="177"/>
      <c r="AJ321" s="177"/>
      <c r="AK321" s="177"/>
      <c r="AL321" s="177"/>
      <c r="AM321" s="177"/>
      <c r="AN321" s="177"/>
      <c r="AO321" s="177"/>
      <c r="AP321" s="177"/>
      <c r="AQ321" s="177"/>
      <c r="AR321" s="177"/>
      <c r="AS321" s="177"/>
      <c r="AT321" s="177"/>
      <c r="AU321" s="177"/>
      <c r="AV321" s="177"/>
      <c r="AW321" s="177"/>
      <c r="AX321" s="177"/>
      <c r="AY321" s="177"/>
      <c r="AZ321" s="177"/>
      <c r="BA321" s="177"/>
      <c r="BB321" s="177"/>
      <c r="BC321" s="177"/>
      <c r="BD321" s="177"/>
      <c r="BE321" s="177"/>
      <c r="BF321" s="177"/>
      <c r="BG321" s="177"/>
      <c r="BH321" s="177"/>
      <c r="BI321" s="177"/>
      <c r="BJ321" s="177"/>
      <c r="BK321" s="177"/>
      <c r="BL321" s="177"/>
      <c r="BM321" s="177"/>
      <c r="BN321" s="177"/>
    </row>
    <row r="322" spans="1:66" ht="20.100000000000001" customHeight="1" x14ac:dyDescent="0.25">
      <c r="A322" s="147" t="s">
        <v>87</v>
      </c>
      <c r="B322" s="147"/>
      <c r="C322" s="147"/>
      <c r="D322" s="147"/>
      <c r="E322" s="147"/>
      <c r="F322" s="147"/>
      <c r="G322" s="147" t="s">
        <v>88</v>
      </c>
      <c r="H322" s="147"/>
      <c r="I322" s="147"/>
      <c r="J322" s="147"/>
      <c r="K322" s="147"/>
      <c r="L322" s="147"/>
      <c r="M322" s="147"/>
      <c r="N322" s="147"/>
      <c r="O322" s="147"/>
      <c r="P322" s="147"/>
      <c r="Q322" s="147"/>
      <c r="R322" s="147"/>
      <c r="W322" s="177" t="s">
        <v>102</v>
      </c>
      <c r="X322" s="177"/>
      <c r="Y322" s="177"/>
      <c r="Z322" s="177"/>
      <c r="AA322" s="177"/>
      <c r="AB322" s="177"/>
      <c r="AC322" s="177"/>
      <c r="AD322" s="177"/>
      <c r="AE322" s="177"/>
      <c r="AF322" s="177"/>
      <c r="AG322" s="177"/>
      <c r="AH322" s="177"/>
      <c r="AI322" s="177"/>
      <c r="AJ322" s="177"/>
      <c r="AK322" s="177"/>
      <c r="AL322" s="177"/>
      <c r="AM322" s="177"/>
      <c r="AN322" s="177"/>
      <c r="AO322" s="177"/>
      <c r="AP322" s="177"/>
      <c r="AQ322" s="177"/>
      <c r="AR322" s="177"/>
      <c r="AS322" s="177"/>
      <c r="AT322" s="177"/>
      <c r="AU322" s="177"/>
      <c r="AV322" s="177"/>
      <c r="AW322" s="177"/>
      <c r="AX322" s="177"/>
      <c r="AY322" s="177"/>
      <c r="AZ322" s="177"/>
      <c r="BA322" s="177"/>
      <c r="BB322" s="177"/>
      <c r="BC322" s="177"/>
      <c r="BD322" s="177"/>
      <c r="BE322" s="177"/>
      <c r="BF322" s="177"/>
      <c r="BG322" s="177"/>
      <c r="BH322" s="177"/>
      <c r="BI322" s="177"/>
      <c r="BJ322" s="177"/>
      <c r="BK322" s="177"/>
      <c r="BL322" s="177"/>
      <c r="BM322" s="177"/>
      <c r="BN322" s="177"/>
    </row>
    <row r="323" spans="1:66" ht="20.100000000000001" customHeight="1" x14ac:dyDescent="0.25">
      <c r="A323" s="147"/>
      <c r="B323" s="147"/>
      <c r="C323" s="147"/>
      <c r="D323" s="147"/>
      <c r="E323" s="147"/>
      <c r="F323" s="147"/>
      <c r="G323" s="147" t="s">
        <v>91</v>
      </c>
      <c r="H323" s="147"/>
      <c r="I323" s="147"/>
      <c r="J323" s="147"/>
      <c r="K323" s="147" t="s">
        <v>92</v>
      </c>
      <c r="L323" s="147"/>
      <c r="M323" s="147"/>
      <c r="N323" s="147"/>
      <c r="O323" s="147" t="s">
        <v>82</v>
      </c>
      <c r="P323" s="147"/>
      <c r="Q323" s="147"/>
      <c r="R323" s="147"/>
      <c r="W323" s="177" t="s">
        <v>260</v>
      </c>
      <c r="X323" s="177"/>
      <c r="Y323" s="177"/>
      <c r="Z323" s="177"/>
      <c r="AA323" s="177"/>
      <c r="AB323" s="177"/>
      <c r="AC323" s="177"/>
      <c r="AD323" s="177"/>
      <c r="AE323" s="177"/>
      <c r="AF323" s="177"/>
      <c r="AG323" s="177"/>
      <c r="AH323" s="177"/>
      <c r="AI323" s="177"/>
      <c r="AJ323" s="177"/>
      <c r="AK323" s="177"/>
      <c r="AL323" s="177"/>
      <c r="AM323" s="177"/>
      <c r="AN323" s="177"/>
      <c r="AO323" s="177"/>
      <c r="AP323" s="177"/>
      <c r="AQ323" s="177"/>
      <c r="AR323" s="177"/>
      <c r="AS323" s="177"/>
      <c r="AT323" s="177"/>
      <c r="AU323" s="177"/>
      <c r="AV323" s="177"/>
      <c r="AW323" s="177"/>
      <c r="AX323" s="177"/>
      <c r="AY323" s="177"/>
      <c r="AZ323" s="177"/>
      <c r="BA323" s="177"/>
      <c r="BB323" s="177"/>
      <c r="BC323" s="177"/>
      <c r="BD323" s="177"/>
      <c r="BE323" s="177"/>
      <c r="BF323" s="177"/>
      <c r="BG323" s="177"/>
      <c r="BH323" s="177"/>
      <c r="BI323" s="177"/>
      <c r="BJ323" s="177"/>
      <c r="BK323" s="177"/>
      <c r="BL323" s="177"/>
      <c r="BM323" s="177"/>
      <c r="BN323" s="177"/>
    </row>
    <row r="324" spans="1:66" ht="20.100000000000001" customHeight="1" x14ac:dyDescent="0.25">
      <c r="A324" s="162" t="s">
        <v>89</v>
      </c>
      <c r="B324" s="162"/>
      <c r="C324" s="162"/>
      <c r="D324" s="162"/>
      <c r="E324" s="162"/>
      <c r="F324" s="162"/>
      <c r="G324" s="173" t="s">
        <v>97</v>
      </c>
      <c r="H324" s="173"/>
      <c r="I324" s="173"/>
      <c r="J324" s="173"/>
      <c r="K324" s="173" t="s">
        <v>98</v>
      </c>
      <c r="L324" s="173"/>
      <c r="M324" s="173"/>
      <c r="N324" s="173"/>
      <c r="O324" s="173" t="s">
        <v>99</v>
      </c>
      <c r="P324" s="173"/>
      <c r="Q324" s="173"/>
      <c r="R324" s="173"/>
    </row>
    <row r="325" spans="1:66" ht="20.100000000000001" customHeight="1" x14ac:dyDescent="0.25">
      <c r="A325" s="162"/>
      <c r="B325" s="162"/>
      <c r="C325" s="162"/>
      <c r="D325" s="162"/>
      <c r="E325" s="162"/>
      <c r="F325" s="162"/>
      <c r="G325" s="173"/>
      <c r="H325" s="173"/>
      <c r="I325" s="173"/>
      <c r="J325" s="173"/>
      <c r="K325" s="173"/>
      <c r="L325" s="173"/>
      <c r="M325" s="173"/>
      <c r="N325" s="173"/>
      <c r="O325" s="173"/>
      <c r="P325" s="173"/>
      <c r="Q325" s="173"/>
      <c r="R325" s="173"/>
    </row>
    <row r="328" spans="1:66" ht="20.100000000000001" customHeight="1" x14ac:dyDescent="0.25">
      <c r="A328" s="171" t="s">
        <v>508</v>
      </c>
      <c r="B328" s="171"/>
      <c r="C328" s="171"/>
      <c r="D328" s="171"/>
      <c r="E328" s="171"/>
      <c r="F328" s="171"/>
      <c r="G328" s="171"/>
      <c r="H328" s="171"/>
      <c r="I328" s="171"/>
      <c r="J328" s="171"/>
      <c r="K328" s="171"/>
      <c r="L328" s="171"/>
      <c r="M328" s="171"/>
      <c r="N328" s="171"/>
      <c r="O328" s="171"/>
      <c r="P328" s="171"/>
      <c r="Q328" s="171"/>
      <c r="R328" s="171"/>
    </row>
    <row r="329" spans="1:66" ht="20.100000000000001" customHeight="1" x14ac:dyDescent="0.25">
      <c r="V329" s="106"/>
    </row>
    <row r="330" spans="1:66" ht="20.100000000000001" customHeight="1" x14ac:dyDescent="0.25">
      <c r="A330" s="120" t="s">
        <v>73</v>
      </c>
      <c r="B330" s="120"/>
      <c r="C330" s="120"/>
      <c r="D330" s="120"/>
      <c r="E330" s="120"/>
      <c r="F330" s="120"/>
      <c r="G330" s="120"/>
      <c r="H330" s="120"/>
      <c r="I330" s="120"/>
      <c r="J330" s="120"/>
      <c r="K330" s="120"/>
      <c r="L330" s="120"/>
      <c r="M330" s="172">
        <v>320</v>
      </c>
      <c r="N330" s="172"/>
      <c r="O330" s="172"/>
      <c r="P330" s="172"/>
      <c r="Q330" s="172"/>
      <c r="R330" s="172"/>
      <c r="V330" s="106"/>
    </row>
    <row r="331" spans="1:66" ht="20.100000000000001" customHeight="1" x14ac:dyDescent="0.25">
      <c r="A331" s="120" t="s">
        <v>74</v>
      </c>
      <c r="B331" s="120"/>
      <c r="C331" s="120"/>
      <c r="D331" s="120"/>
      <c r="E331" s="120"/>
      <c r="F331" s="120"/>
      <c r="G331" s="120"/>
      <c r="H331" s="120"/>
      <c r="I331" s="120"/>
      <c r="J331" s="120"/>
      <c r="K331" s="120"/>
      <c r="L331" s="120"/>
      <c r="M331" s="121">
        <f>E302</f>
        <v>522.05864661654141</v>
      </c>
      <c r="N331" s="121"/>
      <c r="O331" s="121"/>
      <c r="P331" s="121"/>
      <c r="Q331" s="121"/>
      <c r="R331" s="121"/>
    </row>
    <row r="332" spans="1:66" ht="20.100000000000001" customHeight="1" x14ac:dyDescent="0.25">
      <c r="A332" s="120" t="s">
        <v>96</v>
      </c>
      <c r="B332" s="120"/>
      <c r="C332" s="120"/>
      <c r="D332" s="120"/>
      <c r="E332" s="120"/>
      <c r="F332" s="120"/>
      <c r="G332" s="120"/>
      <c r="H332" s="120"/>
      <c r="I332" s="120"/>
      <c r="J332" s="120"/>
      <c r="K332" s="120"/>
      <c r="L332" s="120"/>
      <c r="M332" s="121">
        <f>M330*M331</f>
        <v>167058.76691729325</v>
      </c>
      <c r="N332" s="121"/>
      <c r="O332" s="121"/>
      <c r="P332" s="121"/>
      <c r="Q332" s="121"/>
      <c r="R332" s="121"/>
      <c r="AA332" s="106"/>
    </row>
    <row r="333" spans="1:66" ht="20.100000000000001" customHeight="1" x14ac:dyDescent="0.25">
      <c r="AA333" s="106"/>
    </row>
    <row r="335" spans="1:66" ht="20.100000000000001" customHeight="1" x14ac:dyDescent="0.25">
      <c r="A335" s="111" t="s">
        <v>388</v>
      </c>
      <c r="B335" s="111"/>
      <c r="C335" s="111"/>
      <c r="D335" s="111"/>
      <c r="E335" s="111"/>
      <c r="F335" s="111"/>
      <c r="G335" s="111"/>
      <c r="H335" s="111"/>
      <c r="I335" s="111"/>
      <c r="J335" s="111"/>
      <c r="K335" s="111"/>
      <c r="L335" s="111"/>
      <c r="M335" s="111"/>
      <c r="N335" s="111"/>
      <c r="O335" s="111"/>
      <c r="P335" s="111"/>
      <c r="Q335" s="111"/>
      <c r="R335" s="111"/>
      <c r="V335" s="65"/>
      <c r="W335" s="65"/>
      <c r="X335" s="65"/>
      <c r="Y335" s="65"/>
      <c r="Z335" s="65"/>
      <c r="AA335" s="65"/>
      <c r="AB335" s="65"/>
      <c r="AC335" s="65"/>
      <c r="AD335" s="65"/>
      <c r="AE335" s="65"/>
      <c r="AF335" s="65"/>
      <c r="AH335" s="66" t="s">
        <v>389</v>
      </c>
      <c r="AI335" s="66" t="s">
        <v>390</v>
      </c>
    </row>
    <row r="336" spans="1:66" ht="20.100000000000001" customHeight="1" x14ac:dyDescent="0.25">
      <c r="AH336" s="66" t="s">
        <v>391</v>
      </c>
      <c r="AI336" s="66" t="s">
        <v>392</v>
      </c>
    </row>
    <row r="337" spans="1:35" ht="20.100000000000001" customHeight="1" x14ac:dyDescent="0.25">
      <c r="A337" s="182" t="s">
        <v>470</v>
      </c>
      <c r="B337" s="182"/>
      <c r="C337" s="182"/>
      <c r="D337" s="182"/>
      <c r="E337" s="182"/>
      <c r="F337" s="182"/>
      <c r="G337" s="182"/>
      <c r="H337" s="182"/>
      <c r="I337" s="182"/>
      <c r="J337" s="182"/>
      <c r="K337" s="182"/>
      <c r="L337" s="182"/>
      <c r="M337" s="182"/>
      <c r="N337" s="182"/>
      <c r="O337" s="182"/>
      <c r="P337" s="182"/>
      <c r="Q337" s="182"/>
      <c r="R337" s="182"/>
      <c r="S337" s="73"/>
      <c r="AH337" s="66" t="s">
        <v>393</v>
      </c>
      <c r="AI337" s="66" t="s">
        <v>394</v>
      </c>
    </row>
    <row r="338" spans="1:35" ht="20.100000000000001" customHeight="1" x14ac:dyDescent="0.25">
      <c r="A338" s="182"/>
      <c r="B338" s="182"/>
      <c r="C338" s="182"/>
      <c r="D338" s="182"/>
      <c r="E338" s="182"/>
      <c r="F338" s="182"/>
      <c r="G338" s="182"/>
      <c r="H338" s="182"/>
      <c r="I338" s="182"/>
      <c r="J338" s="182"/>
      <c r="K338" s="182"/>
      <c r="L338" s="182"/>
      <c r="M338" s="182"/>
      <c r="N338" s="182"/>
      <c r="O338" s="182"/>
      <c r="P338" s="182"/>
      <c r="Q338" s="182"/>
      <c r="R338" s="182"/>
      <c r="S338" s="73"/>
      <c r="AH338" s="66" t="s">
        <v>395</v>
      </c>
      <c r="AI338" s="66" t="s">
        <v>396</v>
      </c>
    </row>
    <row r="339" spans="1:35" ht="20.100000000000001" customHeight="1" x14ac:dyDescent="0.25">
      <c r="A339" s="182"/>
      <c r="B339" s="182"/>
      <c r="C339" s="182"/>
      <c r="D339" s="182"/>
      <c r="E339" s="182"/>
      <c r="F339" s="182"/>
      <c r="G339" s="182"/>
      <c r="H339" s="182"/>
      <c r="I339" s="182"/>
      <c r="J339" s="182"/>
      <c r="K339" s="182"/>
      <c r="L339" s="182"/>
      <c r="M339" s="182"/>
      <c r="N339" s="182"/>
      <c r="O339" s="182"/>
      <c r="P339" s="182"/>
      <c r="Q339" s="182"/>
      <c r="R339" s="182"/>
      <c r="S339" s="73"/>
      <c r="AH339" s="66" t="s">
        <v>519</v>
      </c>
      <c r="AI339" s="66" t="s">
        <v>398</v>
      </c>
    </row>
    <row r="340" spans="1:35" ht="20.100000000000001" customHeight="1" x14ac:dyDescent="0.25">
      <c r="AH340" s="66" t="s">
        <v>397</v>
      </c>
      <c r="AI340" s="66" t="s">
        <v>400</v>
      </c>
    </row>
    <row r="341" spans="1:35" ht="20.100000000000001" customHeight="1" x14ac:dyDescent="0.25">
      <c r="A341" s="120" t="s">
        <v>401</v>
      </c>
      <c r="B341" s="120"/>
      <c r="C341" s="120"/>
      <c r="D341" s="183" t="s">
        <v>396</v>
      </c>
      <c r="E341" s="183"/>
      <c r="F341" s="183"/>
      <c r="G341" s="183"/>
      <c r="H341" s="183"/>
      <c r="I341" s="183"/>
      <c r="J341" s="120" t="s">
        <v>402</v>
      </c>
      <c r="K341" s="120"/>
      <c r="L341" s="120"/>
      <c r="M341" s="120"/>
      <c r="N341" s="120"/>
      <c r="O341" s="193" t="s">
        <v>392</v>
      </c>
      <c r="P341" s="193"/>
      <c r="Q341" s="193"/>
      <c r="R341" s="193"/>
      <c r="AH341" s="66" t="s">
        <v>399</v>
      </c>
      <c r="AI341" s="66" t="s">
        <v>64</v>
      </c>
    </row>
    <row r="342" spans="1:35" ht="20.100000000000001" customHeight="1" x14ac:dyDescent="0.25">
      <c r="A342" s="130" t="s">
        <v>404</v>
      </c>
      <c r="B342" s="130"/>
      <c r="C342" s="130"/>
      <c r="D342" s="194" t="s">
        <v>389</v>
      </c>
      <c r="E342" s="194"/>
      <c r="F342" s="194"/>
      <c r="G342" s="194"/>
      <c r="H342" s="194"/>
      <c r="I342" s="194"/>
      <c r="J342" s="130" t="s">
        <v>405</v>
      </c>
      <c r="K342" s="130"/>
      <c r="L342" s="130"/>
      <c r="M342" s="130"/>
      <c r="N342" s="130"/>
      <c r="O342" s="151" t="s">
        <v>406</v>
      </c>
      <c r="P342" s="151"/>
      <c r="Q342" s="151"/>
      <c r="R342" s="151"/>
      <c r="AH342" s="66" t="s">
        <v>403</v>
      </c>
    </row>
    <row r="343" spans="1:35" ht="20.100000000000001" customHeight="1" x14ac:dyDescent="0.25">
      <c r="A343" s="130" t="s">
        <v>410</v>
      </c>
      <c r="B343" s="130"/>
      <c r="C343" s="130"/>
      <c r="D343" s="130"/>
      <c r="E343" s="130"/>
      <c r="F343" s="130"/>
      <c r="G343" s="130"/>
      <c r="H343" s="130"/>
      <c r="I343" s="130"/>
      <c r="J343" s="130"/>
      <c r="K343" s="130"/>
      <c r="L343" s="130"/>
      <c r="M343" s="130"/>
      <c r="N343" s="130"/>
      <c r="O343" s="188">
        <v>1997.51</v>
      </c>
      <c r="P343" s="188"/>
      <c r="Q343" s="188"/>
      <c r="R343" s="188"/>
      <c r="AH343" s="66" t="s">
        <v>407</v>
      </c>
    </row>
    <row r="345" spans="1:35" ht="20.100000000000001" customHeight="1" x14ac:dyDescent="0.25">
      <c r="A345" s="195" t="s">
        <v>408</v>
      </c>
      <c r="B345" s="195"/>
      <c r="C345" s="195"/>
      <c r="D345" s="195"/>
      <c r="E345" s="195"/>
      <c r="F345" s="195"/>
      <c r="G345" s="195"/>
      <c r="H345" s="195"/>
      <c r="I345" s="195"/>
      <c r="J345" s="195"/>
      <c r="K345" s="195"/>
      <c r="L345" s="195"/>
      <c r="M345" s="195"/>
      <c r="N345" s="195"/>
      <c r="O345" s="195"/>
      <c r="P345" s="195"/>
      <c r="Q345" s="195"/>
      <c r="R345" s="195"/>
    </row>
    <row r="346" spans="1:35" ht="20.100000000000001" customHeight="1" x14ac:dyDescent="0.25">
      <c r="A346" s="195" t="s">
        <v>409</v>
      </c>
      <c r="B346" s="195"/>
      <c r="C346" s="195"/>
      <c r="D346" s="195"/>
      <c r="E346" s="195"/>
      <c r="F346" s="195"/>
      <c r="G346" s="195"/>
      <c r="H346" s="195"/>
      <c r="I346" s="195"/>
      <c r="J346" s="195"/>
      <c r="K346" s="195"/>
      <c r="L346" s="195"/>
      <c r="M346" s="195"/>
      <c r="N346" s="195"/>
      <c r="O346" s="195"/>
      <c r="P346" s="195"/>
      <c r="Q346" s="195"/>
      <c r="R346" s="195"/>
    </row>
    <row r="347" spans="1:35" ht="20.100000000000001" customHeight="1" x14ac:dyDescent="0.25">
      <c r="A347" s="195"/>
      <c r="B347" s="195"/>
      <c r="C347" s="195"/>
      <c r="D347" s="195"/>
      <c r="E347" s="195"/>
      <c r="F347" s="195"/>
      <c r="G347" s="195"/>
      <c r="H347" s="195"/>
      <c r="I347" s="195"/>
      <c r="J347" s="195"/>
      <c r="K347" s="195"/>
      <c r="L347" s="195"/>
      <c r="M347" s="195"/>
      <c r="N347" s="195"/>
      <c r="O347" s="195"/>
      <c r="P347" s="195"/>
      <c r="Q347" s="195"/>
      <c r="R347" s="195"/>
    </row>
    <row r="348" spans="1:35" ht="20.100000000000001" customHeight="1" x14ac:dyDescent="0.25">
      <c r="A348" s="195"/>
      <c r="B348" s="195"/>
      <c r="C348" s="195"/>
      <c r="D348" s="195"/>
      <c r="E348" s="195"/>
      <c r="F348" s="195"/>
      <c r="G348" s="195"/>
      <c r="H348" s="195"/>
      <c r="I348" s="195"/>
      <c r="J348" s="195"/>
      <c r="K348" s="195"/>
      <c r="L348" s="195"/>
      <c r="M348" s="195"/>
      <c r="N348" s="195"/>
      <c r="O348" s="195"/>
      <c r="P348" s="195"/>
      <c r="Q348" s="195"/>
      <c r="R348" s="195"/>
    </row>
    <row r="349" spans="1:35" ht="20.100000000000001" customHeight="1" x14ac:dyDescent="0.25">
      <c r="A349" s="195"/>
      <c r="B349" s="195"/>
      <c r="C349" s="195"/>
      <c r="D349" s="195"/>
      <c r="E349" s="195"/>
      <c r="F349" s="195"/>
      <c r="G349" s="195"/>
      <c r="H349" s="195"/>
      <c r="I349" s="195"/>
      <c r="J349" s="195"/>
      <c r="K349" s="195"/>
      <c r="L349" s="195"/>
      <c r="M349" s="195"/>
      <c r="N349" s="195"/>
      <c r="O349" s="195"/>
      <c r="P349" s="195"/>
      <c r="Q349" s="195"/>
      <c r="R349" s="195"/>
    </row>
    <row r="350" spans="1:35" ht="20.100000000000001" customHeight="1" x14ac:dyDescent="0.25">
      <c r="A350" s="195"/>
      <c r="B350" s="195"/>
      <c r="C350" s="195"/>
      <c r="D350" s="195"/>
      <c r="E350" s="195"/>
      <c r="F350" s="195"/>
      <c r="G350" s="195"/>
      <c r="H350" s="195"/>
      <c r="I350" s="195"/>
      <c r="J350" s="195"/>
      <c r="K350" s="195"/>
      <c r="L350" s="195"/>
      <c r="M350" s="195"/>
      <c r="N350" s="195"/>
      <c r="O350" s="195"/>
      <c r="P350" s="195"/>
      <c r="Q350" s="195"/>
      <c r="R350" s="195"/>
    </row>
    <row r="351" spans="1:35" ht="20.100000000000001" customHeight="1" x14ac:dyDescent="0.25">
      <c r="A351" s="26"/>
      <c r="B351" s="26"/>
      <c r="C351" s="26"/>
      <c r="D351" s="26"/>
      <c r="E351" s="26"/>
      <c r="F351" s="26"/>
      <c r="G351" s="26"/>
      <c r="H351" s="26"/>
      <c r="I351" s="26"/>
      <c r="J351" s="26"/>
      <c r="K351" s="26"/>
      <c r="L351" s="26"/>
      <c r="M351" s="26"/>
      <c r="N351" s="26"/>
      <c r="O351" s="26"/>
      <c r="P351" s="26"/>
    </row>
    <row r="352" spans="1:35" ht="39.950000000000003" customHeight="1" x14ac:dyDescent="0.25">
      <c r="A352" s="27" t="s">
        <v>17</v>
      </c>
      <c r="B352" s="189" t="s">
        <v>87</v>
      </c>
      <c r="C352" s="189"/>
      <c r="D352" s="189"/>
      <c r="E352" s="189"/>
      <c r="F352" s="189"/>
      <c r="G352" s="189"/>
      <c r="H352" s="189"/>
      <c r="I352" s="189"/>
      <c r="J352" s="189"/>
      <c r="K352" s="189" t="s">
        <v>448</v>
      </c>
      <c r="L352" s="189"/>
      <c r="M352" s="189" t="s">
        <v>449</v>
      </c>
      <c r="N352" s="189"/>
      <c r="O352" s="189" t="s">
        <v>450</v>
      </c>
      <c r="P352" s="189"/>
      <c r="Q352" s="189" t="s">
        <v>451</v>
      </c>
      <c r="R352" s="189"/>
    </row>
    <row r="353" spans="1:18" ht="20.100000000000001" customHeight="1" x14ac:dyDescent="0.25">
      <c r="A353" s="28" t="s">
        <v>452</v>
      </c>
      <c r="B353" s="196"/>
      <c r="C353" s="196"/>
      <c r="D353" s="196"/>
      <c r="E353" s="196"/>
      <c r="F353" s="196"/>
      <c r="G353" s="196"/>
      <c r="H353" s="196"/>
      <c r="I353" s="196"/>
      <c r="J353" s="196"/>
      <c r="K353" s="190">
        <v>0</v>
      </c>
      <c r="L353" s="190"/>
      <c r="M353" s="191">
        <f t="shared" ref="M353:M367" si="29">K353/$K$369</f>
        <v>0</v>
      </c>
      <c r="N353" s="191"/>
      <c r="O353" s="192">
        <v>0.5</v>
      </c>
      <c r="P353" s="192"/>
      <c r="Q353" s="192">
        <f t="shared" ref="Q353:Q362" si="30">K353*O353</f>
        <v>0</v>
      </c>
      <c r="R353" s="192"/>
    </row>
    <row r="354" spans="1:18" ht="20.100000000000001" customHeight="1" x14ac:dyDescent="0.25">
      <c r="A354" s="29" t="s">
        <v>453</v>
      </c>
      <c r="B354" s="196"/>
      <c r="C354" s="196"/>
      <c r="D354" s="196"/>
      <c r="E354" s="196"/>
      <c r="F354" s="196"/>
      <c r="G354" s="196"/>
      <c r="H354" s="196"/>
      <c r="I354" s="196"/>
      <c r="J354" s="196"/>
      <c r="K354" s="190">
        <v>149</v>
      </c>
      <c r="L354" s="190"/>
      <c r="M354" s="191">
        <f t="shared" si="29"/>
        <v>0.51027397260273977</v>
      </c>
      <c r="N354" s="191"/>
      <c r="O354" s="192">
        <v>1</v>
      </c>
      <c r="P354" s="192"/>
      <c r="Q354" s="192">
        <f t="shared" si="30"/>
        <v>149</v>
      </c>
      <c r="R354" s="192"/>
    </row>
    <row r="355" spans="1:18" ht="20.100000000000001" customHeight="1" x14ac:dyDescent="0.25">
      <c r="A355" s="29" t="s">
        <v>454</v>
      </c>
      <c r="B355" s="196"/>
      <c r="C355" s="196"/>
      <c r="D355" s="196"/>
      <c r="E355" s="196"/>
      <c r="F355" s="196"/>
      <c r="G355" s="196"/>
      <c r="H355" s="196"/>
      <c r="I355" s="196"/>
      <c r="J355" s="196"/>
      <c r="K355" s="190">
        <v>12</v>
      </c>
      <c r="L355" s="190"/>
      <c r="M355" s="191">
        <f t="shared" si="29"/>
        <v>4.1095890410958902E-2</v>
      </c>
      <c r="N355" s="191"/>
      <c r="O355" s="192">
        <v>1</v>
      </c>
      <c r="P355" s="192"/>
      <c r="Q355" s="192">
        <f t="shared" si="30"/>
        <v>12</v>
      </c>
      <c r="R355" s="192"/>
    </row>
    <row r="356" spans="1:18" ht="20.100000000000001" customHeight="1" x14ac:dyDescent="0.25">
      <c r="A356" s="29" t="s">
        <v>455</v>
      </c>
      <c r="B356" s="196"/>
      <c r="C356" s="196"/>
      <c r="D356" s="196"/>
      <c r="E356" s="196"/>
      <c r="F356" s="196"/>
      <c r="G356" s="196"/>
      <c r="H356" s="196"/>
      <c r="I356" s="196"/>
      <c r="J356" s="196"/>
      <c r="K356" s="190">
        <v>0</v>
      </c>
      <c r="L356" s="190"/>
      <c r="M356" s="191">
        <f t="shared" si="29"/>
        <v>0</v>
      </c>
      <c r="N356" s="191"/>
      <c r="O356" s="192">
        <v>0.75</v>
      </c>
      <c r="P356" s="192"/>
      <c r="Q356" s="192">
        <f t="shared" si="30"/>
        <v>0</v>
      </c>
      <c r="R356" s="192"/>
    </row>
    <row r="357" spans="1:18" ht="20.100000000000001" customHeight="1" x14ac:dyDescent="0.25">
      <c r="A357" s="29" t="s">
        <v>456</v>
      </c>
      <c r="B357" s="196"/>
      <c r="C357" s="196"/>
      <c r="D357" s="196"/>
      <c r="E357" s="196"/>
      <c r="F357" s="196"/>
      <c r="G357" s="196"/>
      <c r="H357" s="196"/>
      <c r="I357" s="196"/>
      <c r="J357" s="196"/>
      <c r="K357" s="190">
        <v>0</v>
      </c>
      <c r="L357" s="190"/>
      <c r="M357" s="191">
        <f t="shared" si="29"/>
        <v>0</v>
      </c>
      <c r="N357" s="191"/>
      <c r="O357" s="192">
        <v>0.4</v>
      </c>
      <c r="P357" s="192"/>
      <c r="Q357" s="192">
        <f t="shared" si="30"/>
        <v>0</v>
      </c>
      <c r="R357" s="192"/>
    </row>
    <row r="358" spans="1:18" ht="20.100000000000001" customHeight="1" x14ac:dyDescent="0.25">
      <c r="A358" s="29" t="s">
        <v>457</v>
      </c>
      <c r="B358" s="196"/>
      <c r="C358" s="196"/>
      <c r="D358" s="196"/>
      <c r="E358" s="196"/>
      <c r="F358" s="196"/>
      <c r="G358" s="196"/>
      <c r="H358" s="196"/>
      <c r="I358" s="196"/>
      <c r="J358" s="196"/>
      <c r="K358" s="190">
        <v>16</v>
      </c>
      <c r="L358" s="190"/>
      <c r="M358" s="191">
        <f t="shared" si="29"/>
        <v>5.4794520547945202E-2</v>
      </c>
      <c r="N358" s="191"/>
      <c r="O358" s="192">
        <v>0.75</v>
      </c>
      <c r="P358" s="192"/>
      <c r="Q358" s="192">
        <f t="shared" si="30"/>
        <v>12</v>
      </c>
      <c r="R358" s="192"/>
    </row>
    <row r="359" spans="1:18" ht="20.100000000000001" customHeight="1" x14ac:dyDescent="0.25">
      <c r="A359" s="29" t="s">
        <v>458</v>
      </c>
      <c r="B359" s="196"/>
      <c r="C359" s="196"/>
      <c r="D359" s="196"/>
      <c r="E359" s="196"/>
      <c r="F359" s="196"/>
      <c r="G359" s="196"/>
      <c r="H359" s="196"/>
      <c r="I359" s="196"/>
      <c r="J359" s="196"/>
      <c r="K359" s="190">
        <v>0</v>
      </c>
      <c r="L359" s="190"/>
      <c r="M359" s="191">
        <f t="shared" si="29"/>
        <v>0</v>
      </c>
      <c r="N359" s="191"/>
      <c r="O359" s="192">
        <v>0.3</v>
      </c>
      <c r="P359" s="192"/>
      <c r="Q359" s="192">
        <f t="shared" si="30"/>
        <v>0</v>
      </c>
      <c r="R359" s="192"/>
    </row>
    <row r="360" spans="1:18" ht="20.100000000000001" customHeight="1" x14ac:dyDescent="0.25">
      <c r="A360" s="29" t="s">
        <v>459</v>
      </c>
      <c r="B360" s="196"/>
      <c r="C360" s="196"/>
      <c r="D360" s="196"/>
      <c r="E360" s="196"/>
      <c r="F360" s="196"/>
      <c r="G360" s="196"/>
      <c r="H360" s="196"/>
      <c r="I360" s="196"/>
      <c r="J360" s="196"/>
      <c r="K360" s="190">
        <v>0</v>
      </c>
      <c r="L360" s="190"/>
      <c r="M360" s="191">
        <f t="shared" si="29"/>
        <v>0</v>
      </c>
      <c r="N360" s="191"/>
      <c r="O360" s="192">
        <v>0.05</v>
      </c>
      <c r="P360" s="192"/>
      <c r="Q360" s="192">
        <f t="shared" si="30"/>
        <v>0</v>
      </c>
      <c r="R360" s="192"/>
    </row>
    <row r="361" spans="1:18" ht="20.100000000000001" customHeight="1" x14ac:dyDescent="0.25">
      <c r="A361" s="29" t="s">
        <v>460</v>
      </c>
      <c r="B361" s="196"/>
      <c r="C361" s="196"/>
      <c r="D361" s="196"/>
      <c r="E361" s="196"/>
      <c r="F361" s="196"/>
      <c r="G361" s="196"/>
      <c r="H361" s="196"/>
      <c r="I361" s="196"/>
      <c r="J361" s="196"/>
      <c r="K361" s="190">
        <v>85</v>
      </c>
      <c r="L361" s="190"/>
      <c r="M361" s="191">
        <f t="shared" si="29"/>
        <v>0.2910958904109589</v>
      </c>
      <c r="N361" s="191"/>
      <c r="O361" s="192">
        <v>0</v>
      </c>
      <c r="P361" s="192"/>
      <c r="Q361" s="192">
        <f t="shared" si="30"/>
        <v>0</v>
      </c>
      <c r="R361" s="192"/>
    </row>
    <row r="362" spans="1:18" ht="20.100000000000001" customHeight="1" x14ac:dyDescent="0.25">
      <c r="A362" s="30" t="s">
        <v>461</v>
      </c>
      <c r="B362" s="196"/>
      <c r="C362" s="196"/>
      <c r="D362" s="196"/>
      <c r="E362" s="196"/>
      <c r="F362" s="196"/>
      <c r="G362" s="196"/>
      <c r="H362" s="196"/>
      <c r="I362" s="196"/>
      <c r="J362" s="196"/>
      <c r="K362" s="198">
        <v>12</v>
      </c>
      <c r="L362" s="198"/>
      <c r="M362" s="199">
        <f t="shared" si="29"/>
        <v>4.1095890410958902E-2</v>
      </c>
      <c r="N362" s="199"/>
      <c r="O362" s="200">
        <v>0.5</v>
      </c>
      <c r="P362" s="200"/>
      <c r="Q362" s="201">
        <f t="shared" si="30"/>
        <v>6</v>
      </c>
      <c r="R362" s="201"/>
    </row>
    <row r="363" spans="1:18" ht="20.100000000000001" customHeight="1" x14ac:dyDescent="0.25">
      <c r="A363" s="29" t="s">
        <v>462</v>
      </c>
      <c r="B363" s="196"/>
      <c r="C363" s="196"/>
      <c r="D363" s="196"/>
      <c r="E363" s="196"/>
      <c r="F363" s="196"/>
      <c r="G363" s="196"/>
      <c r="H363" s="196"/>
      <c r="I363" s="196"/>
      <c r="J363" s="196"/>
      <c r="K363" s="190">
        <v>0</v>
      </c>
      <c r="L363" s="190"/>
      <c r="M363" s="199">
        <f t="shared" si="29"/>
        <v>0</v>
      </c>
      <c r="N363" s="199"/>
      <c r="O363" s="192">
        <v>0.5</v>
      </c>
      <c r="P363" s="192"/>
      <c r="Q363" s="192">
        <f>K363*O363</f>
        <v>0</v>
      </c>
      <c r="R363" s="192"/>
    </row>
    <row r="364" spans="1:18" ht="20.100000000000001" customHeight="1" x14ac:dyDescent="0.25">
      <c r="A364" s="29" t="s">
        <v>463</v>
      </c>
      <c r="B364" s="196"/>
      <c r="C364" s="196"/>
      <c r="D364" s="196"/>
      <c r="E364" s="196"/>
      <c r="F364" s="196"/>
      <c r="G364" s="196"/>
      <c r="H364" s="196"/>
      <c r="I364" s="196"/>
      <c r="J364" s="196"/>
      <c r="K364" s="190">
        <v>0</v>
      </c>
      <c r="L364" s="190"/>
      <c r="M364" s="199">
        <f t="shared" si="29"/>
        <v>0</v>
      </c>
      <c r="N364" s="199"/>
      <c r="O364" s="192">
        <v>0.5</v>
      </c>
      <c r="P364" s="192"/>
      <c r="Q364" s="192">
        <f>K364*O364</f>
        <v>0</v>
      </c>
      <c r="R364" s="192"/>
    </row>
    <row r="365" spans="1:18" ht="20.100000000000001" customHeight="1" x14ac:dyDescent="0.25">
      <c r="A365" s="29" t="s">
        <v>464</v>
      </c>
      <c r="B365" s="196"/>
      <c r="C365" s="196"/>
      <c r="D365" s="196"/>
      <c r="E365" s="196"/>
      <c r="F365" s="196"/>
      <c r="G365" s="196"/>
      <c r="H365" s="196"/>
      <c r="I365" s="196"/>
      <c r="J365" s="196"/>
      <c r="K365" s="190">
        <v>0</v>
      </c>
      <c r="L365" s="190"/>
      <c r="M365" s="199">
        <f t="shared" si="29"/>
        <v>0</v>
      </c>
      <c r="N365" s="199"/>
      <c r="O365" s="192">
        <v>0.5</v>
      </c>
      <c r="P365" s="192"/>
      <c r="Q365" s="192">
        <f>K365*O365</f>
        <v>0</v>
      </c>
      <c r="R365" s="192"/>
    </row>
    <row r="366" spans="1:18" ht="20.100000000000001" customHeight="1" x14ac:dyDescent="0.25">
      <c r="A366" s="29" t="s">
        <v>465</v>
      </c>
      <c r="B366" s="196"/>
      <c r="C366" s="196"/>
      <c r="D366" s="196"/>
      <c r="E366" s="196"/>
      <c r="F366" s="196"/>
      <c r="G366" s="196"/>
      <c r="H366" s="196"/>
      <c r="I366" s="196"/>
      <c r="J366" s="196"/>
      <c r="K366" s="190">
        <v>0</v>
      </c>
      <c r="L366" s="190"/>
      <c r="M366" s="199">
        <f t="shared" si="29"/>
        <v>0</v>
      </c>
      <c r="N366" s="199"/>
      <c r="O366" s="192">
        <v>0.5</v>
      </c>
      <c r="P366" s="192"/>
      <c r="Q366" s="192">
        <f>K366*O366</f>
        <v>0</v>
      </c>
      <c r="R366" s="192"/>
    </row>
    <row r="367" spans="1:18" ht="20.100000000000001" customHeight="1" x14ac:dyDescent="0.25">
      <c r="A367" s="29" t="s">
        <v>466</v>
      </c>
      <c r="B367" s="196"/>
      <c r="C367" s="196"/>
      <c r="D367" s="196"/>
      <c r="E367" s="196"/>
      <c r="F367" s="196"/>
      <c r="G367" s="196"/>
      <c r="H367" s="196"/>
      <c r="I367" s="196"/>
      <c r="J367" s="196"/>
      <c r="K367" s="190">
        <v>18</v>
      </c>
      <c r="L367" s="190"/>
      <c r="M367" s="191">
        <f t="shared" si="29"/>
        <v>6.1643835616438353E-2</v>
      </c>
      <c r="N367" s="191"/>
      <c r="O367" s="192">
        <v>0.1</v>
      </c>
      <c r="P367" s="192"/>
      <c r="Q367" s="192">
        <f>K367*O367</f>
        <v>1.8</v>
      </c>
      <c r="R367" s="192"/>
    </row>
    <row r="368" spans="1:18" ht="20.100000000000001" customHeight="1" x14ac:dyDescent="0.25">
      <c r="A368" s="31"/>
      <c r="Q368" s="82"/>
      <c r="R368" s="82"/>
    </row>
    <row r="369" spans="1:18" ht="20.100000000000001" customHeight="1" x14ac:dyDescent="0.25">
      <c r="B369" s="207"/>
      <c r="C369" s="207"/>
      <c r="D369" s="207"/>
      <c r="E369" s="207"/>
      <c r="F369" s="207"/>
      <c r="G369" s="207"/>
      <c r="H369" s="207"/>
      <c r="I369" s="207"/>
      <c r="J369" s="207"/>
      <c r="K369" s="206">
        <f>SUM(K353:K367)</f>
        <v>292</v>
      </c>
      <c r="L369" s="206"/>
      <c r="M369" s="24"/>
      <c r="N369" s="207" t="s">
        <v>467</v>
      </c>
      <c r="O369" s="207"/>
      <c r="P369" s="207"/>
      <c r="Q369" s="208">
        <f>SUM(Q353:Q367)</f>
        <v>180.8</v>
      </c>
      <c r="R369" s="208"/>
    </row>
    <row r="371" spans="1:18" ht="20.100000000000001" customHeight="1" x14ac:dyDescent="0.25">
      <c r="A371" s="120" t="s">
        <v>468</v>
      </c>
      <c r="B371" s="120"/>
      <c r="C371" s="120"/>
      <c r="D371" s="120"/>
      <c r="E371" s="120"/>
      <c r="F371" s="120"/>
      <c r="G371" s="120"/>
      <c r="H371" s="120"/>
      <c r="I371" s="120"/>
      <c r="J371" s="120"/>
      <c r="K371" s="120"/>
      <c r="L371" s="120"/>
      <c r="M371" s="121">
        <f>Q369</f>
        <v>180.8</v>
      </c>
      <c r="N371" s="121"/>
      <c r="O371" s="121"/>
      <c r="P371" s="121"/>
      <c r="Q371" s="121"/>
      <c r="R371" s="121"/>
    </row>
    <row r="372" spans="1:18" ht="20.100000000000001" customHeight="1" x14ac:dyDescent="0.25">
      <c r="A372" s="130" t="s">
        <v>410</v>
      </c>
      <c r="B372" s="130"/>
      <c r="C372" s="130"/>
      <c r="D372" s="130"/>
      <c r="E372" s="130"/>
      <c r="F372" s="130"/>
      <c r="G372" s="130"/>
      <c r="H372" s="130"/>
      <c r="I372" s="130"/>
      <c r="J372" s="130"/>
      <c r="K372" s="130"/>
      <c r="L372" s="130"/>
      <c r="M372" s="178">
        <f>O343</f>
        <v>1997.51</v>
      </c>
      <c r="N372" s="178"/>
      <c r="O372" s="178"/>
      <c r="P372" s="178"/>
      <c r="Q372" s="178"/>
      <c r="R372" s="178"/>
    </row>
    <row r="373" spans="1:18" ht="20.100000000000001" customHeight="1" x14ac:dyDescent="0.25">
      <c r="A373" s="130" t="s">
        <v>411</v>
      </c>
      <c r="B373" s="130"/>
      <c r="C373" s="130"/>
      <c r="D373" s="130"/>
      <c r="E373" s="130"/>
      <c r="F373" s="130"/>
      <c r="G373" s="130"/>
      <c r="H373" s="130"/>
      <c r="I373" s="130"/>
      <c r="J373" s="130"/>
      <c r="K373" s="130"/>
      <c r="L373" s="130"/>
      <c r="M373" s="121">
        <f>O343*M371</f>
        <v>361149.80800000002</v>
      </c>
      <c r="N373" s="121"/>
      <c r="O373" s="121"/>
      <c r="P373" s="121"/>
      <c r="Q373" s="121"/>
      <c r="R373" s="121"/>
    </row>
    <row r="374" spans="1:18" ht="20.100000000000001" customHeight="1" x14ac:dyDescent="0.25">
      <c r="A374" s="26"/>
      <c r="B374" s="26"/>
      <c r="C374" s="26"/>
      <c r="D374" s="26"/>
      <c r="E374" s="26"/>
      <c r="F374" s="26"/>
      <c r="G374" s="26"/>
      <c r="H374" s="26"/>
      <c r="I374" s="26"/>
      <c r="J374" s="26"/>
      <c r="K374" s="26"/>
      <c r="L374" s="26"/>
      <c r="M374" s="26"/>
      <c r="N374" s="26"/>
      <c r="O374" s="26"/>
      <c r="P374" s="26"/>
      <c r="Q374" s="26"/>
      <c r="R374" s="26"/>
    </row>
    <row r="376" spans="1:18" ht="20.100000000000001" customHeight="1" x14ac:dyDescent="0.25">
      <c r="A376" s="185" t="s">
        <v>412</v>
      </c>
      <c r="B376" s="185"/>
      <c r="C376" s="185"/>
      <c r="D376" s="185"/>
      <c r="E376" s="185"/>
      <c r="F376" s="185"/>
      <c r="G376" s="185"/>
      <c r="H376" s="185"/>
      <c r="I376" s="185"/>
      <c r="J376" s="185"/>
      <c r="K376" s="185"/>
      <c r="L376" s="185"/>
      <c r="M376" s="185"/>
      <c r="N376" s="185"/>
      <c r="O376" s="185"/>
      <c r="P376" s="185"/>
      <c r="Q376" s="185"/>
      <c r="R376" s="185"/>
    </row>
    <row r="378" spans="1:18" ht="20.100000000000001" customHeight="1" x14ac:dyDescent="0.25">
      <c r="A378" s="120" t="s">
        <v>413</v>
      </c>
      <c r="B378" s="120"/>
      <c r="C378" s="120"/>
      <c r="D378" s="120"/>
      <c r="E378" s="203">
        <v>20</v>
      </c>
      <c r="F378" s="203"/>
      <c r="G378" s="203"/>
      <c r="H378" s="203"/>
    </row>
    <row r="379" spans="1:18" ht="20.100000000000001" customHeight="1" x14ac:dyDescent="0.25">
      <c r="A379" s="120" t="s">
        <v>414</v>
      </c>
      <c r="B379" s="120"/>
      <c r="C379" s="120"/>
      <c r="D379" s="120"/>
      <c r="E379" s="128">
        <v>70</v>
      </c>
      <c r="F379" s="128"/>
      <c r="G379" s="128"/>
      <c r="H379" s="128"/>
    </row>
    <row r="380" spans="1:18" ht="20.100000000000001" customHeight="1" x14ac:dyDescent="0.25">
      <c r="A380" s="130" t="s">
        <v>415</v>
      </c>
      <c r="B380" s="130"/>
      <c r="C380" s="130"/>
      <c r="D380" s="130"/>
      <c r="E380" s="159">
        <f>E378/E379</f>
        <v>0.2857142857142857</v>
      </c>
      <c r="F380" s="159"/>
      <c r="G380" s="159"/>
      <c r="H380" s="159"/>
    </row>
    <row r="382" spans="1:18" ht="20.100000000000001" customHeight="1" x14ac:dyDescent="0.25">
      <c r="A382" s="138" t="s">
        <v>416</v>
      </c>
      <c r="B382" s="138"/>
      <c r="C382" s="138"/>
      <c r="D382" s="138"/>
      <c r="E382" s="138"/>
      <c r="F382" s="138"/>
      <c r="G382" s="138"/>
      <c r="H382" s="138"/>
      <c r="I382" s="138"/>
      <c r="J382" s="138"/>
      <c r="K382" s="138"/>
      <c r="L382" s="138"/>
      <c r="M382" s="138"/>
      <c r="N382" s="138"/>
      <c r="O382" s="138"/>
      <c r="P382" s="138"/>
      <c r="Q382" s="138"/>
      <c r="R382" s="138"/>
    </row>
    <row r="391" spans="1:29" ht="20.100000000000001" customHeight="1" x14ac:dyDescent="0.25">
      <c r="Z391" s="66" t="s">
        <v>417</v>
      </c>
      <c r="AA391" s="66" t="s">
        <v>316</v>
      </c>
      <c r="AB391" s="66" t="s">
        <v>418</v>
      </c>
      <c r="AC391" s="66">
        <v>0</v>
      </c>
    </row>
    <row r="392" spans="1:29" ht="20.100000000000001" customHeight="1" x14ac:dyDescent="0.25">
      <c r="Z392" s="67">
        <f>1/2*((E378/E379)+(E378^2/E379^2))</f>
        <v>0.18367346938775508</v>
      </c>
      <c r="AA392" s="66" t="s">
        <v>318</v>
      </c>
      <c r="AB392" s="66" t="s">
        <v>419</v>
      </c>
      <c r="AC392" s="66">
        <v>0.32</v>
      </c>
    </row>
    <row r="393" spans="1:29" ht="20.100000000000001" customHeight="1" x14ac:dyDescent="0.25">
      <c r="AA393" s="66" t="s">
        <v>321</v>
      </c>
      <c r="AB393" s="66" t="s">
        <v>67</v>
      </c>
      <c r="AC393" s="66">
        <v>2.52</v>
      </c>
    </row>
    <row r="394" spans="1:29" ht="20.100000000000001" customHeight="1" x14ac:dyDescent="0.25">
      <c r="AA394" s="66" t="s">
        <v>323</v>
      </c>
      <c r="AB394" s="66" t="s">
        <v>420</v>
      </c>
      <c r="AC394" s="66">
        <v>8.09</v>
      </c>
    </row>
    <row r="395" spans="1:29" ht="20.100000000000001" customHeight="1" x14ac:dyDescent="0.25">
      <c r="A395" s="138" t="s">
        <v>421</v>
      </c>
      <c r="B395" s="138"/>
      <c r="C395" s="138"/>
      <c r="D395" s="138"/>
      <c r="E395" s="138"/>
      <c r="F395" s="138"/>
      <c r="G395" s="138"/>
      <c r="H395" s="138"/>
      <c r="I395" s="138"/>
      <c r="J395" s="138"/>
      <c r="K395" s="138"/>
      <c r="L395" s="138"/>
      <c r="M395" s="138"/>
      <c r="N395" s="138"/>
      <c r="O395" s="138"/>
      <c r="P395" s="138"/>
      <c r="Q395" s="138"/>
      <c r="R395" s="138"/>
      <c r="AA395" s="66" t="s">
        <v>326</v>
      </c>
      <c r="AB395" s="66" t="s">
        <v>422</v>
      </c>
      <c r="AC395" s="66">
        <v>18.100000000000001</v>
      </c>
    </row>
    <row r="396" spans="1:29" ht="20.100000000000001" customHeight="1" x14ac:dyDescent="0.25">
      <c r="AA396" s="66" t="s">
        <v>329</v>
      </c>
      <c r="AB396" s="66" t="s">
        <v>423</v>
      </c>
      <c r="AC396" s="66">
        <v>33.200000000000003</v>
      </c>
    </row>
    <row r="397" spans="1:29" ht="20.100000000000001" customHeight="1" x14ac:dyDescent="0.25">
      <c r="AA397" s="66" t="s">
        <v>332</v>
      </c>
      <c r="AB397" s="66" t="s">
        <v>424</v>
      </c>
      <c r="AC397" s="66">
        <v>52.6</v>
      </c>
    </row>
    <row r="398" spans="1:29" ht="20.100000000000001" customHeight="1" x14ac:dyDescent="0.25">
      <c r="AA398" s="66" t="s">
        <v>335</v>
      </c>
      <c r="AB398" s="66" t="s">
        <v>425</v>
      </c>
      <c r="AC398" s="66">
        <v>75.2</v>
      </c>
    </row>
    <row r="399" spans="1:29" ht="20.100000000000001" customHeight="1" x14ac:dyDescent="0.25">
      <c r="AA399" s="66" t="s">
        <v>82</v>
      </c>
      <c r="AB399" s="66" t="s">
        <v>426</v>
      </c>
      <c r="AC399" s="66">
        <v>100</v>
      </c>
    </row>
    <row r="400" spans="1:29" ht="20.100000000000001" customHeight="1" x14ac:dyDescent="0.25">
      <c r="A400" s="138" t="s">
        <v>427</v>
      </c>
      <c r="B400" s="138"/>
      <c r="C400" s="138"/>
      <c r="D400" s="138"/>
      <c r="E400" s="138"/>
      <c r="F400" s="183" t="s">
        <v>321</v>
      </c>
      <c r="G400" s="183"/>
      <c r="H400" s="183"/>
      <c r="I400" s="183"/>
      <c r="J400" s="183"/>
      <c r="K400" s="183"/>
      <c r="L400" s="183"/>
    </row>
    <row r="401" spans="1:23" ht="20.100000000000001" customHeight="1" x14ac:dyDescent="0.25">
      <c r="A401" s="130" t="s">
        <v>428</v>
      </c>
      <c r="B401" s="130"/>
      <c r="C401" s="130"/>
      <c r="D401" s="130"/>
      <c r="E401" s="130"/>
      <c r="F401" s="130" t="str">
        <f>VLOOKUP(F400,AA391:AC399,2,0)</f>
        <v>regular</v>
      </c>
      <c r="G401" s="130"/>
      <c r="H401" s="130"/>
      <c r="I401" s="130"/>
      <c r="J401" s="130"/>
      <c r="K401" s="130"/>
      <c r="L401" s="130"/>
    </row>
    <row r="402" spans="1:23" ht="20.100000000000001" customHeight="1" x14ac:dyDescent="0.25">
      <c r="A402" s="130" t="s">
        <v>429</v>
      </c>
      <c r="B402" s="130"/>
      <c r="C402" s="130"/>
      <c r="D402" s="130"/>
      <c r="E402" s="130"/>
      <c r="F402" s="184">
        <f>VLOOKUP(F400,AA391:AC399,3,0)</f>
        <v>2.52</v>
      </c>
      <c r="G402" s="184"/>
      <c r="H402" s="184"/>
      <c r="I402" s="184"/>
      <c r="J402" s="184"/>
      <c r="K402" s="184"/>
      <c r="L402" s="184"/>
    </row>
    <row r="404" spans="1:23" ht="20.100000000000001" customHeight="1" x14ac:dyDescent="0.25">
      <c r="A404" s="138" t="s">
        <v>430</v>
      </c>
      <c r="B404" s="138"/>
      <c r="C404" s="138"/>
      <c r="D404" s="138"/>
      <c r="E404" s="138"/>
      <c r="F404" s="138"/>
      <c r="G404" s="138"/>
      <c r="H404" s="138"/>
      <c r="I404" s="138">
        <f>Z392+((1-Z392)*(F402/100))</f>
        <v>0.20424489795918366</v>
      </c>
      <c r="J404" s="138"/>
      <c r="K404" s="138"/>
      <c r="L404" s="138"/>
    </row>
    <row r="405" spans="1:23" ht="20.100000000000001" customHeight="1" x14ac:dyDescent="0.25">
      <c r="A405" s="130" t="s">
        <v>431</v>
      </c>
      <c r="B405" s="130"/>
      <c r="C405" s="130"/>
      <c r="D405" s="130"/>
      <c r="E405" s="130"/>
      <c r="F405" s="130"/>
      <c r="G405" s="130"/>
      <c r="H405" s="130"/>
      <c r="I405" s="159">
        <f>-(I404)</f>
        <v>-0.20424489795918366</v>
      </c>
      <c r="J405" s="159"/>
      <c r="K405" s="159"/>
      <c r="L405" s="159"/>
    </row>
    <row r="406" spans="1:23" ht="20.100000000000001" customHeight="1" x14ac:dyDescent="0.25">
      <c r="A406" s="130" t="s">
        <v>432</v>
      </c>
      <c r="B406" s="130"/>
      <c r="C406" s="130"/>
      <c r="D406" s="130"/>
      <c r="E406" s="130"/>
      <c r="F406" s="130"/>
      <c r="G406" s="130"/>
      <c r="H406" s="130"/>
      <c r="I406" s="202">
        <f>1+I405</f>
        <v>0.79575510204081634</v>
      </c>
      <c r="J406" s="202"/>
      <c r="K406" s="202"/>
      <c r="L406" s="202"/>
    </row>
    <row r="409" spans="1:23" ht="20.100000000000001" customHeight="1" x14ac:dyDescent="0.25">
      <c r="A409" s="120" t="s">
        <v>411</v>
      </c>
      <c r="B409" s="120"/>
      <c r="C409" s="120"/>
      <c r="D409" s="120"/>
      <c r="E409" s="120"/>
      <c r="F409" s="120"/>
      <c r="G409" s="120"/>
      <c r="H409" s="120"/>
      <c r="I409" s="120"/>
      <c r="J409" s="120"/>
      <c r="K409" s="120"/>
      <c r="L409" s="121">
        <f>M373</f>
        <v>361149.80800000002</v>
      </c>
      <c r="M409" s="121"/>
      <c r="N409" s="121"/>
      <c r="O409" s="121"/>
      <c r="P409" s="121"/>
      <c r="Q409" s="121"/>
      <c r="R409" s="121"/>
    </row>
    <row r="410" spans="1:23" ht="20.100000000000001" customHeight="1" x14ac:dyDescent="0.25">
      <c r="A410" s="120" t="s">
        <v>433</v>
      </c>
      <c r="B410" s="120"/>
      <c r="C410" s="120"/>
      <c r="D410" s="120"/>
      <c r="E410" s="120"/>
      <c r="F410" s="120"/>
      <c r="G410" s="120"/>
      <c r="H410" s="120"/>
      <c r="I410" s="120"/>
      <c r="J410" s="120"/>
      <c r="K410" s="120"/>
      <c r="L410" s="121">
        <f>L409*I405</f>
        <v>-73763.005682938776</v>
      </c>
      <c r="M410" s="121"/>
      <c r="N410" s="121"/>
      <c r="O410" s="121"/>
      <c r="P410" s="121"/>
      <c r="Q410" s="121"/>
      <c r="R410" s="121"/>
    </row>
    <row r="412" spans="1:23" ht="20.100000000000001" customHeight="1" x14ac:dyDescent="0.25">
      <c r="A412" s="185" t="s">
        <v>434</v>
      </c>
      <c r="B412" s="185"/>
      <c r="C412" s="185"/>
      <c r="D412" s="185"/>
      <c r="E412" s="185"/>
      <c r="F412" s="185"/>
      <c r="G412" s="185"/>
      <c r="H412" s="185"/>
      <c r="I412" s="185"/>
      <c r="J412" s="185"/>
      <c r="K412" s="185"/>
      <c r="L412" s="121">
        <f>L409+L410</f>
        <v>287386.80231706123</v>
      </c>
      <c r="M412" s="121"/>
      <c r="N412" s="121"/>
      <c r="O412" s="121"/>
      <c r="P412" s="121"/>
      <c r="Q412" s="121"/>
      <c r="R412" s="121"/>
    </row>
    <row r="414" spans="1:23" ht="20.100000000000001" customHeight="1" thickBot="1" x14ac:dyDescent="0.3">
      <c r="A414" s="33"/>
      <c r="B414" s="33"/>
      <c r="C414" s="33"/>
      <c r="D414" s="33"/>
      <c r="E414" s="33"/>
      <c r="F414" s="33"/>
      <c r="G414" s="33"/>
      <c r="H414" s="33"/>
      <c r="I414" s="33"/>
      <c r="J414" s="33"/>
      <c r="K414" s="33"/>
      <c r="L414" s="33"/>
      <c r="M414" s="33"/>
      <c r="N414" s="33"/>
      <c r="O414" s="33"/>
      <c r="P414" s="33"/>
      <c r="Q414" s="33"/>
      <c r="R414" s="33"/>
    </row>
    <row r="416" spans="1:23" ht="20.100000000000001" customHeight="1" x14ac:dyDescent="0.25">
      <c r="A416" s="186" t="s">
        <v>435</v>
      </c>
      <c r="B416" s="186"/>
      <c r="C416" s="186"/>
      <c r="D416" s="186"/>
      <c r="E416" s="186"/>
      <c r="F416" s="186"/>
      <c r="G416" s="186"/>
      <c r="H416" s="186"/>
      <c r="I416" s="186"/>
      <c r="J416" s="186"/>
      <c r="K416" s="186"/>
      <c r="L416" s="186"/>
      <c r="M416" s="186"/>
      <c r="N416" s="186"/>
      <c r="O416" s="186"/>
      <c r="P416" s="186"/>
      <c r="Q416" s="186"/>
      <c r="R416" s="186"/>
      <c r="V416" s="197" t="s">
        <v>436</v>
      </c>
      <c r="W416" s="197"/>
    </row>
    <row r="417" spans="1:24" ht="20.100000000000001" customHeight="1" x14ac:dyDescent="0.25">
      <c r="A417" s="120" t="s">
        <v>437</v>
      </c>
      <c r="B417" s="120"/>
      <c r="C417" s="120"/>
      <c r="D417" s="24"/>
      <c r="E417" s="24"/>
      <c r="F417" s="24"/>
      <c r="G417" s="24"/>
      <c r="H417" s="24"/>
      <c r="I417" s="24"/>
      <c r="J417" s="24"/>
      <c r="K417" s="183" t="s">
        <v>275</v>
      </c>
      <c r="L417" s="183"/>
      <c r="M417" s="183"/>
      <c r="N417" s="183"/>
      <c r="O417" s="183"/>
      <c r="P417" s="183"/>
      <c r="Q417" s="183"/>
      <c r="R417" s="183"/>
      <c r="V417" s="69" t="s">
        <v>274</v>
      </c>
      <c r="W417" s="70">
        <f>MATCH(K417,'VANTAGEM DA COISA FEITA'!$AN$11:$AQ$11,0)</f>
        <v>2</v>
      </c>
    </row>
    <row r="418" spans="1:24" ht="20.100000000000001" customHeight="1" x14ac:dyDescent="0.25">
      <c r="A418" s="130" t="s">
        <v>438</v>
      </c>
      <c r="B418" s="130"/>
      <c r="C418" s="130"/>
      <c r="D418" s="25"/>
      <c r="E418" s="25"/>
      <c r="F418" s="25"/>
      <c r="G418" s="25"/>
      <c r="H418" s="25"/>
      <c r="I418" s="25"/>
      <c r="J418" s="25"/>
      <c r="K418" s="36">
        <f>E378</f>
        <v>20</v>
      </c>
      <c r="L418" s="25" t="s">
        <v>439</v>
      </c>
      <c r="M418" s="25"/>
      <c r="N418" s="25"/>
      <c r="O418" s="25"/>
      <c r="P418" s="25"/>
      <c r="Q418" s="25"/>
      <c r="R418" s="25"/>
      <c r="V418" s="69" t="s">
        <v>276</v>
      </c>
      <c r="W418" s="70">
        <f>MATCH(K418,'VANTAGEM DA COISA FEITA'!$AM$12:$AM$81,0)</f>
        <v>20</v>
      </c>
    </row>
    <row r="419" spans="1:24" ht="20.100000000000001" customHeight="1" x14ac:dyDescent="0.25">
      <c r="W419" s="71" cm="1">
        <f t="array" ref="W419">INDEX('VANTAGEM DA COISA FEITA'!$AN$12:$AQ$81,W418,W417)</f>
        <v>7.8E-2</v>
      </c>
    </row>
    <row r="420" spans="1:24" ht="20.100000000000001" customHeight="1" x14ac:dyDescent="0.25">
      <c r="A420" s="120" t="s">
        <v>440</v>
      </c>
      <c r="B420" s="120"/>
      <c r="C420" s="120"/>
      <c r="D420" s="120"/>
      <c r="E420" s="120"/>
      <c r="F420" s="120"/>
      <c r="G420" s="120"/>
      <c r="H420" s="120"/>
      <c r="I420" s="120"/>
      <c r="J420" s="120"/>
      <c r="K420" s="120"/>
      <c r="L420" s="121">
        <f>M332</f>
        <v>167058.76691729325</v>
      </c>
      <c r="M420" s="121"/>
      <c r="N420" s="121"/>
      <c r="O420" s="121"/>
      <c r="P420" s="121"/>
      <c r="Q420" s="121"/>
      <c r="R420" s="121"/>
    </row>
    <row r="421" spans="1:24" ht="20.100000000000001" customHeight="1" x14ac:dyDescent="0.25">
      <c r="A421" s="120" t="s">
        <v>441</v>
      </c>
      <c r="B421" s="120"/>
      <c r="C421" s="120"/>
      <c r="D421" s="120"/>
      <c r="E421" s="120"/>
      <c r="F421" s="120"/>
      <c r="G421" s="120"/>
      <c r="H421" s="120"/>
      <c r="I421" s="120"/>
      <c r="J421" s="120"/>
      <c r="K421" s="120"/>
      <c r="L421" s="121">
        <f>L412</f>
        <v>287386.80231706123</v>
      </c>
      <c r="M421" s="121"/>
      <c r="N421" s="121"/>
      <c r="O421" s="121"/>
      <c r="P421" s="121"/>
      <c r="Q421" s="121"/>
      <c r="R421" s="121"/>
    </row>
    <row r="423" spans="1:24" ht="20.100000000000001" customHeight="1" x14ac:dyDescent="0.25">
      <c r="A423" s="120" t="s">
        <v>442</v>
      </c>
      <c r="B423" s="120"/>
      <c r="C423" s="120"/>
      <c r="D423" s="120"/>
      <c r="E423" s="120"/>
      <c r="F423" s="120"/>
      <c r="G423" s="120"/>
      <c r="H423" s="120"/>
      <c r="I423" s="120"/>
      <c r="J423" s="120"/>
      <c r="K423" s="120"/>
      <c r="L423" s="121">
        <f>L420+L421</f>
        <v>454445.56923435448</v>
      </c>
      <c r="M423" s="121"/>
      <c r="N423" s="121"/>
      <c r="O423" s="121"/>
      <c r="P423" s="121"/>
      <c r="Q423" s="121"/>
      <c r="R423" s="121"/>
    </row>
    <row r="424" spans="1:24" ht="20.100000000000001" customHeight="1" x14ac:dyDescent="0.25">
      <c r="A424" s="120" t="s">
        <v>443</v>
      </c>
      <c r="B424" s="120"/>
      <c r="C424" s="120"/>
      <c r="D424" s="120"/>
      <c r="E424" s="120"/>
      <c r="F424" s="120"/>
      <c r="G424" s="120"/>
      <c r="H424" s="120"/>
      <c r="I424" s="120"/>
      <c r="J424" s="120"/>
      <c r="K424" s="120"/>
      <c r="L424" s="187">
        <f>1+W419</f>
        <v>1.0780000000000001</v>
      </c>
      <c r="M424" s="187"/>
      <c r="N424" s="187"/>
      <c r="O424" s="187"/>
      <c r="P424" s="187"/>
      <c r="Q424" s="187"/>
      <c r="R424" s="187"/>
    </row>
    <row r="425" spans="1:24" ht="20.100000000000001" customHeight="1" x14ac:dyDescent="0.25">
      <c r="V425" s="66" t="s">
        <v>444</v>
      </c>
      <c r="W425" s="71">
        <f>X425/(SUM($X$425:$X$426))</f>
        <v>0.36761006867940699</v>
      </c>
      <c r="X425" s="72">
        <f>L420</f>
        <v>167058.76691729325</v>
      </c>
    </row>
    <row r="426" spans="1:24" ht="20.100000000000001" customHeight="1" x14ac:dyDescent="0.25">
      <c r="A426" s="120" t="s">
        <v>445</v>
      </c>
      <c r="B426" s="120"/>
      <c r="C426" s="120"/>
      <c r="D426" s="120"/>
      <c r="E426" s="120"/>
      <c r="F426" s="120"/>
      <c r="G426" s="120"/>
      <c r="H426" s="120"/>
      <c r="I426" s="120"/>
      <c r="J426" s="120"/>
      <c r="K426" s="120"/>
      <c r="L426" s="121">
        <f>L423*L424</f>
        <v>489892.32363463414</v>
      </c>
      <c r="M426" s="121"/>
      <c r="N426" s="121"/>
      <c r="O426" s="121"/>
      <c r="P426" s="121"/>
      <c r="Q426" s="121"/>
      <c r="R426" s="121"/>
      <c r="V426" s="66" t="s">
        <v>446</v>
      </c>
      <c r="W426" s="71">
        <f>X426/(SUM($X$425:$X$426))</f>
        <v>0.63238993132059307</v>
      </c>
      <c r="X426" s="72">
        <f>L421</f>
        <v>287386.80231706123</v>
      </c>
    </row>
    <row r="429" spans="1:24" ht="20.100000000000001" customHeight="1" x14ac:dyDescent="0.25">
      <c r="A429" s="120" t="s">
        <v>447</v>
      </c>
      <c r="B429" s="120"/>
      <c r="C429" s="120"/>
      <c r="D429" s="120"/>
      <c r="E429" s="120"/>
      <c r="F429" s="120"/>
      <c r="G429" s="120"/>
      <c r="H429" s="120"/>
      <c r="I429" s="120"/>
      <c r="J429" s="120"/>
      <c r="K429" s="120"/>
      <c r="L429" s="120"/>
      <c r="M429" s="120"/>
      <c r="N429" s="120"/>
      <c r="O429" s="120"/>
      <c r="P429" s="120"/>
      <c r="Q429" s="120"/>
      <c r="R429" s="120"/>
    </row>
    <row r="436" spans="1:20" ht="20.100000000000001" customHeight="1" x14ac:dyDescent="0.25">
      <c r="A436" s="35"/>
      <c r="B436" s="35"/>
      <c r="C436" s="35"/>
      <c r="D436" s="35"/>
      <c r="E436" s="35"/>
      <c r="F436" s="35"/>
      <c r="G436" s="35"/>
      <c r="H436" s="35"/>
      <c r="I436" s="35"/>
      <c r="J436" s="35"/>
      <c r="K436" s="35"/>
      <c r="L436" s="35"/>
      <c r="M436" s="35"/>
      <c r="N436" s="35"/>
      <c r="P436" s="35"/>
      <c r="Q436" s="35"/>
      <c r="R436" s="35"/>
    </row>
    <row r="443" spans="1:20" ht="20.100000000000001" customHeight="1" x14ac:dyDescent="0.25">
      <c r="A443" s="186" t="s">
        <v>76</v>
      </c>
      <c r="B443" s="186"/>
      <c r="C443" s="186"/>
      <c r="D443" s="186"/>
      <c r="E443" s="186"/>
      <c r="F443" s="186"/>
      <c r="G443" s="186"/>
      <c r="H443" s="186"/>
      <c r="I443" s="186"/>
      <c r="J443" s="186"/>
      <c r="K443" s="186"/>
      <c r="L443" s="138"/>
      <c r="M443" s="138"/>
      <c r="N443" s="138"/>
      <c r="O443" s="138"/>
      <c r="P443" s="138"/>
      <c r="Q443" s="138"/>
      <c r="R443" s="138"/>
    </row>
    <row r="444" spans="1:20" ht="20.100000000000001" customHeight="1" x14ac:dyDescent="0.25">
      <c r="A444" s="120" t="s">
        <v>77</v>
      </c>
      <c r="B444" s="120"/>
      <c r="C444" s="120"/>
      <c r="D444" s="120"/>
      <c r="E444" s="120"/>
      <c r="F444" s="120"/>
      <c r="G444" s="120"/>
      <c r="H444" s="120"/>
      <c r="I444" s="120"/>
      <c r="J444" s="120"/>
      <c r="K444" s="120"/>
      <c r="L444" s="183">
        <v>3</v>
      </c>
      <c r="M444" s="183"/>
      <c r="N444" s="183"/>
      <c r="O444" s="183"/>
      <c r="P444" s="183"/>
      <c r="Q444" s="183"/>
      <c r="R444" s="183"/>
      <c r="S444" s="138" t="str">
        <f>IF(L446&gt;0.01,"Reduzir o número de casas decimais","")</f>
        <v/>
      </c>
      <c r="T444" s="138"/>
    </row>
    <row r="445" spans="1:20" ht="20.100000000000001" customHeight="1" x14ac:dyDescent="0.25">
      <c r="A445" s="130" t="s">
        <v>78</v>
      </c>
      <c r="B445" s="130"/>
      <c r="C445" s="130"/>
      <c r="D445" s="130"/>
      <c r="E445" s="130"/>
      <c r="F445" s="130"/>
      <c r="G445" s="130"/>
      <c r="H445" s="130"/>
      <c r="I445" s="130"/>
      <c r="J445" s="130"/>
      <c r="K445" s="130"/>
      <c r="L445" s="134">
        <f>L448-L426</f>
        <v>107.67636536585633</v>
      </c>
      <c r="M445" s="130"/>
      <c r="N445" s="130"/>
      <c r="O445" s="130"/>
      <c r="P445" s="130"/>
      <c r="Q445" s="130"/>
      <c r="R445" s="130"/>
    </row>
    <row r="446" spans="1:20" ht="20.100000000000001" customHeight="1" x14ac:dyDescent="0.25">
      <c r="A446" s="130" t="s">
        <v>79</v>
      </c>
      <c r="B446" s="130"/>
      <c r="C446" s="130"/>
      <c r="D446" s="130"/>
      <c r="E446" s="130"/>
      <c r="F446" s="130"/>
      <c r="G446" s="130"/>
      <c r="H446" s="130"/>
      <c r="I446" s="130"/>
      <c r="J446" s="130"/>
      <c r="K446" s="130"/>
      <c r="L446" s="205">
        <f>L445/L426</f>
        <v>2.1979598407866107E-4</v>
      </c>
      <c r="M446" s="205"/>
      <c r="N446" s="205"/>
      <c r="O446" s="205"/>
      <c r="P446" s="205"/>
      <c r="Q446" s="205"/>
      <c r="R446" s="205"/>
    </row>
    <row r="448" spans="1:20" ht="20.100000000000001" customHeight="1" x14ac:dyDescent="0.25">
      <c r="A448" s="185" t="s">
        <v>75</v>
      </c>
      <c r="B448" s="185"/>
      <c r="C448" s="185"/>
      <c r="D448" s="185"/>
      <c r="E448" s="185"/>
      <c r="F448" s="185"/>
      <c r="G448" s="185"/>
      <c r="H448" s="185"/>
      <c r="I448" s="185"/>
      <c r="J448" s="185"/>
      <c r="K448" s="185"/>
      <c r="L448" s="204">
        <f>ROUNDUP(L426,-L444)</f>
        <v>490000</v>
      </c>
      <c r="M448" s="204"/>
      <c r="N448" s="204"/>
      <c r="O448" s="204"/>
      <c r="P448" s="204"/>
      <c r="Q448" s="204"/>
      <c r="R448" s="204"/>
    </row>
    <row r="451" spans="1:18" ht="20.100000000000001" customHeight="1" x14ac:dyDescent="0.25">
      <c r="A451" s="174"/>
      <c r="B451" s="174"/>
      <c r="C451" s="174"/>
      <c r="D451" s="174"/>
      <c r="E451" s="174"/>
      <c r="F451" s="174"/>
      <c r="G451" s="174"/>
      <c r="H451" s="174"/>
      <c r="I451" s="174"/>
      <c r="J451" s="174"/>
      <c r="K451" s="174"/>
      <c r="L451" s="174"/>
      <c r="M451" s="174"/>
      <c r="N451" s="174"/>
      <c r="O451" s="174"/>
      <c r="P451" s="174"/>
      <c r="Q451" s="174"/>
      <c r="R451" s="174"/>
    </row>
    <row r="452" spans="1:18" ht="20.100000000000001" customHeight="1" x14ac:dyDescent="0.25">
      <c r="A452" s="174" t="s">
        <v>84</v>
      </c>
      <c r="B452" s="174"/>
      <c r="C452" s="174"/>
      <c r="D452" s="174"/>
      <c r="E452" s="174"/>
      <c r="F452" s="174"/>
      <c r="G452" s="174"/>
      <c r="H452" s="174"/>
      <c r="I452" s="174"/>
      <c r="J452" s="174"/>
      <c r="K452" s="174"/>
      <c r="L452" s="174"/>
      <c r="M452" s="174"/>
      <c r="N452" s="174"/>
      <c r="O452" s="174"/>
      <c r="P452" s="174"/>
      <c r="Q452" s="174"/>
      <c r="R452" s="174"/>
    </row>
    <row r="453" spans="1:18" ht="20.100000000000001" customHeight="1" x14ac:dyDescent="0.25">
      <c r="A453" s="174" t="s">
        <v>83</v>
      </c>
      <c r="B453" s="174"/>
      <c r="C453" s="174"/>
      <c r="D453" s="174"/>
      <c r="E453" s="174"/>
      <c r="F453" s="174"/>
      <c r="G453" s="174"/>
      <c r="H453" s="174"/>
      <c r="I453" s="174"/>
      <c r="J453" s="174"/>
      <c r="K453" s="174"/>
      <c r="L453" s="174"/>
      <c r="M453" s="174"/>
      <c r="N453" s="174"/>
      <c r="O453" s="174"/>
      <c r="P453" s="174"/>
      <c r="Q453" s="174"/>
      <c r="R453" s="174"/>
    </row>
    <row r="456" spans="1:18" ht="20.100000000000001" customHeight="1" x14ac:dyDescent="0.25">
      <c r="A456" s="123" t="s">
        <v>80</v>
      </c>
      <c r="B456" s="123"/>
      <c r="C456" s="123"/>
      <c r="D456" s="123"/>
      <c r="E456" s="123"/>
      <c r="F456" s="123"/>
      <c r="G456" s="123"/>
      <c r="H456" s="123"/>
      <c r="I456" s="123"/>
      <c r="J456" s="123"/>
      <c r="K456" s="123"/>
      <c r="L456" s="123"/>
      <c r="M456" s="123"/>
      <c r="N456" s="123"/>
      <c r="O456" s="123"/>
      <c r="P456" s="123"/>
      <c r="Q456" s="123"/>
      <c r="R456" s="123"/>
    </row>
    <row r="457" spans="1:18" ht="20.100000000000001" customHeight="1" x14ac:dyDescent="0.25">
      <c r="A457" s="123" t="s">
        <v>471</v>
      </c>
      <c r="B457" s="123"/>
      <c r="C457" s="123"/>
      <c r="D457" s="123"/>
      <c r="E457" s="123"/>
      <c r="F457" s="123"/>
      <c r="G457" s="123"/>
      <c r="H457" s="123"/>
      <c r="I457" s="123"/>
      <c r="J457" s="123"/>
      <c r="K457" s="123"/>
      <c r="L457" s="123"/>
      <c r="M457" s="123"/>
      <c r="N457" s="123"/>
      <c r="O457" s="123"/>
      <c r="P457" s="123"/>
      <c r="Q457" s="123"/>
      <c r="R457" s="123"/>
    </row>
    <row r="458" spans="1:18" ht="20.100000000000001" customHeight="1" x14ac:dyDescent="0.25">
      <c r="A458" s="123" t="s">
        <v>103</v>
      </c>
      <c r="B458" s="123"/>
      <c r="C458" s="123"/>
      <c r="D458" s="123"/>
      <c r="E458" s="123"/>
      <c r="F458" s="123"/>
      <c r="G458" s="123"/>
      <c r="H458" s="123"/>
      <c r="I458" s="123"/>
      <c r="J458" s="123"/>
      <c r="K458" s="123"/>
      <c r="L458" s="123"/>
      <c r="M458" s="123"/>
      <c r="N458" s="123"/>
      <c r="O458" s="123"/>
      <c r="P458" s="123"/>
      <c r="Q458" s="123"/>
      <c r="R458" s="123"/>
    </row>
    <row r="459" spans="1:18" ht="20.100000000000001" customHeight="1" x14ac:dyDescent="0.25">
      <c r="A459" s="123" t="s">
        <v>246</v>
      </c>
      <c r="B459" s="123"/>
      <c r="C459" s="123"/>
      <c r="D459" s="123"/>
      <c r="E459" s="123"/>
      <c r="F459" s="123"/>
      <c r="G459" s="123"/>
      <c r="H459" s="123"/>
      <c r="I459" s="123"/>
      <c r="J459" s="123"/>
      <c r="K459" s="123"/>
      <c r="L459" s="123"/>
      <c r="M459" s="123"/>
      <c r="N459" s="123"/>
      <c r="O459" s="123"/>
      <c r="P459" s="123"/>
      <c r="Q459" s="123"/>
      <c r="R459" s="123"/>
    </row>
    <row r="460" spans="1:18" ht="20.100000000000001" customHeight="1" x14ac:dyDescent="0.25">
      <c r="A460" s="123" t="s">
        <v>247</v>
      </c>
      <c r="B460" s="123"/>
      <c r="C460" s="123"/>
      <c r="D460" s="123"/>
      <c r="E460" s="123"/>
      <c r="F460" s="123"/>
      <c r="G460" s="123"/>
      <c r="H460" s="123"/>
      <c r="I460" s="123"/>
      <c r="J460" s="123"/>
      <c r="K460" s="123"/>
      <c r="L460" s="123"/>
      <c r="M460" s="123"/>
      <c r="N460" s="123"/>
      <c r="O460" s="123"/>
      <c r="P460" s="123"/>
      <c r="Q460" s="123"/>
      <c r="R460" s="123"/>
    </row>
    <row r="461" spans="1:18" ht="20.100000000000001" customHeight="1" x14ac:dyDescent="0.25">
      <c r="A461" s="123" t="s">
        <v>248</v>
      </c>
      <c r="B461" s="123"/>
      <c r="C461" s="123"/>
      <c r="D461" s="123"/>
      <c r="E461" s="123"/>
      <c r="F461" s="123"/>
      <c r="G461" s="123"/>
      <c r="H461" s="123"/>
      <c r="I461" s="123"/>
      <c r="J461" s="123"/>
      <c r="K461" s="123"/>
      <c r="L461" s="123"/>
      <c r="M461" s="123"/>
      <c r="N461" s="123"/>
      <c r="O461" s="123"/>
      <c r="P461" s="123"/>
      <c r="Q461" s="123"/>
      <c r="R461" s="123"/>
    </row>
    <row r="462" spans="1:18" ht="20.100000000000001" customHeight="1" x14ac:dyDescent="0.25">
      <c r="A462" s="123" t="s">
        <v>249</v>
      </c>
      <c r="B462" s="123"/>
      <c r="C462" s="123"/>
      <c r="D462" s="123"/>
      <c r="E462" s="123"/>
      <c r="F462" s="123"/>
      <c r="G462" s="123"/>
      <c r="H462" s="123"/>
      <c r="I462" s="123"/>
      <c r="J462" s="123"/>
      <c r="K462" s="123"/>
      <c r="L462" s="123"/>
      <c r="M462" s="123"/>
      <c r="N462" s="123"/>
      <c r="O462" s="123"/>
      <c r="P462" s="123"/>
      <c r="Q462" s="123"/>
      <c r="R462" s="123"/>
    </row>
    <row r="463" spans="1:18" ht="20.100000000000001" customHeight="1" x14ac:dyDescent="0.25">
      <c r="A463" s="123"/>
      <c r="B463" s="123"/>
      <c r="C463" s="123"/>
      <c r="D463" s="123"/>
      <c r="E463" s="123"/>
      <c r="F463" s="123"/>
      <c r="G463" s="123"/>
      <c r="H463" s="123"/>
      <c r="I463" s="123"/>
      <c r="J463" s="123"/>
      <c r="K463" s="123"/>
      <c r="L463" s="123"/>
      <c r="M463" s="123"/>
      <c r="N463" s="123"/>
      <c r="O463" s="123"/>
      <c r="P463" s="123"/>
      <c r="Q463" s="123"/>
      <c r="R463" s="123"/>
    </row>
    <row r="464" spans="1:18" ht="20.100000000000001" customHeight="1" x14ac:dyDescent="0.25">
      <c r="A464" s="123" t="s">
        <v>250</v>
      </c>
      <c r="B464" s="123"/>
      <c r="C464" s="123"/>
      <c r="D464" s="123"/>
      <c r="E464" s="123"/>
      <c r="F464" s="123"/>
      <c r="G464" s="123"/>
      <c r="H464" s="123"/>
      <c r="I464" s="123"/>
      <c r="J464" s="123"/>
      <c r="K464" s="123"/>
      <c r="L464" s="123"/>
      <c r="M464" s="123"/>
      <c r="N464" s="123"/>
      <c r="O464" s="123"/>
      <c r="P464" s="123"/>
      <c r="Q464" s="123"/>
      <c r="R464" s="123"/>
    </row>
    <row r="465" spans="1:18" ht="20.100000000000001" customHeight="1" x14ac:dyDescent="0.25">
      <c r="A465" s="123" t="s">
        <v>104</v>
      </c>
      <c r="B465" s="123"/>
      <c r="C465" s="123"/>
      <c r="D465" s="123"/>
      <c r="E465" s="123"/>
      <c r="F465" s="123"/>
      <c r="G465" s="123"/>
      <c r="H465" s="123"/>
      <c r="I465" s="123"/>
      <c r="J465" s="123"/>
      <c r="K465" s="123"/>
      <c r="L465" s="123"/>
      <c r="M465" s="123"/>
      <c r="N465" s="123"/>
      <c r="O465" s="123"/>
      <c r="P465" s="123"/>
      <c r="Q465" s="123"/>
      <c r="R465" s="123"/>
    </row>
    <row r="466" spans="1:18" ht="20.100000000000001" customHeight="1" x14ac:dyDescent="0.25">
      <c r="A466" s="123" t="s">
        <v>251</v>
      </c>
      <c r="B466" s="123"/>
      <c r="C466" s="123"/>
      <c r="D466" s="123"/>
      <c r="E466" s="123"/>
      <c r="F466" s="123"/>
      <c r="G466" s="123"/>
      <c r="H466" s="123"/>
      <c r="I466" s="123"/>
      <c r="J466" s="123"/>
      <c r="K466" s="123"/>
      <c r="L466" s="123"/>
      <c r="M466" s="123"/>
      <c r="N466" s="123"/>
      <c r="O466" s="123"/>
      <c r="P466" s="123"/>
      <c r="Q466" s="123"/>
      <c r="R466" s="123"/>
    </row>
    <row r="467" spans="1:18" ht="20.100000000000001" customHeight="1" x14ac:dyDescent="0.25">
      <c r="A467" s="123"/>
      <c r="B467" s="123"/>
      <c r="C467" s="123"/>
      <c r="D467" s="123"/>
      <c r="E467" s="123"/>
      <c r="F467" s="123"/>
      <c r="G467" s="123"/>
      <c r="H467" s="123"/>
      <c r="I467" s="123"/>
      <c r="J467" s="123"/>
      <c r="K467" s="123"/>
      <c r="L467" s="123"/>
      <c r="M467" s="123"/>
      <c r="N467" s="123"/>
      <c r="O467" s="123"/>
      <c r="P467" s="123"/>
      <c r="Q467" s="123"/>
      <c r="R467" s="123"/>
    </row>
    <row r="468" spans="1:18" ht="20.100000000000001" customHeight="1" x14ac:dyDescent="0.25">
      <c r="A468" s="123" t="s">
        <v>252</v>
      </c>
      <c r="B468" s="123"/>
      <c r="C468" s="123"/>
      <c r="D468" s="123"/>
      <c r="E468" s="123"/>
      <c r="F468" s="123"/>
      <c r="G468" s="123"/>
      <c r="H468" s="123"/>
      <c r="I468" s="123"/>
      <c r="J468" s="123"/>
      <c r="K468" s="123"/>
      <c r="L468" s="123"/>
      <c r="M468" s="123"/>
      <c r="N468" s="123"/>
      <c r="O468" s="123"/>
      <c r="P468" s="123"/>
      <c r="Q468" s="123"/>
      <c r="R468" s="123"/>
    </row>
    <row r="469" spans="1:18" ht="20.100000000000001" customHeight="1" x14ac:dyDescent="0.25">
      <c r="A469" s="123"/>
      <c r="B469" s="123"/>
      <c r="C469" s="123"/>
      <c r="D469" s="123"/>
      <c r="E469" s="123"/>
      <c r="F469" s="123"/>
      <c r="G469" s="123"/>
      <c r="H469" s="123"/>
      <c r="I469" s="123"/>
      <c r="J469" s="123"/>
      <c r="K469" s="123"/>
      <c r="L469" s="123"/>
      <c r="M469" s="123"/>
      <c r="N469" s="123"/>
      <c r="O469" s="123"/>
      <c r="P469" s="123"/>
      <c r="Q469" s="123"/>
      <c r="R469" s="123"/>
    </row>
    <row r="470" spans="1:18" ht="20.100000000000001" customHeight="1" x14ac:dyDescent="0.25">
      <c r="A470" s="123" t="s">
        <v>472</v>
      </c>
      <c r="B470" s="123"/>
      <c r="C470" s="123"/>
      <c r="D470" s="123"/>
      <c r="E470" s="123"/>
      <c r="F470" s="123"/>
      <c r="G470" s="123"/>
      <c r="H470" s="123"/>
      <c r="I470" s="123"/>
      <c r="J470" s="123"/>
      <c r="K470" s="123"/>
      <c r="L470" s="123"/>
      <c r="M470" s="123"/>
      <c r="N470" s="123"/>
      <c r="O470" s="123"/>
      <c r="P470" s="123"/>
      <c r="Q470" s="123"/>
      <c r="R470" s="123"/>
    </row>
    <row r="471" spans="1:18" ht="20.100000000000001" customHeight="1" x14ac:dyDescent="0.25">
      <c r="A471" s="123"/>
      <c r="B471" s="123"/>
      <c r="C471" s="123"/>
      <c r="D471" s="123"/>
      <c r="E471" s="123"/>
      <c r="F471" s="123"/>
      <c r="G471" s="123"/>
      <c r="H471" s="123"/>
      <c r="I471" s="123"/>
      <c r="J471" s="123"/>
      <c r="K471" s="123"/>
      <c r="L471" s="123"/>
      <c r="M471" s="123"/>
      <c r="N471" s="123"/>
      <c r="O471" s="123"/>
      <c r="P471" s="123"/>
      <c r="Q471" s="123"/>
      <c r="R471" s="123"/>
    </row>
    <row r="472" spans="1:18" ht="20.100000000000001" customHeight="1" x14ac:dyDescent="0.25">
      <c r="A472" s="123" t="s">
        <v>253</v>
      </c>
      <c r="B472" s="123"/>
      <c r="C472" s="123"/>
      <c r="D472" s="123"/>
      <c r="E472" s="123"/>
      <c r="F472" s="123"/>
      <c r="G472" s="123"/>
      <c r="H472" s="123"/>
      <c r="I472" s="123"/>
      <c r="J472" s="123"/>
      <c r="K472" s="123"/>
      <c r="L472" s="123"/>
      <c r="M472" s="123"/>
      <c r="N472" s="123"/>
      <c r="O472" s="123"/>
      <c r="P472" s="123"/>
      <c r="Q472" s="123"/>
      <c r="R472" s="123"/>
    </row>
    <row r="473" spans="1:18" ht="20.100000000000001" customHeight="1" x14ac:dyDescent="0.25">
      <c r="A473" s="123"/>
      <c r="B473" s="123"/>
      <c r="C473" s="123"/>
      <c r="D473" s="123"/>
      <c r="E473" s="123"/>
      <c r="F473" s="123"/>
      <c r="G473" s="123"/>
      <c r="H473" s="123"/>
      <c r="I473" s="123"/>
      <c r="J473" s="123"/>
      <c r="K473" s="123"/>
      <c r="L473" s="123"/>
      <c r="M473" s="123"/>
      <c r="N473" s="123"/>
      <c r="O473" s="123"/>
      <c r="P473" s="123"/>
      <c r="Q473" s="123"/>
      <c r="R473" s="123"/>
    </row>
    <row r="474" spans="1:18" ht="20.100000000000001" customHeight="1" x14ac:dyDescent="0.25">
      <c r="A474" s="123" t="s">
        <v>473</v>
      </c>
      <c r="B474" s="123"/>
      <c r="C474" s="123"/>
      <c r="D474" s="123"/>
      <c r="E474" s="123"/>
      <c r="F474" s="123"/>
      <c r="G474" s="123"/>
      <c r="H474" s="123"/>
      <c r="I474" s="123"/>
      <c r="J474" s="123"/>
      <c r="K474" s="123"/>
      <c r="L474" s="123"/>
      <c r="M474" s="123"/>
      <c r="N474" s="123"/>
      <c r="O474" s="123"/>
      <c r="P474" s="123"/>
      <c r="Q474" s="123"/>
      <c r="R474" s="123"/>
    </row>
    <row r="475" spans="1:18" ht="20.100000000000001" customHeight="1" x14ac:dyDescent="0.25">
      <c r="A475" s="123"/>
      <c r="B475" s="123"/>
      <c r="C475" s="123"/>
      <c r="D475" s="123"/>
      <c r="E475" s="123"/>
      <c r="F475" s="123"/>
      <c r="G475" s="123"/>
      <c r="H475" s="123"/>
      <c r="I475" s="123"/>
      <c r="J475" s="123"/>
      <c r="K475" s="123"/>
      <c r="L475" s="123"/>
      <c r="M475" s="123"/>
      <c r="N475" s="123"/>
      <c r="O475" s="123"/>
      <c r="P475" s="123"/>
      <c r="Q475" s="123"/>
      <c r="R475" s="123"/>
    </row>
    <row r="476" spans="1:18" ht="20.100000000000001" customHeight="1" x14ac:dyDescent="0.25">
      <c r="A476" s="123" t="s">
        <v>254</v>
      </c>
      <c r="B476" s="123"/>
      <c r="C476" s="123"/>
      <c r="D476" s="123"/>
      <c r="E476" s="123"/>
      <c r="F476" s="123"/>
      <c r="G476" s="123"/>
      <c r="H476" s="123"/>
      <c r="I476" s="123"/>
      <c r="J476" s="123"/>
      <c r="K476" s="123"/>
      <c r="L476" s="123"/>
      <c r="M476" s="123"/>
      <c r="N476" s="123"/>
      <c r="O476" s="123"/>
      <c r="P476" s="123"/>
      <c r="Q476" s="123"/>
      <c r="R476" s="123"/>
    </row>
    <row r="477" spans="1:18" ht="20.100000000000001" customHeight="1" x14ac:dyDescent="0.25">
      <c r="A477" s="123" t="s">
        <v>255</v>
      </c>
      <c r="B477" s="123"/>
      <c r="C477" s="123"/>
      <c r="D477" s="123"/>
      <c r="E477" s="123"/>
      <c r="F477" s="123"/>
      <c r="G477" s="123"/>
      <c r="H477" s="123"/>
      <c r="I477" s="123"/>
      <c r="J477" s="123"/>
      <c r="K477" s="123"/>
      <c r="L477" s="123"/>
      <c r="M477" s="123"/>
      <c r="N477" s="123"/>
      <c r="O477" s="123"/>
      <c r="P477" s="123"/>
      <c r="Q477" s="123"/>
      <c r="R477" s="123"/>
    </row>
    <row r="478" spans="1:18" ht="20.100000000000001" customHeight="1" x14ac:dyDescent="0.25">
      <c r="A478" s="123" t="s">
        <v>256</v>
      </c>
      <c r="B478" s="123"/>
      <c r="C478" s="123"/>
      <c r="D478" s="123"/>
      <c r="E478" s="123"/>
      <c r="F478" s="123"/>
      <c r="G478" s="123"/>
      <c r="H478" s="123"/>
      <c r="I478" s="123"/>
      <c r="J478" s="123"/>
      <c r="K478" s="123"/>
      <c r="L478" s="123"/>
      <c r="M478" s="123"/>
      <c r="N478" s="123"/>
      <c r="O478" s="123"/>
      <c r="P478" s="123"/>
      <c r="Q478" s="123"/>
      <c r="R478" s="123"/>
    </row>
    <row r="479" spans="1:18" ht="39.950000000000003" customHeight="1" x14ac:dyDescent="0.25">
      <c r="A479" s="123" t="s">
        <v>257</v>
      </c>
      <c r="B479" s="123"/>
      <c r="C479" s="123"/>
      <c r="D479" s="123"/>
      <c r="E479" s="123"/>
      <c r="F479" s="123"/>
      <c r="G479" s="123"/>
      <c r="H479" s="123"/>
      <c r="I479" s="123"/>
      <c r="J479" s="123"/>
      <c r="K479" s="123"/>
      <c r="L479" s="123"/>
      <c r="M479" s="123"/>
      <c r="N479" s="123"/>
      <c r="O479" s="123"/>
      <c r="P479" s="123"/>
      <c r="Q479" s="123"/>
      <c r="R479" s="123"/>
    </row>
    <row r="480" spans="1:18" ht="20.100000000000001" customHeight="1" x14ac:dyDescent="0.25">
      <c r="A480" s="123" t="s">
        <v>474</v>
      </c>
      <c r="B480" s="123"/>
      <c r="C480" s="123"/>
      <c r="D480" s="123"/>
      <c r="E480" s="123"/>
      <c r="F480" s="123"/>
      <c r="G480" s="123"/>
      <c r="H480" s="123"/>
      <c r="I480" s="123"/>
      <c r="J480" s="123"/>
      <c r="K480" s="123"/>
      <c r="L480" s="123"/>
      <c r="M480" s="123"/>
      <c r="N480" s="123"/>
      <c r="O480" s="123"/>
      <c r="P480" s="123"/>
      <c r="Q480" s="123"/>
      <c r="R480" s="123"/>
    </row>
  </sheetData>
  <sheetProtection formatCells="0"/>
  <mergeCells count="560">
    <mergeCell ref="A5:R5"/>
    <mergeCell ref="A7:R7"/>
    <mergeCell ref="A22:R22"/>
    <mergeCell ref="F166:H166"/>
    <mergeCell ref="F167:H167"/>
    <mergeCell ref="F168:H168"/>
    <mergeCell ref="F169:H169"/>
    <mergeCell ref="F170:H170"/>
    <mergeCell ref="B251:F251"/>
    <mergeCell ref="B218:F218"/>
    <mergeCell ref="B214:F214"/>
    <mergeCell ref="B215:F215"/>
    <mergeCell ref="B216:F216"/>
    <mergeCell ref="B180:F180"/>
    <mergeCell ref="B181:F181"/>
    <mergeCell ref="B184:F184"/>
    <mergeCell ref="B182:F182"/>
    <mergeCell ref="B183:F183"/>
    <mergeCell ref="B166:E166"/>
    <mergeCell ref="B167:E167"/>
    <mergeCell ref="B168:E168"/>
    <mergeCell ref="B169:E169"/>
    <mergeCell ref="I166:K166"/>
    <mergeCell ref="L166:N166"/>
    <mergeCell ref="A298:R298"/>
    <mergeCell ref="A309:R309"/>
    <mergeCell ref="B254:F254"/>
    <mergeCell ref="P187:R187"/>
    <mergeCell ref="Q213:R213"/>
    <mergeCell ref="B360:J360"/>
    <mergeCell ref="M363:N363"/>
    <mergeCell ref="O363:P363"/>
    <mergeCell ref="Q363:R363"/>
    <mergeCell ref="B170:E170"/>
    <mergeCell ref="B217:F217"/>
    <mergeCell ref="B253:F253"/>
    <mergeCell ref="I168:K168"/>
    <mergeCell ref="L168:N168"/>
    <mergeCell ref="I169:K169"/>
    <mergeCell ref="L169:N169"/>
    <mergeCell ref="I170:K170"/>
    <mergeCell ref="L170:N170"/>
    <mergeCell ref="L222:O222"/>
    <mergeCell ref="I167:K167"/>
    <mergeCell ref="B361:J361"/>
    <mergeCell ref="B362:J362"/>
    <mergeCell ref="M371:R371"/>
    <mergeCell ref="M372:R372"/>
    <mergeCell ref="M373:R373"/>
    <mergeCell ref="B352:J352"/>
    <mergeCell ref="B353:J353"/>
    <mergeCell ref="K367:L367"/>
    <mergeCell ref="M367:N367"/>
    <mergeCell ref="O367:P367"/>
    <mergeCell ref="Q367:R367"/>
    <mergeCell ref="K369:L369"/>
    <mergeCell ref="N369:P369"/>
    <mergeCell ref="Q369:R369"/>
    <mergeCell ref="B367:J367"/>
    <mergeCell ref="B369:J369"/>
    <mergeCell ref="A371:L371"/>
    <mergeCell ref="A372:L372"/>
    <mergeCell ref="A373:L373"/>
    <mergeCell ref="K365:L365"/>
    <mergeCell ref="K363:L363"/>
    <mergeCell ref="B363:J363"/>
    <mergeCell ref="B364:J364"/>
    <mergeCell ref="A448:K448"/>
    <mergeCell ref="L448:R448"/>
    <mergeCell ref="A452:R452"/>
    <mergeCell ref="A453:R453"/>
    <mergeCell ref="A444:K444"/>
    <mergeCell ref="L444:R444"/>
    <mergeCell ref="A446:K446"/>
    <mergeCell ref="L446:R446"/>
    <mergeCell ref="A451:R451"/>
    <mergeCell ref="A376:R376"/>
    <mergeCell ref="A379:D379"/>
    <mergeCell ref="E379:H379"/>
    <mergeCell ref="A380:D380"/>
    <mergeCell ref="E380:H380"/>
    <mergeCell ref="A382:R382"/>
    <mergeCell ref="A395:R395"/>
    <mergeCell ref="S444:T444"/>
    <mergeCell ref="A445:K445"/>
    <mergeCell ref="L445:R445"/>
    <mergeCell ref="Q352:R352"/>
    <mergeCell ref="A480:R480"/>
    <mergeCell ref="A458:R458"/>
    <mergeCell ref="A462:R463"/>
    <mergeCell ref="A466:R467"/>
    <mergeCell ref="A468:R469"/>
    <mergeCell ref="A470:R471"/>
    <mergeCell ref="A472:R473"/>
    <mergeCell ref="A474:R475"/>
    <mergeCell ref="A476:R476"/>
    <mergeCell ref="A479:R479"/>
    <mergeCell ref="A456:R456"/>
    <mergeCell ref="A457:R457"/>
    <mergeCell ref="A461:R461"/>
    <mergeCell ref="A459:R459"/>
    <mergeCell ref="A460:R460"/>
    <mergeCell ref="A464:R464"/>
    <mergeCell ref="A465:R465"/>
    <mergeCell ref="A477:R477"/>
    <mergeCell ref="A478:R478"/>
    <mergeCell ref="O365:P365"/>
    <mergeCell ref="B354:J354"/>
    <mergeCell ref="B355:J355"/>
    <mergeCell ref="A378:D378"/>
    <mergeCell ref="V416:W416"/>
    <mergeCell ref="A417:C417"/>
    <mergeCell ref="K417:R417"/>
    <mergeCell ref="A418:C418"/>
    <mergeCell ref="A420:K420"/>
    <mergeCell ref="L420:R420"/>
    <mergeCell ref="O361:P361"/>
    <mergeCell ref="Q361:R361"/>
    <mergeCell ref="K362:L362"/>
    <mergeCell ref="M362:N362"/>
    <mergeCell ref="O362:P362"/>
    <mergeCell ref="Q362:R362"/>
    <mergeCell ref="A405:H405"/>
    <mergeCell ref="I405:L405"/>
    <mergeCell ref="A406:H406"/>
    <mergeCell ref="I406:L406"/>
    <mergeCell ref="A409:K409"/>
    <mergeCell ref="L409:R409"/>
    <mergeCell ref="Q365:R365"/>
    <mergeCell ref="K366:L366"/>
    <mergeCell ref="M366:N366"/>
    <mergeCell ref="Q366:R366"/>
    <mergeCell ref="B365:J365"/>
    <mergeCell ref="E378:H378"/>
    <mergeCell ref="B366:J366"/>
    <mergeCell ref="O353:P353"/>
    <mergeCell ref="Q353:R353"/>
    <mergeCell ref="B359:J359"/>
    <mergeCell ref="Q357:R357"/>
    <mergeCell ref="O359:P359"/>
    <mergeCell ref="Q359:R359"/>
    <mergeCell ref="K359:L359"/>
    <mergeCell ref="M359:N359"/>
    <mergeCell ref="K358:L358"/>
    <mergeCell ref="M358:N358"/>
    <mergeCell ref="O358:P358"/>
    <mergeCell ref="Q358:R358"/>
    <mergeCell ref="O356:P356"/>
    <mergeCell ref="Q356:R356"/>
    <mergeCell ref="Q355:R355"/>
    <mergeCell ref="O366:P366"/>
    <mergeCell ref="M365:N365"/>
    <mergeCell ref="K364:L364"/>
    <mergeCell ref="M364:N364"/>
    <mergeCell ref="O364:P364"/>
    <mergeCell ref="Q364:R364"/>
    <mergeCell ref="J341:N341"/>
    <mergeCell ref="B356:J356"/>
    <mergeCell ref="B357:J357"/>
    <mergeCell ref="B358:J358"/>
    <mergeCell ref="K352:L352"/>
    <mergeCell ref="M352:N352"/>
    <mergeCell ref="K353:L353"/>
    <mergeCell ref="M353:N353"/>
    <mergeCell ref="K354:L354"/>
    <mergeCell ref="M354:N354"/>
    <mergeCell ref="K355:L355"/>
    <mergeCell ref="M355:N355"/>
    <mergeCell ref="K357:L357"/>
    <mergeCell ref="M357:N357"/>
    <mergeCell ref="A342:C342"/>
    <mergeCell ref="M356:N356"/>
    <mergeCell ref="K356:L356"/>
    <mergeCell ref="J342:N342"/>
    <mergeCell ref="A343:N343"/>
    <mergeCell ref="O343:R343"/>
    <mergeCell ref="O352:P352"/>
    <mergeCell ref="K361:L361"/>
    <mergeCell ref="M361:N361"/>
    <mergeCell ref="A331:L331"/>
    <mergeCell ref="M331:R331"/>
    <mergeCell ref="A332:L332"/>
    <mergeCell ref="M332:R332"/>
    <mergeCell ref="O354:P354"/>
    <mergeCell ref="Q354:R354"/>
    <mergeCell ref="A337:R339"/>
    <mergeCell ref="A341:C341"/>
    <mergeCell ref="D341:I341"/>
    <mergeCell ref="O341:R341"/>
    <mergeCell ref="K360:L360"/>
    <mergeCell ref="M360:N360"/>
    <mergeCell ref="O360:P360"/>
    <mergeCell ref="Q360:R360"/>
    <mergeCell ref="D342:I342"/>
    <mergeCell ref="O357:P357"/>
    <mergeCell ref="O342:R342"/>
    <mergeCell ref="A345:R345"/>
    <mergeCell ref="A346:R350"/>
    <mergeCell ref="O355:P355"/>
    <mergeCell ref="L443:R443"/>
    <mergeCell ref="A429:R429"/>
    <mergeCell ref="A421:K421"/>
    <mergeCell ref="L421:R421"/>
    <mergeCell ref="A410:K410"/>
    <mergeCell ref="L410:R410"/>
    <mergeCell ref="A400:E400"/>
    <mergeCell ref="F400:L400"/>
    <mergeCell ref="A404:H404"/>
    <mergeCell ref="I404:L404"/>
    <mergeCell ref="A401:E401"/>
    <mergeCell ref="F401:L401"/>
    <mergeCell ref="A402:E402"/>
    <mergeCell ref="F402:L402"/>
    <mergeCell ref="A412:K412"/>
    <mergeCell ref="L412:R412"/>
    <mergeCell ref="A416:R416"/>
    <mergeCell ref="A424:K424"/>
    <mergeCell ref="A423:K423"/>
    <mergeCell ref="L423:R423"/>
    <mergeCell ref="A426:K426"/>
    <mergeCell ref="L426:R426"/>
    <mergeCell ref="L424:R424"/>
    <mergeCell ref="A443:K443"/>
    <mergeCell ref="W321:BN321"/>
    <mergeCell ref="W322:BN322"/>
    <mergeCell ref="J10:R10"/>
    <mergeCell ref="A11:B12"/>
    <mergeCell ref="J11:L11"/>
    <mergeCell ref="M11:O11"/>
    <mergeCell ref="P11:R11"/>
    <mergeCell ref="C11:I12"/>
    <mergeCell ref="A146:I146"/>
    <mergeCell ref="M146:O146"/>
    <mergeCell ref="M142:O142"/>
    <mergeCell ref="J143:L143"/>
    <mergeCell ref="J144:L144"/>
    <mergeCell ref="J48:K49"/>
    <mergeCell ref="B57:D57"/>
    <mergeCell ref="J53:K53"/>
    <mergeCell ref="J56:K56"/>
    <mergeCell ref="J57:K57"/>
    <mergeCell ref="A41:G41"/>
    <mergeCell ref="B56:D56"/>
    <mergeCell ref="N56:O56"/>
    <mergeCell ref="P56:R56"/>
    <mergeCell ref="L59:O59"/>
    <mergeCell ref="A42:G42"/>
    <mergeCell ref="W323:BN323"/>
    <mergeCell ref="S304:U304"/>
    <mergeCell ref="A300:R300"/>
    <mergeCell ref="G290:J290"/>
    <mergeCell ref="G288:J288"/>
    <mergeCell ref="A295:F295"/>
    <mergeCell ref="G295:L295"/>
    <mergeCell ref="A304:D304"/>
    <mergeCell ref="A305:D305"/>
    <mergeCell ref="E302:H302"/>
    <mergeCell ref="E303:H303"/>
    <mergeCell ref="E306:H306"/>
    <mergeCell ref="A318:R319"/>
    <mergeCell ref="A320:R321"/>
    <mergeCell ref="G323:J323"/>
    <mergeCell ref="K323:N323"/>
    <mergeCell ref="K313:N313"/>
    <mergeCell ref="O313:R313"/>
    <mergeCell ref="G322:R322"/>
    <mergeCell ref="A315:R316"/>
    <mergeCell ref="A308:D308"/>
    <mergeCell ref="E308:H308"/>
    <mergeCell ref="K288:N288"/>
    <mergeCell ref="W320:BN320"/>
    <mergeCell ref="A328:R328"/>
    <mergeCell ref="A330:L330"/>
    <mergeCell ref="M330:R330"/>
    <mergeCell ref="G324:J325"/>
    <mergeCell ref="K324:N325"/>
    <mergeCell ref="O324:R325"/>
    <mergeCell ref="A324:F325"/>
    <mergeCell ref="H40:I40"/>
    <mergeCell ref="H41:I41"/>
    <mergeCell ref="H42:I42"/>
    <mergeCell ref="H43:I43"/>
    <mergeCell ref="H44:I44"/>
    <mergeCell ref="H45:I45"/>
    <mergeCell ref="L266:O266"/>
    <mergeCell ref="P266:R266"/>
    <mergeCell ref="Q179:R179"/>
    <mergeCell ref="L217:O217"/>
    <mergeCell ref="P217:R217"/>
    <mergeCell ref="Q214:R214"/>
    <mergeCell ref="L187:M187"/>
    <mergeCell ref="N187:O187"/>
    <mergeCell ref="P256:R256"/>
    <mergeCell ref="L253:P253"/>
    <mergeCell ref="L264:O264"/>
    <mergeCell ref="P264:R264"/>
    <mergeCell ref="Q253:R253"/>
    <mergeCell ref="L181:O181"/>
    <mergeCell ref="L182:O182"/>
    <mergeCell ref="L183:O183"/>
    <mergeCell ref="L184:O184"/>
    <mergeCell ref="L185:O185"/>
    <mergeCell ref="L250:P250"/>
    <mergeCell ref="Q250:R250"/>
    <mergeCell ref="L224:M224"/>
    <mergeCell ref="N224:O224"/>
    <mergeCell ref="P224:R224"/>
    <mergeCell ref="L219:O219"/>
    <mergeCell ref="P219:R219"/>
    <mergeCell ref="L220:O220"/>
    <mergeCell ref="P220:R220"/>
    <mergeCell ref="L225:O225"/>
    <mergeCell ref="P225:R225"/>
    <mergeCell ref="L227:O227"/>
    <mergeCell ref="P227:R227"/>
    <mergeCell ref="L221:O221"/>
    <mergeCell ref="P221:R221"/>
    <mergeCell ref="P222:R222"/>
    <mergeCell ref="P182:R182"/>
    <mergeCell ref="A290:F290"/>
    <mergeCell ref="G292:L292"/>
    <mergeCell ref="G293:L293"/>
    <mergeCell ref="G294:L294"/>
    <mergeCell ref="A292:F292"/>
    <mergeCell ref="G289:J289"/>
    <mergeCell ref="K289:N289"/>
    <mergeCell ref="L267:O267"/>
    <mergeCell ref="P267:R267"/>
    <mergeCell ref="O288:R288"/>
    <mergeCell ref="A293:F293"/>
    <mergeCell ref="A294:F294"/>
    <mergeCell ref="A288:F288"/>
    <mergeCell ref="A289:F289"/>
    <mergeCell ref="K290:N290"/>
    <mergeCell ref="O290:R290"/>
    <mergeCell ref="L256:O256"/>
    <mergeCell ref="L263:M263"/>
    <mergeCell ref="N263:O263"/>
    <mergeCell ref="P263:R263"/>
    <mergeCell ref="L261:O261"/>
    <mergeCell ref="L228:O228"/>
    <mergeCell ref="P228:R228"/>
    <mergeCell ref="P261:R261"/>
    <mergeCell ref="L259:O259"/>
    <mergeCell ref="P259:R259"/>
    <mergeCell ref="L258:O258"/>
    <mergeCell ref="P258:R258"/>
    <mergeCell ref="L260:O260"/>
    <mergeCell ref="P260:R260"/>
    <mergeCell ref="L252:P252"/>
    <mergeCell ref="Q252:R252"/>
    <mergeCell ref="B255:F255"/>
    <mergeCell ref="L255:O255"/>
    <mergeCell ref="P255:R255"/>
    <mergeCell ref="P185:R185"/>
    <mergeCell ref="P190:R190"/>
    <mergeCell ref="P191:R191"/>
    <mergeCell ref="L186:O186"/>
    <mergeCell ref="L213:P213"/>
    <mergeCell ref="L216:O216"/>
    <mergeCell ref="P216:R216"/>
    <mergeCell ref="L188:O188"/>
    <mergeCell ref="P188:R188"/>
    <mergeCell ref="L190:O190"/>
    <mergeCell ref="L191:O191"/>
    <mergeCell ref="L214:P214"/>
    <mergeCell ref="P186:R186"/>
    <mergeCell ref="P12:R12"/>
    <mergeCell ref="M12:O12"/>
    <mergeCell ref="J12:L12"/>
    <mergeCell ref="A10:B10"/>
    <mergeCell ref="C10:I10"/>
    <mergeCell ref="B26:D26"/>
    <mergeCell ref="E26:G26"/>
    <mergeCell ref="H26:J26"/>
    <mergeCell ref="K26:M26"/>
    <mergeCell ref="N26:O26"/>
    <mergeCell ref="P25:R25"/>
    <mergeCell ref="N25:O25"/>
    <mergeCell ref="E25:G25"/>
    <mergeCell ref="H25:J25"/>
    <mergeCell ref="B25:D25"/>
    <mergeCell ref="K25:M25"/>
    <mergeCell ref="B14:F14"/>
    <mergeCell ref="G14:L14"/>
    <mergeCell ref="M14:O14"/>
    <mergeCell ref="P14:R14"/>
    <mergeCell ref="B15:F15"/>
    <mergeCell ref="G15:L15"/>
    <mergeCell ref="M15:O15"/>
    <mergeCell ref="P15:R15"/>
    <mergeCell ref="K27:M27"/>
    <mergeCell ref="N27:O27"/>
    <mergeCell ref="P26:R26"/>
    <mergeCell ref="P27:R27"/>
    <mergeCell ref="P28:R28"/>
    <mergeCell ref="P57:R57"/>
    <mergeCell ref="A64:R64"/>
    <mergeCell ref="T24:U24"/>
    <mergeCell ref="A302:D302"/>
    <mergeCell ref="N28:O28"/>
    <mergeCell ref="N29:O29"/>
    <mergeCell ref="A38:R38"/>
    <mergeCell ref="E28:G28"/>
    <mergeCell ref="H28:J28"/>
    <mergeCell ref="P141:R141"/>
    <mergeCell ref="P142:R142"/>
    <mergeCell ref="P143:R143"/>
    <mergeCell ref="M143:O143"/>
    <mergeCell ref="P138:R138"/>
    <mergeCell ref="L251:P251"/>
    <mergeCell ref="Q251:R251"/>
    <mergeCell ref="B252:F252"/>
    <mergeCell ref="J40:N40"/>
    <mergeCell ref="O40:R40"/>
    <mergeCell ref="P161:R161"/>
    <mergeCell ref="P162:R162"/>
    <mergeCell ref="L172:O172"/>
    <mergeCell ref="P172:R172"/>
    <mergeCell ref="L173:O173"/>
    <mergeCell ref="P173:R173"/>
    <mergeCell ref="L174:O174"/>
    <mergeCell ref="P174:R174"/>
    <mergeCell ref="P184:R184"/>
    <mergeCell ref="P183:R183"/>
    <mergeCell ref="P181:R181"/>
    <mergeCell ref="L179:P179"/>
    <mergeCell ref="O166:R166"/>
    <mergeCell ref="O167:R167"/>
    <mergeCell ref="O168:R168"/>
    <mergeCell ref="O169:R169"/>
    <mergeCell ref="O170:R170"/>
    <mergeCell ref="L167:N167"/>
    <mergeCell ref="A40:G40"/>
    <mergeCell ref="A144:H144"/>
    <mergeCell ref="A43:G43"/>
    <mergeCell ref="A44:G44"/>
    <mergeCell ref="A45:G45"/>
    <mergeCell ref="E48:I48"/>
    <mergeCell ref="J50:K50"/>
    <mergeCell ref="A48:D49"/>
    <mergeCell ref="P53:R53"/>
    <mergeCell ref="A98:R98"/>
    <mergeCell ref="A116:R116"/>
    <mergeCell ref="B53:D53"/>
    <mergeCell ref="M138:O138"/>
    <mergeCell ref="J138:L138"/>
    <mergeCell ref="L60:O60"/>
    <mergeCell ref="L61:O61"/>
    <mergeCell ref="N53:O53"/>
    <mergeCell ref="A138:H138"/>
    <mergeCell ref="J41:N41"/>
    <mergeCell ref="O41:R41"/>
    <mergeCell ref="J42:N42"/>
    <mergeCell ref="O42:R42"/>
    <mergeCell ref="J43:N43"/>
    <mergeCell ref="O43:R43"/>
    <mergeCell ref="O323:R323"/>
    <mergeCell ref="A322:F323"/>
    <mergeCell ref="A307:D307"/>
    <mergeCell ref="E307:H307"/>
    <mergeCell ref="A312:D312"/>
    <mergeCell ref="E312:H312"/>
    <mergeCell ref="B27:D27"/>
    <mergeCell ref="E27:G27"/>
    <mergeCell ref="H27:J27"/>
    <mergeCell ref="E29:G29"/>
    <mergeCell ref="H29:J29"/>
    <mergeCell ref="B28:D28"/>
    <mergeCell ref="B29:D29"/>
    <mergeCell ref="K28:M28"/>
    <mergeCell ref="K29:M29"/>
    <mergeCell ref="P29:R29"/>
    <mergeCell ref="L31:O31"/>
    <mergeCell ref="L32:O32"/>
    <mergeCell ref="L33:O33"/>
    <mergeCell ref="P31:R31"/>
    <mergeCell ref="P32:R32"/>
    <mergeCell ref="P33:R33"/>
    <mergeCell ref="J45:N45"/>
    <mergeCell ref="O45:R45"/>
    <mergeCell ref="J44:N44"/>
    <mergeCell ref="O44:R44"/>
    <mergeCell ref="M141:O141"/>
    <mergeCell ref="P59:R59"/>
    <mergeCell ref="P60:R60"/>
    <mergeCell ref="J142:L142"/>
    <mergeCell ref="A154:R156"/>
    <mergeCell ref="P152:R152"/>
    <mergeCell ref="P61:R61"/>
    <mergeCell ref="P54:R54"/>
    <mergeCell ref="P55:R55"/>
    <mergeCell ref="P144:R144"/>
    <mergeCell ref="J146:L146"/>
    <mergeCell ref="A139:H139"/>
    <mergeCell ref="A140:H140"/>
    <mergeCell ref="A141:H141"/>
    <mergeCell ref="A142:H142"/>
    <mergeCell ref="A143:H143"/>
    <mergeCell ref="P139:R139"/>
    <mergeCell ref="P140:R140"/>
    <mergeCell ref="J139:L139"/>
    <mergeCell ref="J140:L140"/>
    <mergeCell ref="M139:O139"/>
    <mergeCell ref="M140:O140"/>
    <mergeCell ref="B159:D159"/>
    <mergeCell ref="L53:M53"/>
    <mergeCell ref="L56:M56"/>
    <mergeCell ref="L57:M57"/>
    <mergeCell ref="N57:O57"/>
    <mergeCell ref="B54:D54"/>
    <mergeCell ref="J54:K54"/>
    <mergeCell ref="L54:M54"/>
    <mergeCell ref="N54:O54"/>
    <mergeCell ref="B55:D55"/>
    <mergeCell ref="J55:K55"/>
    <mergeCell ref="L55:M55"/>
    <mergeCell ref="N55:O55"/>
    <mergeCell ref="J141:L141"/>
    <mergeCell ref="M144:O144"/>
    <mergeCell ref="S250:U250"/>
    <mergeCell ref="S213:U213"/>
    <mergeCell ref="A311:D311"/>
    <mergeCell ref="E311:H311"/>
    <mergeCell ref="K311:N311"/>
    <mergeCell ref="O311:R311"/>
    <mergeCell ref="K312:N312"/>
    <mergeCell ref="O312:R312"/>
    <mergeCell ref="A147:O148"/>
    <mergeCell ref="P148:R148"/>
    <mergeCell ref="A150:D152"/>
    <mergeCell ref="P150:R151"/>
    <mergeCell ref="E304:H304"/>
    <mergeCell ref="E305:H305"/>
    <mergeCell ref="A306:D306"/>
    <mergeCell ref="P159:R159"/>
    <mergeCell ref="P160:R160"/>
    <mergeCell ref="P163:R163"/>
    <mergeCell ref="B160:D160"/>
    <mergeCell ref="B163:D163"/>
    <mergeCell ref="B161:D161"/>
    <mergeCell ref="B162:D162"/>
    <mergeCell ref="A303:D303"/>
    <mergeCell ref="O289:R289"/>
    <mergeCell ref="B19:F19"/>
    <mergeCell ref="G19:L19"/>
    <mergeCell ref="M19:O19"/>
    <mergeCell ref="P19:R19"/>
    <mergeCell ref="B16:F16"/>
    <mergeCell ref="G16:L16"/>
    <mergeCell ref="M16:O16"/>
    <mergeCell ref="P16:R16"/>
    <mergeCell ref="B17:F17"/>
    <mergeCell ref="G17:L17"/>
    <mergeCell ref="M17:O17"/>
    <mergeCell ref="P17:R17"/>
    <mergeCell ref="B18:F18"/>
    <mergeCell ref="G18:L18"/>
    <mergeCell ref="M18:O18"/>
    <mergeCell ref="P18:R18"/>
  </mergeCells>
  <conditionalFormatting sqref="A346:A347">
    <cfRule type="cellIs" dxfId="16" priority="4" operator="equal">
      <formula>"Observações"</formula>
    </cfRule>
    <cfRule type="cellIs" dxfId="15" priority="5" operator="equal">
      <formula>"Observação"</formula>
    </cfRule>
    <cfRule type="cellIs" dxfId="14" priority="6" operator="lessThan">
      <formula>0</formula>
    </cfRule>
  </conditionalFormatting>
  <conditionalFormatting sqref="A345:G345 A352 K352 M352 O352 Q352 A368 K369 N369 Q369">
    <cfRule type="cellIs" dxfId="13" priority="1" operator="equal">
      <formula>"Observações"</formula>
    </cfRule>
    <cfRule type="cellIs" dxfId="12" priority="2" operator="equal">
      <formula>"Observação"</formula>
    </cfRule>
    <cfRule type="cellIs" dxfId="11" priority="3" operator="lessThan">
      <formula>0</formula>
    </cfRule>
  </conditionalFormatting>
  <conditionalFormatting sqref="L446:R446">
    <cfRule type="cellIs" dxfId="10" priority="8" operator="greaterThan">
      <formula>0.01</formula>
    </cfRule>
  </conditionalFormatting>
  <conditionalFormatting sqref="O313:R313">
    <cfRule type="cellIs" dxfId="9" priority="25" operator="greaterThan">
      <formula>0.5</formula>
    </cfRule>
  </conditionalFormatting>
  <conditionalFormatting sqref="P188:R188">
    <cfRule type="cellIs" dxfId="8" priority="22" operator="equal">
      <formula>"Encerrar"</formula>
    </cfRule>
    <cfRule type="cellIs" dxfId="7" priority="23" operator="equal">
      <formula>"Continuar"</formula>
    </cfRule>
  </conditionalFormatting>
  <conditionalFormatting sqref="P225:R225">
    <cfRule type="cellIs" dxfId="6" priority="11" operator="equal">
      <formula>"Encerrar"</formula>
    </cfRule>
    <cfRule type="cellIs" dxfId="5" priority="12" operator="equal">
      <formula>"Continuar"</formula>
    </cfRule>
  </conditionalFormatting>
  <conditionalFormatting sqref="P264:R264">
    <cfRule type="cellIs" dxfId="4" priority="9" operator="equal">
      <formula>"Encerrar"</formula>
    </cfRule>
    <cfRule type="cellIs" dxfId="3" priority="10" operator="equal">
      <formula>"Continuar"</formula>
    </cfRule>
  </conditionalFormatting>
  <conditionalFormatting sqref="S444">
    <cfRule type="containsText" dxfId="2" priority="7" operator="containsText" text="Reduzir o número de casas decimais">
      <formula>NOT(ISERROR(SEARCH("Reduzir o número de casas decimais",S444)))</formula>
    </cfRule>
  </conditionalFormatting>
  <dataValidations count="5">
    <dataValidation type="list" allowBlank="1" showInputMessage="1" showErrorMessage="1" sqref="F400 M400:R400" xr:uid="{2D5A58A1-4361-400E-B433-2D9B3974361E}">
      <formula1>$AA$391:$AA$399</formula1>
    </dataValidation>
    <dataValidation type="list" allowBlank="1" showInputMessage="1" showErrorMessage="1" sqref="D341:I341" xr:uid="{16BA2861-BB4D-4547-B36D-9B65721AAE3C}">
      <formula1>$AI$338:$AI$341</formula1>
    </dataValidation>
    <dataValidation type="list" allowBlank="1" showInputMessage="1" showErrorMessage="1" sqref="O341:R341" xr:uid="{F36208C9-7AC5-49C3-82E9-188C9A389661}">
      <formula1>$AI$335:$AI$337</formula1>
    </dataValidation>
    <dataValidation type="list" allowBlank="1" showInputMessage="1" showErrorMessage="1" sqref="K25:K29" xr:uid="{5C2DD489-0C83-42A1-A5AC-6D8E4F2B2F12}">
      <formula1>$T$26:$T$27</formula1>
    </dataValidation>
    <dataValidation type="list" allowBlank="1" showInputMessage="1" showErrorMessage="1" sqref="D342:I342" xr:uid="{BC7723A1-F713-4D77-A225-4755655D3AAE}">
      <formula1>$AH$335:$AH$343</formula1>
    </dataValidation>
  </dataValidations>
  <printOptions horizontalCentered="1"/>
  <pageMargins left="0.25" right="0.25" top="0.75" bottom="0.75" header="0.3" footer="0.3"/>
  <pageSetup paperSize="9" scale="79" fitToHeight="0" orientation="portrait" r:id="rId1"/>
  <ignoredErrors>
    <ignoredError sqref="X259 X219 L410 L412"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E046AF0-1115-48A3-8267-F2A6907007DE}">
          <x14:formula1>
            <xm:f>'VANTAGEM DA COISA FEITA'!$AN$11:$AQ$11</xm:f>
          </x14:formula1>
          <xm:sqref>K417:R417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9A55B-6AE0-4B3E-9054-5705ACC43F97}">
  <dimension ref="A1:BH81"/>
  <sheetViews>
    <sheetView workbookViewId="0">
      <selection sqref="A1:R1"/>
    </sheetView>
  </sheetViews>
  <sheetFormatPr defaultColWidth="20.625" defaultRowHeight="15" x14ac:dyDescent="0.25"/>
  <cols>
    <col min="1" max="18" width="6.625" style="80" customWidth="1"/>
    <col min="19" max="16384" width="20.625" style="74"/>
  </cols>
  <sheetData>
    <row r="1" spans="1:60" ht="20.100000000000001" customHeight="1" thickBot="1" x14ac:dyDescent="0.3">
      <c r="A1" s="213" t="s">
        <v>265</v>
      </c>
      <c r="B1" s="213"/>
      <c r="C1" s="213"/>
      <c r="D1" s="213"/>
      <c r="E1" s="213"/>
      <c r="F1" s="213"/>
      <c r="G1" s="213"/>
      <c r="H1" s="213"/>
      <c r="I1" s="213"/>
      <c r="J1" s="213"/>
      <c r="K1" s="213"/>
      <c r="L1" s="213"/>
      <c r="M1" s="213"/>
      <c r="N1" s="213"/>
      <c r="O1" s="213"/>
      <c r="P1" s="213"/>
      <c r="Q1" s="213"/>
      <c r="R1" s="213"/>
    </row>
    <row r="2" spans="1:60" x14ac:dyDescent="0.25">
      <c r="A2" s="3"/>
      <c r="B2" s="3"/>
      <c r="C2" s="3"/>
      <c r="D2" s="3"/>
      <c r="E2" s="3"/>
      <c r="F2" s="3"/>
      <c r="G2" s="3"/>
      <c r="H2" s="3"/>
      <c r="I2" s="3"/>
      <c r="J2" s="3"/>
      <c r="K2" s="3"/>
      <c r="L2" s="3"/>
      <c r="M2" s="3"/>
      <c r="N2" s="3"/>
      <c r="O2" s="3"/>
      <c r="P2" s="3"/>
      <c r="Q2" s="3"/>
      <c r="R2" s="3"/>
    </row>
    <row r="3" spans="1:60" ht="20.100000000000001" customHeight="1" x14ac:dyDescent="0.25">
      <c r="A3" s="214" t="s">
        <v>266</v>
      </c>
      <c r="B3" s="214"/>
      <c r="C3" s="214"/>
      <c r="D3" s="214"/>
      <c r="E3" s="214"/>
      <c r="F3" s="214"/>
      <c r="G3" s="214"/>
      <c r="H3" s="214"/>
      <c r="I3" s="214"/>
      <c r="J3" s="214"/>
      <c r="K3" s="214"/>
      <c r="L3" s="214"/>
      <c r="M3" s="214"/>
      <c r="N3" s="214"/>
      <c r="O3" s="214"/>
      <c r="P3" s="214"/>
      <c r="Q3" s="214"/>
      <c r="R3" s="214"/>
    </row>
    <row r="4" spans="1:60" ht="20.100000000000001" customHeight="1" x14ac:dyDescent="0.25">
      <c r="A4" s="214"/>
      <c r="B4" s="214"/>
      <c r="C4" s="214"/>
      <c r="D4" s="214"/>
      <c r="E4" s="214"/>
      <c r="F4" s="214"/>
      <c r="G4" s="214"/>
      <c r="H4" s="214"/>
      <c r="I4" s="214"/>
      <c r="J4" s="214"/>
      <c r="K4" s="214"/>
      <c r="L4" s="214"/>
      <c r="M4" s="214"/>
      <c r="N4" s="214"/>
      <c r="O4" s="214"/>
      <c r="P4" s="214"/>
      <c r="Q4" s="214"/>
      <c r="R4" s="214"/>
    </row>
    <row r="5" spans="1:60" ht="20.100000000000001" customHeight="1" x14ac:dyDescent="0.25">
      <c r="A5" s="215" t="s">
        <v>267</v>
      </c>
      <c r="B5" s="215"/>
      <c r="C5" s="215"/>
      <c r="D5" s="215"/>
      <c r="E5" s="215"/>
      <c r="F5" s="215"/>
      <c r="G5" s="215"/>
      <c r="H5" s="215"/>
      <c r="I5" s="215"/>
      <c r="J5" s="215"/>
      <c r="K5" s="215"/>
      <c r="L5" s="215"/>
      <c r="M5" s="215"/>
      <c r="N5" s="215"/>
      <c r="O5" s="215"/>
      <c r="P5" s="215"/>
      <c r="Q5" s="215"/>
      <c r="R5" s="215"/>
    </row>
    <row r="6" spans="1:60" ht="20.100000000000001" customHeight="1" x14ac:dyDescent="0.25">
      <c r="A6" s="216" t="s">
        <v>268</v>
      </c>
      <c r="B6" s="216"/>
      <c r="C6" s="216"/>
      <c r="D6" s="216"/>
      <c r="E6" s="216" t="s">
        <v>269</v>
      </c>
      <c r="F6" s="216"/>
      <c r="G6" s="216" t="s">
        <v>270</v>
      </c>
      <c r="H6" s="216"/>
      <c r="I6" s="216"/>
      <c r="J6" s="216"/>
      <c r="K6" s="216" t="s">
        <v>271</v>
      </c>
      <c r="L6" s="216"/>
      <c r="M6" s="216"/>
      <c r="N6" s="216"/>
      <c r="O6" s="216" t="s">
        <v>272</v>
      </c>
      <c r="P6" s="216"/>
      <c r="Q6" s="216"/>
      <c r="R6" s="216"/>
    </row>
    <row r="7" spans="1:60" ht="20.100000000000001" customHeight="1" x14ac:dyDescent="0.25">
      <c r="A7" s="219" t="s">
        <v>273</v>
      </c>
      <c r="B7" s="219"/>
      <c r="C7" s="219"/>
      <c r="D7" s="219"/>
      <c r="E7" s="217">
        <v>0.25</v>
      </c>
      <c r="F7" s="217"/>
      <c r="G7" s="217">
        <v>0.25</v>
      </c>
      <c r="H7" s="217"/>
      <c r="I7" s="217">
        <v>0.21</v>
      </c>
      <c r="J7" s="217"/>
      <c r="K7" s="217">
        <v>0.21</v>
      </c>
      <c r="L7" s="217"/>
      <c r="M7" s="217">
        <v>0.13</v>
      </c>
      <c r="N7" s="217"/>
      <c r="O7" s="217">
        <v>0.13</v>
      </c>
      <c r="P7" s="217"/>
      <c r="Q7" s="217">
        <v>0</v>
      </c>
      <c r="R7" s="217"/>
    </row>
    <row r="8" spans="1:60" ht="20.100000000000001" customHeight="1" x14ac:dyDescent="0.25">
      <c r="A8" s="219"/>
      <c r="B8" s="219"/>
      <c r="C8" s="219"/>
      <c r="D8" s="219"/>
      <c r="E8" s="217"/>
      <c r="F8" s="217"/>
      <c r="G8" s="217"/>
      <c r="H8" s="217"/>
      <c r="I8" s="217"/>
      <c r="J8" s="217"/>
      <c r="K8" s="217"/>
      <c r="L8" s="217"/>
      <c r="M8" s="217"/>
      <c r="N8" s="217"/>
      <c r="O8" s="217"/>
      <c r="P8" s="217"/>
      <c r="Q8" s="217"/>
      <c r="R8" s="217"/>
      <c r="AM8" s="218"/>
      <c r="AN8" s="218"/>
      <c r="AO8" s="70"/>
    </row>
    <row r="9" spans="1:60" ht="20.100000000000001" customHeight="1" x14ac:dyDescent="0.25">
      <c r="A9" s="219" t="s">
        <v>275</v>
      </c>
      <c r="B9" s="219"/>
      <c r="C9" s="219"/>
      <c r="D9" s="219"/>
      <c r="E9" s="217">
        <v>0.15</v>
      </c>
      <c r="F9" s="217"/>
      <c r="G9" s="217">
        <v>0.15</v>
      </c>
      <c r="H9" s="217"/>
      <c r="I9" s="217">
        <v>0.125</v>
      </c>
      <c r="J9" s="217"/>
      <c r="K9" s="217">
        <v>0.125</v>
      </c>
      <c r="L9" s="217"/>
      <c r="M9" s="217">
        <v>7.8E-2</v>
      </c>
      <c r="N9" s="217"/>
      <c r="O9" s="217">
        <v>7.8E-2</v>
      </c>
      <c r="P9" s="217"/>
      <c r="Q9" s="217">
        <v>0</v>
      </c>
      <c r="R9" s="217"/>
      <c r="AM9" s="218"/>
      <c r="AN9" s="218"/>
      <c r="AO9" s="70"/>
    </row>
    <row r="10" spans="1:60" ht="20.100000000000001" customHeight="1" x14ac:dyDescent="0.25">
      <c r="A10" s="219"/>
      <c r="B10" s="219"/>
      <c r="C10" s="219"/>
      <c r="D10" s="219"/>
      <c r="E10" s="217"/>
      <c r="F10" s="217"/>
      <c r="G10" s="217"/>
      <c r="H10" s="217"/>
      <c r="I10" s="217"/>
      <c r="J10" s="217"/>
      <c r="K10" s="217"/>
      <c r="L10" s="217"/>
      <c r="M10" s="217"/>
      <c r="N10" s="217"/>
      <c r="O10" s="217"/>
      <c r="P10" s="217"/>
      <c r="Q10" s="217"/>
      <c r="R10" s="217"/>
    </row>
    <row r="11" spans="1:60" ht="20.100000000000001" customHeight="1" x14ac:dyDescent="0.25">
      <c r="A11" s="219" t="s">
        <v>277</v>
      </c>
      <c r="B11" s="219"/>
      <c r="C11" s="219"/>
      <c r="D11" s="219"/>
      <c r="E11" s="217">
        <v>0.1</v>
      </c>
      <c r="F11" s="217"/>
      <c r="G11" s="217">
        <v>0.1</v>
      </c>
      <c r="H11" s="217"/>
      <c r="I11" s="217">
        <v>8.4000000000000005E-2</v>
      </c>
      <c r="J11" s="217"/>
      <c r="K11" s="217">
        <v>8.4000000000000005E-2</v>
      </c>
      <c r="L11" s="217"/>
      <c r="M11" s="217">
        <v>5.1999999999999998E-2</v>
      </c>
      <c r="N11" s="217"/>
      <c r="O11" s="217">
        <v>5.1999999999999998E-2</v>
      </c>
      <c r="P11" s="217"/>
      <c r="Q11" s="217">
        <v>0</v>
      </c>
      <c r="R11" s="217"/>
      <c r="AM11" s="75" t="s">
        <v>278</v>
      </c>
      <c r="AN11" s="75" t="s">
        <v>273</v>
      </c>
      <c r="AO11" s="75" t="s">
        <v>275</v>
      </c>
      <c r="AP11" s="75" t="s">
        <v>277</v>
      </c>
      <c r="AQ11" s="75" t="s">
        <v>279</v>
      </c>
      <c r="AS11" s="220" t="s">
        <v>280</v>
      </c>
      <c r="AT11" s="220"/>
      <c r="AU11" s="220"/>
      <c r="AV11" s="220"/>
      <c r="AW11" s="220"/>
      <c r="AX11" s="220"/>
      <c r="AY11" s="220"/>
      <c r="AZ11" s="220"/>
      <c r="BA11" s="220"/>
      <c r="BB11" s="220"/>
    </row>
    <row r="12" spans="1:60" ht="20.100000000000001" customHeight="1" x14ac:dyDescent="0.25">
      <c r="A12" s="219"/>
      <c r="B12" s="219"/>
      <c r="C12" s="219"/>
      <c r="D12" s="219"/>
      <c r="E12" s="217"/>
      <c r="F12" s="217"/>
      <c r="G12" s="217"/>
      <c r="H12" s="217"/>
      <c r="I12" s="217"/>
      <c r="J12" s="217"/>
      <c r="K12" s="217"/>
      <c r="L12" s="217"/>
      <c r="M12" s="217"/>
      <c r="N12" s="217"/>
      <c r="O12" s="217"/>
      <c r="P12" s="217"/>
      <c r="Q12" s="217"/>
      <c r="R12" s="217"/>
      <c r="AM12" s="68">
        <f t="shared" ref="AM12:AM41" si="0">AT12</f>
        <v>1</v>
      </c>
      <c r="AN12" s="76">
        <f t="shared" ref="AN12:AN41" si="1">AV12/100</f>
        <v>0.24600000000000002</v>
      </c>
      <c r="AO12" s="76">
        <f t="shared" ref="AO12:AO41" si="2">AX12/100</f>
        <v>0.14749999999999999</v>
      </c>
      <c r="AP12" s="76">
        <f t="shared" ref="AP12:AP41" si="3">AZ12/100</f>
        <v>9.8400000000000001E-2</v>
      </c>
      <c r="AQ12" s="76">
        <f t="shared" ref="AQ12:AQ41" si="4">BB12/100</f>
        <v>4.9200000000000001E-2</v>
      </c>
      <c r="AS12" s="221"/>
      <c r="AT12" s="77">
        <v>1</v>
      </c>
      <c r="AU12" s="221"/>
      <c r="AV12" s="78">
        <f t="shared" ref="AV12:AV21" si="5">25-AT12*4/10</f>
        <v>24.6</v>
      </c>
      <c r="AW12" s="221"/>
      <c r="AX12" s="78">
        <f t="shared" ref="AX12:AX21" si="6">15-(AT12*2.5/10)</f>
        <v>14.75</v>
      </c>
      <c r="AY12" s="221"/>
      <c r="AZ12" s="78">
        <f t="shared" ref="AZ12:AZ21" si="7">10-AT12*1.6/10</f>
        <v>9.84</v>
      </c>
      <c r="BA12" s="221"/>
      <c r="BB12" s="78">
        <f t="shared" ref="BB12:BB21" si="8">5-AT12*0.8/10</f>
        <v>4.92</v>
      </c>
      <c r="BE12" s="79"/>
      <c r="BF12" s="79"/>
      <c r="BG12" s="79"/>
      <c r="BH12" s="79"/>
    </row>
    <row r="13" spans="1:60" ht="20.100000000000001" customHeight="1" x14ac:dyDescent="0.25">
      <c r="A13" s="219" t="s">
        <v>279</v>
      </c>
      <c r="B13" s="219"/>
      <c r="C13" s="219"/>
      <c r="D13" s="219"/>
      <c r="E13" s="217">
        <v>0.05</v>
      </c>
      <c r="F13" s="217"/>
      <c r="G13" s="217">
        <v>0.05</v>
      </c>
      <c r="H13" s="217"/>
      <c r="I13" s="217">
        <v>4.2000000000000003E-2</v>
      </c>
      <c r="J13" s="217"/>
      <c r="K13" s="217">
        <v>4.2000000000000003E-2</v>
      </c>
      <c r="L13" s="217"/>
      <c r="M13" s="217">
        <v>2.5999999999999999E-2</v>
      </c>
      <c r="N13" s="217"/>
      <c r="O13" s="217">
        <v>2.5999999999999999E-2</v>
      </c>
      <c r="P13" s="217"/>
      <c r="Q13" s="217">
        <v>0</v>
      </c>
      <c r="R13" s="217"/>
      <c r="AM13" s="68">
        <f t="shared" si="0"/>
        <v>2</v>
      </c>
      <c r="AN13" s="76">
        <f t="shared" si="1"/>
        <v>0.24199999999999999</v>
      </c>
      <c r="AO13" s="76">
        <f t="shared" si="2"/>
        <v>0.14499999999999999</v>
      </c>
      <c r="AP13" s="76">
        <f t="shared" si="3"/>
        <v>9.6799999999999997E-2</v>
      </c>
      <c r="AQ13" s="76">
        <f t="shared" si="4"/>
        <v>4.8399999999999999E-2</v>
      </c>
      <c r="AS13" s="221"/>
      <c r="AT13" s="77">
        <v>2</v>
      </c>
      <c r="AU13" s="221"/>
      <c r="AV13" s="78">
        <f t="shared" si="5"/>
        <v>24.2</v>
      </c>
      <c r="AW13" s="221"/>
      <c r="AX13" s="78">
        <f t="shared" si="6"/>
        <v>14.5</v>
      </c>
      <c r="AY13" s="221"/>
      <c r="AZ13" s="78">
        <f t="shared" si="7"/>
        <v>9.68</v>
      </c>
      <c r="BA13" s="221"/>
      <c r="BB13" s="78">
        <f t="shared" si="8"/>
        <v>4.84</v>
      </c>
      <c r="BE13" s="79"/>
      <c r="BF13" s="79"/>
      <c r="BG13" s="79"/>
      <c r="BH13" s="79"/>
    </row>
    <row r="14" spans="1:60" ht="20.100000000000001" customHeight="1" x14ac:dyDescent="0.25">
      <c r="A14" s="219"/>
      <c r="B14" s="219"/>
      <c r="C14" s="219"/>
      <c r="D14" s="219"/>
      <c r="E14" s="217"/>
      <c r="F14" s="217"/>
      <c r="G14" s="217"/>
      <c r="H14" s="217"/>
      <c r="I14" s="217"/>
      <c r="J14" s="217"/>
      <c r="K14" s="217"/>
      <c r="L14" s="217"/>
      <c r="M14" s="217"/>
      <c r="N14" s="217"/>
      <c r="O14" s="217"/>
      <c r="P14" s="217"/>
      <c r="Q14" s="217"/>
      <c r="R14" s="217"/>
      <c r="AM14" s="68">
        <f t="shared" si="0"/>
        <v>3</v>
      </c>
      <c r="AN14" s="76">
        <f t="shared" si="1"/>
        <v>0.23800000000000002</v>
      </c>
      <c r="AO14" s="76">
        <f t="shared" si="2"/>
        <v>0.14249999999999999</v>
      </c>
      <c r="AP14" s="76">
        <f t="shared" si="3"/>
        <v>9.5199999999999993E-2</v>
      </c>
      <c r="AQ14" s="76">
        <f t="shared" si="4"/>
        <v>4.7599999999999996E-2</v>
      </c>
      <c r="AS14" s="221"/>
      <c r="AT14" s="77">
        <v>3</v>
      </c>
      <c r="AU14" s="221"/>
      <c r="AV14" s="78">
        <f t="shared" si="5"/>
        <v>23.8</v>
      </c>
      <c r="AW14" s="221"/>
      <c r="AX14" s="78">
        <f t="shared" si="6"/>
        <v>14.25</v>
      </c>
      <c r="AY14" s="221"/>
      <c r="AZ14" s="78">
        <f t="shared" si="7"/>
        <v>9.52</v>
      </c>
      <c r="BA14" s="221"/>
      <c r="BB14" s="78">
        <f t="shared" si="8"/>
        <v>4.76</v>
      </c>
      <c r="BE14" s="79"/>
      <c r="BF14" s="79"/>
      <c r="BG14" s="79"/>
      <c r="BH14" s="79"/>
    </row>
    <row r="15" spans="1:60" ht="20.100000000000001" customHeight="1" x14ac:dyDescent="0.25">
      <c r="A15" s="215" t="s">
        <v>281</v>
      </c>
      <c r="B15" s="215"/>
      <c r="C15" s="215"/>
      <c r="D15" s="215"/>
      <c r="E15" s="215"/>
      <c r="F15" s="215"/>
      <c r="G15" s="215"/>
      <c r="H15" s="215"/>
      <c r="I15" s="215"/>
      <c r="J15" s="215"/>
      <c r="K15" s="215"/>
      <c r="L15" s="215"/>
      <c r="M15" s="215"/>
      <c r="N15" s="215"/>
      <c r="O15" s="215"/>
      <c r="P15" s="215"/>
      <c r="Q15" s="215"/>
      <c r="R15" s="215"/>
      <c r="AM15" s="68">
        <f t="shared" si="0"/>
        <v>4</v>
      </c>
      <c r="AN15" s="76">
        <f t="shared" si="1"/>
        <v>0.23399999999999999</v>
      </c>
      <c r="AO15" s="76">
        <f t="shared" si="2"/>
        <v>0.14000000000000001</v>
      </c>
      <c r="AP15" s="76">
        <f t="shared" si="3"/>
        <v>9.3599999999999989E-2</v>
      </c>
      <c r="AQ15" s="76">
        <f t="shared" si="4"/>
        <v>4.6799999999999994E-2</v>
      </c>
      <c r="AS15" s="221"/>
      <c r="AT15" s="77">
        <v>4</v>
      </c>
      <c r="AU15" s="221"/>
      <c r="AV15" s="78">
        <f t="shared" si="5"/>
        <v>23.4</v>
      </c>
      <c r="AW15" s="221"/>
      <c r="AX15" s="78">
        <f t="shared" si="6"/>
        <v>14</v>
      </c>
      <c r="AY15" s="221"/>
      <c r="AZ15" s="78">
        <f t="shared" si="7"/>
        <v>9.36</v>
      </c>
      <c r="BA15" s="221"/>
      <c r="BB15" s="78">
        <f t="shared" si="8"/>
        <v>4.68</v>
      </c>
      <c r="BE15" s="79"/>
      <c r="BF15" s="79"/>
      <c r="BG15" s="79"/>
      <c r="BH15" s="79"/>
    </row>
    <row r="16" spans="1:60" ht="20.100000000000001" customHeight="1" x14ac:dyDescent="0.25">
      <c r="A16" s="215" t="s">
        <v>282</v>
      </c>
      <c r="B16" s="215"/>
      <c r="C16" s="215"/>
      <c r="D16" s="215"/>
      <c r="E16" s="215"/>
      <c r="F16" s="215"/>
      <c r="G16" s="215"/>
      <c r="H16" s="215"/>
      <c r="I16" s="215"/>
      <c r="J16" s="215"/>
      <c r="K16" s="215"/>
      <c r="L16" s="215"/>
      <c r="M16" s="215"/>
      <c r="N16" s="215"/>
      <c r="O16" s="215"/>
      <c r="P16" s="215"/>
      <c r="Q16" s="215"/>
      <c r="R16" s="215"/>
      <c r="AM16" s="68">
        <f t="shared" si="0"/>
        <v>5</v>
      </c>
      <c r="AN16" s="76">
        <f t="shared" si="1"/>
        <v>0.23</v>
      </c>
      <c r="AO16" s="76">
        <f t="shared" si="2"/>
        <v>0.13750000000000001</v>
      </c>
      <c r="AP16" s="76">
        <f t="shared" si="3"/>
        <v>9.1999999999999998E-2</v>
      </c>
      <c r="AQ16" s="76">
        <f t="shared" si="4"/>
        <v>4.5999999999999999E-2</v>
      </c>
      <c r="AS16" s="221"/>
      <c r="AT16" s="77">
        <v>5</v>
      </c>
      <c r="AU16" s="221"/>
      <c r="AV16" s="78">
        <f t="shared" si="5"/>
        <v>23</v>
      </c>
      <c r="AW16" s="221"/>
      <c r="AX16" s="78">
        <f t="shared" si="6"/>
        <v>13.75</v>
      </c>
      <c r="AY16" s="221"/>
      <c r="AZ16" s="78">
        <f t="shared" si="7"/>
        <v>9.1999999999999993</v>
      </c>
      <c r="BA16" s="221"/>
      <c r="BB16" s="78">
        <f t="shared" si="8"/>
        <v>4.5999999999999996</v>
      </c>
      <c r="BE16" s="79"/>
      <c r="BF16" s="79"/>
      <c r="BG16" s="79"/>
      <c r="BH16" s="79"/>
    </row>
    <row r="17" spans="1:60" ht="20.100000000000001" customHeight="1" x14ac:dyDescent="0.25">
      <c r="A17" s="215" t="s">
        <v>283</v>
      </c>
      <c r="B17" s="215"/>
      <c r="C17" s="215"/>
      <c r="D17" s="222" t="s">
        <v>284</v>
      </c>
      <c r="E17" s="222"/>
      <c r="F17" s="222"/>
      <c r="G17" s="222"/>
      <c r="H17" s="222"/>
      <c r="I17" s="222"/>
      <c r="J17" s="222"/>
      <c r="K17" s="222"/>
      <c r="L17" s="222"/>
      <c r="M17" s="222"/>
      <c r="N17" s="222"/>
      <c r="O17" s="222"/>
      <c r="P17" s="222"/>
      <c r="Q17" s="222"/>
      <c r="R17" s="222"/>
      <c r="AM17" s="68">
        <f t="shared" si="0"/>
        <v>6</v>
      </c>
      <c r="AN17" s="76">
        <f t="shared" si="1"/>
        <v>0.22600000000000001</v>
      </c>
      <c r="AO17" s="76">
        <f t="shared" si="2"/>
        <v>0.13500000000000001</v>
      </c>
      <c r="AP17" s="76">
        <f t="shared" si="3"/>
        <v>9.0399999999999994E-2</v>
      </c>
      <c r="AQ17" s="76">
        <f t="shared" si="4"/>
        <v>4.5199999999999997E-2</v>
      </c>
      <c r="AS17" s="221"/>
      <c r="AT17" s="77">
        <v>6</v>
      </c>
      <c r="AU17" s="221"/>
      <c r="AV17" s="78">
        <f t="shared" si="5"/>
        <v>22.6</v>
      </c>
      <c r="AW17" s="221"/>
      <c r="AX17" s="78">
        <f t="shared" si="6"/>
        <v>13.5</v>
      </c>
      <c r="AY17" s="221"/>
      <c r="AZ17" s="78">
        <f t="shared" si="7"/>
        <v>9.0399999999999991</v>
      </c>
      <c r="BA17" s="221"/>
      <c r="BB17" s="78">
        <f t="shared" si="8"/>
        <v>4.5199999999999996</v>
      </c>
      <c r="BE17" s="79"/>
      <c r="BF17" s="79"/>
      <c r="BG17" s="79"/>
      <c r="BH17" s="79"/>
    </row>
    <row r="18" spans="1:60" ht="20.100000000000001" customHeight="1" x14ac:dyDescent="0.25">
      <c r="A18" s="156" t="s">
        <v>285</v>
      </c>
      <c r="B18" s="156"/>
      <c r="C18" s="156"/>
      <c r="D18" s="156"/>
      <c r="E18" s="156"/>
      <c r="F18" s="156"/>
      <c r="G18" s="156"/>
      <c r="H18" s="156"/>
      <c r="I18" s="156"/>
      <c r="J18" s="156"/>
      <c r="K18" s="156"/>
      <c r="L18" s="156"/>
      <c r="M18" s="156"/>
      <c r="N18" s="156"/>
      <c r="O18" s="156"/>
      <c r="P18" s="156"/>
      <c r="Q18" s="156"/>
      <c r="R18" s="156"/>
      <c r="AM18" s="68">
        <f t="shared" si="0"/>
        <v>7</v>
      </c>
      <c r="AN18" s="76">
        <f t="shared" si="1"/>
        <v>0.222</v>
      </c>
      <c r="AO18" s="76">
        <f t="shared" si="2"/>
        <v>0.13250000000000001</v>
      </c>
      <c r="AP18" s="76">
        <f t="shared" si="3"/>
        <v>8.879999999999999E-2</v>
      </c>
      <c r="AQ18" s="76">
        <f t="shared" si="4"/>
        <v>4.4399999999999995E-2</v>
      </c>
      <c r="AS18" s="221"/>
      <c r="AT18" s="77">
        <v>7</v>
      </c>
      <c r="AU18" s="221"/>
      <c r="AV18" s="78">
        <f t="shared" si="5"/>
        <v>22.2</v>
      </c>
      <c r="AW18" s="221"/>
      <c r="AX18" s="78">
        <f t="shared" si="6"/>
        <v>13.25</v>
      </c>
      <c r="AY18" s="221"/>
      <c r="AZ18" s="78">
        <f t="shared" si="7"/>
        <v>8.879999999999999</v>
      </c>
      <c r="BA18" s="221"/>
      <c r="BB18" s="78">
        <f t="shared" si="8"/>
        <v>4.4399999999999995</v>
      </c>
      <c r="BE18" s="79"/>
      <c r="BF18" s="79"/>
      <c r="BG18" s="79"/>
      <c r="BH18" s="79"/>
    </row>
    <row r="19" spans="1:60" ht="20.100000000000001" customHeight="1" x14ac:dyDescent="0.25">
      <c r="A19" s="156"/>
      <c r="B19" s="156"/>
      <c r="C19" s="156"/>
      <c r="D19" s="156"/>
      <c r="E19" s="156"/>
      <c r="F19" s="156"/>
      <c r="G19" s="156"/>
      <c r="H19" s="156"/>
      <c r="I19" s="156"/>
      <c r="J19" s="156"/>
      <c r="K19" s="156"/>
      <c r="L19" s="156"/>
      <c r="M19" s="156"/>
      <c r="N19" s="156"/>
      <c r="O19" s="156"/>
      <c r="P19" s="156"/>
      <c r="Q19" s="156"/>
      <c r="R19" s="156"/>
      <c r="AM19" s="68">
        <f t="shared" si="0"/>
        <v>8</v>
      </c>
      <c r="AN19" s="76">
        <f t="shared" si="1"/>
        <v>0.218</v>
      </c>
      <c r="AO19" s="76">
        <f t="shared" si="2"/>
        <v>0.13</v>
      </c>
      <c r="AP19" s="76">
        <f t="shared" si="3"/>
        <v>8.72E-2</v>
      </c>
      <c r="AQ19" s="76">
        <f t="shared" si="4"/>
        <v>4.36E-2</v>
      </c>
      <c r="AS19" s="221"/>
      <c r="AT19" s="77">
        <v>8</v>
      </c>
      <c r="AU19" s="221"/>
      <c r="AV19" s="78">
        <f t="shared" si="5"/>
        <v>21.8</v>
      </c>
      <c r="AW19" s="221"/>
      <c r="AX19" s="78">
        <f t="shared" si="6"/>
        <v>13</v>
      </c>
      <c r="AY19" s="221"/>
      <c r="AZ19" s="78">
        <f t="shared" si="7"/>
        <v>8.7200000000000006</v>
      </c>
      <c r="BA19" s="221"/>
      <c r="BB19" s="78">
        <f t="shared" si="8"/>
        <v>4.3600000000000003</v>
      </c>
      <c r="BE19" s="79"/>
      <c r="BF19" s="79"/>
      <c r="BG19" s="79"/>
      <c r="BH19" s="79"/>
    </row>
    <row r="20" spans="1:60" ht="20.100000000000001" customHeight="1" x14ac:dyDescent="0.25">
      <c r="A20" s="156"/>
      <c r="B20" s="156"/>
      <c r="C20" s="156"/>
      <c r="D20" s="156"/>
      <c r="E20" s="156"/>
      <c r="F20" s="156"/>
      <c r="G20" s="156"/>
      <c r="H20" s="156"/>
      <c r="I20" s="156"/>
      <c r="J20" s="156"/>
      <c r="K20" s="156"/>
      <c r="L20" s="156"/>
      <c r="M20" s="156"/>
      <c r="N20" s="156"/>
      <c r="O20" s="156"/>
      <c r="P20" s="156"/>
      <c r="Q20" s="156"/>
      <c r="R20" s="156"/>
      <c r="AM20" s="68">
        <f t="shared" si="0"/>
        <v>9</v>
      </c>
      <c r="AN20" s="76">
        <f t="shared" si="1"/>
        <v>0.214</v>
      </c>
      <c r="AO20" s="76">
        <f t="shared" si="2"/>
        <v>0.1275</v>
      </c>
      <c r="AP20" s="76">
        <f t="shared" si="3"/>
        <v>8.5600000000000009E-2</v>
      </c>
      <c r="AQ20" s="76">
        <f t="shared" si="4"/>
        <v>4.2800000000000005E-2</v>
      </c>
      <c r="AS20" s="221"/>
      <c r="AT20" s="77">
        <v>9</v>
      </c>
      <c r="AU20" s="221"/>
      <c r="AV20" s="78">
        <f t="shared" si="5"/>
        <v>21.4</v>
      </c>
      <c r="AW20" s="221"/>
      <c r="AX20" s="78">
        <f t="shared" si="6"/>
        <v>12.75</v>
      </c>
      <c r="AY20" s="221"/>
      <c r="AZ20" s="78">
        <f t="shared" si="7"/>
        <v>8.56</v>
      </c>
      <c r="BA20" s="221"/>
      <c r="BB20" s="78">
        <f t="shared" si="8"/>
        <v>4.28</v>
      </c>
      <c r="BE20" s="79"/>
      <c r="BF20" s="79"/>
      <c r="BG20" s="79"/>
      <c r="BH20" s="79"/>
    </row>
    <row r="21" spans="1:60" ht="20.100000000000001" customHeight="1" x14ac:dyDescent="0.25">
      <c r="A21" s="74"/>
      <c r="B21" s="74"/>
      <c r="C21" s="74"/>
      <c r="D21" s="74"/>
      <c r="E21" s="74"/>
      <c r="F21" s="74"/>
      <c r="G21" s="74"/>
      <c r="H21" s="74"/>
      <c r="I21" s="74"/>
      <c r="J21" s="74"/>
      <c r="K21" s="74"/>
      <c r="L21" s="74"/>
      <c r="M21" s="74"/>
      <c r="N21" s="74"/>
      <c r="O21" s="74"/>
      <c r="P21" s="74"/>
      <c r="Q21" s="74"/>
      <c r="R21" s="74"/>
      <c r="AM21" s="68">
        <f t="shared" si="0"/>
        <v>10</v>
      </c>
      <c r="AN21" s="76">
        <f t="shared" si="1"/>
        <v>0.21</v>
      </c>
      <c r="AO21" s="76">
        <f t="shared" si="2"/>
        <v>0.125</v>
      </c>
      <c r="AP21" s="76">
        <f t="shared" si="3"/>
        <v>8.4000000000000005E-2</v>
      </c>
      <c r="AQ21" s="76">
        <f t="shared" si="4"/>
        <v>4.2000000000000003E-2</v>
      </c>
      <c r="AS21" s="221"/>
      <c r="AT21" s="77">
        <v>10</v>
      </c>
      <c r="AU21" s="221"/>
      <c r="AV21" s="78">
        <f t="shared" si="5"/>
        <v>21</v>
      </c>
      <c r="AW21" s="221"/>
      <c r="AX21" s="78">
        <f t="shared" si="6"/>
        <v>12.5</v>
      </c>
      <c r="AY21" s="221"/>
      <c r="AZ21" s="78">
        <f t="shared" si="7"/>
        <v>8.4</v>
      </c>
      <c r="BA21" s="221"/>
      <c r="BB21" s="78">
        <f t="shared" si="8"/>
        <v>4.2</v>
      </c>
      <c r="BE21" s="79"/>
      <c r="BF21" s="79"/>
      <c r="BG21" s="79"/>
      <c r="BH21" s="79"/>
    </row>
    <row r="22" spans="1:60" ht="20.100000000000001" customHeight="1" x14ac:dyDescent="0.25">
      <c r="A22" s="74"/>
      <c r="B22" s="74"/>
      <c r="C22" s="74"/>
      <c r="D22" s="74"/>
      <c r="E22" s="74"/>
      <c r="F22" s="74"/>
      <c r="G22" s="74"/>
      <c r="H22" s="74"/>
      <c r="I22" s="74"/>
      <c r="J22" s="74"/>
      <c r="K22" s="74"/>
      <c r="L22" s="74"/>
      <c r="M22" s="74"/>
      <c r="N22" s="74"/>
      <c r="O22" s="74"/>
      <c r="P22" s="74"/>
      <c r="Q22" s="74"/>
      <c r="R22" s="74"/>
      <c r="AM22" s="68">
        <f t="shared" si="0"/>
        <v>11</v>
      </c>
      <c r="AN22" s="76">
        <f t="shared" si="1"/>
        <v>0.20199999999999999</v>
      </c>
      <c r="AO22" s="76">
        <f t="shared" si="2"/>
        <v>0.12029999999999999</v>
      </c>
      <c r="AP22" s="76">
        <f t="shared" si="3"/>
        <v>8.0799999999999997E-2</v>
      </c>
      <c r="AQ22" s="76">
        <f t="shared" si="4"/>
        <v>4.0399999999999998E-2</v>
      </c>
      <c r="AS22" s="221"/>
      <c r="AT22" s="77">
        <v>11</v>
      </c>
      <c r="AU22" s="221"/>
      <c r="AV22" s="78">
        <f t="shared" ref="AV22:AV31" si="9">21-((AT22-10)*(8/10))</f>
        <v>20.2</v>
      </c>
      <c r="AW22" s="221"/>
      <c r="AX22" s="78">
        <f t="shared" ref="AX22:AX31" si="10">12.5-(AT22-10)*4.7/10</f>
        <v>12.03</v>
      </c>
      <c r="AY22" s="221"/>
      <c r="AZ22" s="78">
        <f t="shared" ref="AZ22:AZ31" si="11">8.4-(AT22-10)*3.2/10</f>
        <v>8.08</v>
      </c>
      <c r="BA22" s="221"/>
      <c r="BB22" s="78">
        <f t="shared" ref="BB22:BB31" si="12">4.2-(AT22-10)*1.6/10</f>
        <v>4.04</v>
      </c>
      <c r="BE22" s="79"/>
      <c r="BF22" s="79"/>
      <c r="BG22" s="79"/>
      <c r="BH22" s="79"/>
    </row>
    <row r="23" spans="1:60" ht="20.100000000000001" customHeight="1" x14ac:dyDescent="0.25">
      <c r="A23" s="74"/>
      <c r="B23" s="74"/>
      <c r="C23" s="74"/>
      <c r="D23" s="74"/>
      <c r="E23" s="74"/>
      <c r="F23" s="74"/>
      <c r="G23" s="74"/>
      <c r="H23" s="74"/>
      <c r="I23" s="74"/>
      <c r="J23" s="74"/>
      <c r="K23" s="74"/>
      <c r="L23" s="74"/>
      <c r="M23" s="74"/>
      <c r="N23" s="74"/>
      <c r="O23" s="74"/>
      <c r="P23" s="74"/>
      <c r="Q23" s="74"/>
      <c r="R23" s="74"/>
      <c r="AM23" s="68">
        <f t="shared" si="0"/>
        <v>12</v>
      </c>
      <c r="AN23" s="76">
        <f t="shared" si="1"/>
        <v>0.19399999999999998</v>
      </c>
      <c r="AO23" s="76">
        <f t="shared" si="2"/>
        <v>0.11560000000000001</v>
      </c>
      <c r="AP23" s="76">
        <f t="shared" si="3"/>
        <v>7.7600000000000002E-2</v>
      </c>
      <c r="AQ23" s="76">
        <f t="shared" si="4"/>
        <v>3.8800000000000001E-2</v>
      </c>
      <c r="AS23" s="221"/>
      <c r="AT23" s="77">
        <v>12</v>
      </c>
      <c r="AU23" s="221"/>
      <c r="AV23" s="78">
        <f t="shared" si="9"/>
        <v>19.399999999999999</v>
      </c>
      <c r="AW23" s="221"/>
      <c r="AX23" s="78">
        <f t="shared" si="10"/>
        <v>11.56</v>
      </c>
      <c r="AY23" s="221"/>
      <c r="AZ23" s="78">
        <f t="shared" si="11"/>
        <v>7.7600000000000007</v>
      </c>
      <c r="BA23" s="221"/>
      <c r="BB23" s="78">
        <f t="shared" si="12"/>
        <v>3.8800000000000003</v>
      </c>
      <c r="BE23" s="79"/>
      <c r="BF23" s="79"/>
      <c r="BG23" s="79"/>
      <c r="BH23" s="79"/>
    </row>
    <row r="24" spans="1:60" ht="20.100000000000001" customHeight="1" x14ac:dyDescent="0.25">
      <c r="A24" s="74"/>
      <c r="B24" s="74"/>
      <c r="C24" s="74"/>
      <c r="D24" s="74"/>
      <c r="E24" s="74"/>
      <c r="F24" s="74"/>
      <c r="G24" s="74"/>
      <c r="H24" s="74"/>
      <c r="I24" s="74"/>
      <c r="J24" s="74"/>
      <c r="K24" s="74"/>
      <c r="L24" s="74"/>
      <c r="M24" s="74"/>
      <c r="N24" s="74"/>
      <c r="O24" s="74"/>
      <c r="P24" s="74"/>
      <c r="Q24" s="74"/>
      <c r="R24" s="74"/>
      <c r="AM24" s="68">
        <f t="shared" si="0"/>
        <v>13</v>
      </c>
      <c r="AN24" s="76">
        <f t="shared" si="1"/>
        <v>0.18600000000000003</v>
      </c>
      <c r="AO24" s="76">
        <f t="shared" si="2"/>
        <v>0.1109</v>
      </c>
      <c r="AP24" s="76">
        <f t="shared" si="3"/>
        <v>7.4400000000000008E-2</v>
      </c>
      <c r="AQ24" s="76">
        <f t="shared" si="4"/>
        <v>3.7200000000000004E-2</v>
      </c>
      <c r="AS24" s="221"/>
      <c r="AT24" s="77">
        <v>13</v>
      </c>
      <c r="AU24" s="221"/>
      <c r="AV24" s="78">
        <f t="shared" si="9"/>
        <v>18.600000000000001</v>
      </c>
      <c r="AW24" s="221"/>
      <c r="AX24" s="78">
        <f t="shared" si="10"/>
        <v>11.09</v>
      </c>
      <c r="AY24" s="221"/>
      <c r="AZ24" s="78">
        <f t="shared" si="11"/>
        <v>7.44</v>
      </c>
      <c r="BA24" s="221"/>
      <c r="BB24" s="78">
        <f t="shared" si="12"/>
        <v>3.72</v>
      </c>
      <c r="BE24" s="79"/>
      <c r="BF24" s="79"/>
      <c r="BG24" s="79"/>
      <c r="BH24" s="79"/>
    </row>
    <row r="25" spans="1:60" ht="20.100000000000001" customHeight="1" x14ac:dyDescent="0.25">
      <c r="A25" s="74"/>
      <c r="B25" s="74"/>
      <c r="C25" s="74"/>
      <c r="D25" s="74"/>
      <c r="E25" s="74"/>
      <c r="F25" s="74"/>
      <c r="G25" s="74"/>
      <c r="H25" s="74"/>
      <c r="I25" s="74"/>
      <c r="J25" s="74"/>
      <c r="K25" s="74"/>
      <c r="L25" s="74"/>
      <c r="M25" s="74"/>
      <c r="N25" s="74"/>
      <c r="O25" s="74"/>
      <c r="P25" s="74"/>
      <c r="Q25" s="74"/>
      <c r="R25" s="74"/>
      <c r="AM25" s="68">
        <f t="shared" si="0"/>
        <v>14</v>
      </c>
      <c r="AN25" s="76">
        <f t="shared" si="1"/>
        <v>0.17800000000000002</v>
      </c>
      <c r="AO25" s="76">
        <f t="shared" si="2"/>
        <v>0.10619999999999999</v>
      </c>
      <c r="AP25" s="76">
        <f t="shared" si="3"/>
        <v>7.1199999999999999E-2</v>
      </c>
      <c r="AQ25" s="76">
        <f t="shared" si="4"/>
        <v>3.56E-2</v>
      </c>
      <c r="AS25" s="221"/>
      <c r="AT25" s="77">
        <v>14</v>
      </c>
      <c r="AU25" s="221"/>
      <c r="AV25" s="78">
        <f t="shared" si="9"/>
        <v>17.8</v>
      </c>
      <c r="AW25" s="221"/>
      <c r="AX25" s="78">
        <f t="shared" si="10"/>
        <v>10.62</v>
      </c>
      <c r="AY25" s="221"/>
      <c r="AZ25" s="78">
        <f t="shared" si="11"/>
        <v>7.12</v>
      </c>
      <c r="BA25" s="221"/>
      <c r="BB25" s="78">
        <f t="shared" si="12"/>
        <v>3.56</v>
      </c>
      <c r="BE25" s="79"/>
      <c r="BF25" s="79"/>
      <c r="BG25" s="79"/>
      <c r="BH25" s="79"/>
    </row>
    <row r="26" spans="1:60" ht="20.100000000000001" customHeight="1" x14ac:dyDescent="0.25">
      <c r="A26" s="74"/>
      <c r="B26" s="74"/>
      <c r="C26" s="74"/>
      <c r="D26" s="74"/>
      <c r="E26" s="74"/>
      <c r="F26" s="74"/>
      <c r="G26" s="74"/>
      <c r="H26" s="74"/>
      <c r="I26" s="74"/>
      <c r="J26" s="74"/>
      <c r="K26" s="74"/>
      <c r="L26" s="74"/>
      <c r="M26" s="74"/>
      <c r="N26" s="74"/>
      <c r="O26" s="74"/>
      <c r="P26" s="74"/>
      <c r="Q26" s="74"/>
      <c r="R26" s="74"/>
      <c r="AM26" s="68">
        <f t="shared" si="0"/>
        <v>15</v>
      </c>
      <c r="AN26" s="76">
        <f t="shared" si="1"/>
        <v>0.17</v>
      </c>
      <c r="AO26" s="76">
        <f t="shared" si="2"/>
        <v>0.10150000000000001</v>
      </c>
      <c r="AP26" s="76">
        <f t="shared" si="3"/>
        <v>6.8000000000000005E-2</v>
      </c>
      <c r="AQ26" s="76">
        <f t="shared" si="4"/>
        <v>3.4000000000000002E-2</v>
      </c>
      <c r="AS26" s="221"/>
      <c r="AT26" s="77">
        <v>15</v>
      </c>
      <c r="AU26" s="221"/>
      <c r="AV26" s="78">
        <f t="shared" si="9"/>
        <v>17</v>
      </c>
      <c r="AW26" s="221"/>
      <c r="AX26" s="78">
        <f t="shared" si="10"/>
        <v>10.15</v>
      </c>
      <c r="AY26" s="221"/>
      <c r="AZ26" s="78">
        <f t="shared" si="11"/>
        <v>6.8000000000000007</v>
      </c>
      <c r="BA26" s="221"/>
      <c r="BB26" s="78">
        <f t="shared" si="12"/>
        <v>3.4000000000000004</v>
      </c>
      <c r="BE26" s="79"/>
      <c r="BF26" s="79"/>
      <c r="BG26" s="79"/>
      <c r="BH26" s="79"/>
    </row>
    <row r="27" spans="1:60" ht="20.100000000000001" customHeight="1" x14ac:dyDescent="0.25">
      <c r="A27" s="74"/>
      <c r="B27" s="74"/>
      <c r="C27" s="74"/>
      <c r="D27" s="74"/>
      <c r="E27" s="74"/>
      <c r="F27" s="74"/>
      <c r="G27" s="74"/>
      <c r="H27" s="74"/>
      <c r="I27" s="74"/>
      <c r="J27" s="74"/>
      <c r="K27" s="74"/>
      <c r="L27" s="74"/>
      <c r="M27" s="74"/>
      <c r="N27" s="74"/>
      <c r="O27" s="74"/>
      <c r="P27" s="74"/>
      <c r="Q27" s="74"/>
      <c r="R27" s="74"/>
      <c r="AM27" s="68">
        <f t="shared" si="0"/>
        <v>16</v>
      </c>
      <c r="AN27" s="76">
        <f t="shared" si="1"/>
        <v>0.16200000000000001</v>
      </c>
      <c r="AO27" s="76">
        <f t="shared" si="2"/>
        <v>9.6799999999999997E-2</v>
      </c>
      <c r="AP27" s="76">
        <f t="shared" si="3"/>
        <v>6.480000000000001E-2</v>
      </c>
      <c r="AQ27" s="76">
        <f t="shared" si="4"/>
        <v>3.2400000000000005E-2</v>
      </c>
      <c r="AS27" s="221"/>
      <c r="AT27" s="77">
        <v>16</v>
      </c>
      <c r="AU27" s="221"/>
      <c r="AV27" s="78">
        <f t="shared" si="9"/>
        <v>16.2</v>
      </c>
      <c r="AW27" s="221"/>
      <c r="AX27" s="78">
        <f t="shared" si="10"/>
        <v>9.68</v>
      </c>
      <c r="AY27" s="221"/>
      <c r="AZ27" s="78">
        <f t="shared" si="11"/>
        <v>6.48</v>
      </c>
      <c r="BA27" s="221"/>
      <c r="BB27" s="78">
        <f t="shared" si="12"/>
        <v>3.24</v>
      </c>
      <c r="BE27" s="79"/>
      <c r="BF27" s="79"/>
      <c r="BG27" s="79"/>
      <c r="BH27" s="79"/>
    </row>
    <row r="28" spans="1:60" ht="20.100000000000001" customHeight="1" x14ac:dyDescent="0.25">
      <c r="AM28" s="68">
        <f t="shared" si="0"/>
        <v>17</v>
      </c>
      <c r="AN28" s="76">
        <f t="shared" si="1"/>
        <v>0.154</v>
      </c>
      <c r="AO28" s="76">
        <f t="shared" si="2"/>
        <v>9.2100000000000015E-2</v>
      </c>
      <c r="AP28" s="76">
        <f t="shared" si="3"/>
        <v>6.1600000000000002E-2</v>
      </c>
      <c r="AQ28" s="76">
        <f t="shared" si="4"/>
        <v>3.0800000000000001E-2</v>
      </c>
      <c r="AS28" s="221"/>
      <c r="AT28" s="77">
        <v>17</v>
      </c>
      <c r="AU28" s="221"/>
      <c r="AV28" s="78">
        <f t="shared" si="9"/>
        <v>15.399999999999999</v>
      </c>
      <c r="AW28" s="221"/>
      <c r="AX28" s="78">
        <f t="shared" si="10"/>
        <v>9.2100000000000009</v>
      </c>
      <c r="AY28" s="221"/>
      <c r="AZ28" s="78">
        <f t="shared" si="11"/>
        <v>6.16</v>
      </c>
      <c r="BA28" s="221"/>
      <c r="BB28" s="78">
        <f t="shared" si="12"/>
        <v>3.08</v>
      </c>
      <c r="BE28" s="79"/>
      <c r="BF28" s="79"/>
      <c r="BG28" s="79"/>
      <c r="BH28" s="79"/>
    </row>
    <row r="29" spans="1:60" ht="20.100000000000001" customHeight="1" x14ac:dyDescent="0.2">
      <c r="A29" s="81"/>
      <c r="B29" s="81"/>
      <c r="C29" s="81"/>
      <c r="D29" s="81"/>
      <c r="E29" s="81"/>
      <c r="F29" s="81"/>
      <c r="G29" s="81"/>
      <c r="H29" s="81"/>
      <c r="I29" s="81"/>
      <c r="J29" s="81"/>
      <c r="K29" s="81"/>
      <c r="L29" s="81"/>
      <c r="M29" s="81"/>
      <c r="N29" s="81"/>
      <c r="O29" s="81"/>
      <c r="P29" s="81"/>
      <c r="Q29" s="81"/>
      <c r="R29" s="81"/>
      <c r="AM29" s="68">
        <f t="shared" si="0"/>
        <v>18</v>
      </c>
      <c r="AN29" s="76">
        <f t="shared" si="1"/>
        <v>0.14599999999999999</v>
      </c>
      <c r="AO29" s="76">
        <f t="shared" si="2"/>
        <v>8.7400000000000005E-2</v>
      </c>
      <c r="AP29" s="76">
        <f t="shared" si="3"/>
        <v>5.8400000000000001E-2</v>
      </c>
      <c r="AQ29" s="76">
        <f t="shared" si="4"/>
        <v>2.92E-2</v>
      </c>
      <c r="AS29" s="221"/>
      <c r="AT29" s="77">
        <v>18</v>
      </c>
      <c r="AU29" s="221"/>
      <c r="AV29" s="78">
        <f t="shared" si="9"/>
        <v>14.6</v>
      </c>
      <c r="AW29" s="221"/>
      <c r="AX29" s="78">
        <f t="shared" si="10"/>
        <v>8.74</v>
      </c>
      <c r="AY29" s="221"/>
      <c r="AZ29" s="78">
        <f t="shared" si="11"/>
        <v>5.84</v>
      </c>
      <c r="BA29" s="221"/>
      <c r="BB29" s="78">
        <f t="shared" si="12"/>
        <v>2.92</v>
      </c>
      <c r="BE29" s="79"/>
      <c r="BF29" s="79"/>
      <c r="BG29" s="79"/>
      <c r="BH29" s="79"/>
    </row>
    <row r="30" spans="1:60" ht="20.100000000000001" customHeight="1" x14ac:dyDescent="0.25">
      <c r="A30" s="74"/>
      <c r="B30" s="74"/>
      <c r="C30" s="74"/>
      <c r="D30" s="74"/>
      <c r="E30" s="74"/>
      <c r="F30" s="74"/>
      <c r="G30" s="74"/>
      <c r="H30" s="74"/>
      <c r="I30" s="74"/>
      <c r="J30" s="74"/>
      <c r="K30" s="74"/>
      <c r="L30" s="74"/>
      <c r="M30" s="74"/>
      <c r="N30" s="74"/>
      <c r="O30" s="74"/>
      <c r="P30" s="74"/>
      <c r="Q30" s="74"/>
      <c r="R30" s="74"/>
      <c r="AM30" s="68">
        <f t="shared" si="0"/>
        <v>19</v>
      </c>
      <c r="AN30" s="76">
        <f t="shared" si="1"/>
        <v>0.13800000000000001</v>
      </c>
      <c r="AO30" s="76">
        <f t="shared" si="2"/>
        <v>8.2699999999999996E-2</v>
      </c>
      <c r="AP30" s="76">
        <f t="shared" si="3"/>
        <v>5.5200000000000006E-2</v>
      </c>
      <c r="AQ30" s="76">
        <f t="shared" si="4"/>
        <v>2.7600000000000003E-2</v>
      </c>
      <c r="AS30" s="221"/>
      <c r="AT30" s="77">
        <v>19</v>
      </c>
      <c r="AU30" s="221"/>
      <c r="AV30" s="78">
        <f t="shared" si="9"/>
        <v>13.8</v>
      </c>
      <c r="AW30" s="221"/>
      <c r="AX30" s="78">
        <f t="shared" si="10"/>
        <v>8.27</v>
      </c>
      <c r="AY30" s="221"/>
      <c r="AZ30" s="78">
        <f t="shared" si="11"/>
        <v>5.5200000000000005</v>
      </c>
      <c r="BA30" s="221"/>
      <c r="BB30" s="78">
        <f t="shared" si="12"/>
        <v>2.7600000000000002</v>
      </c>
      <c r="BE30" s="79"/>
      <c r="BF30" s="79"/>
      <c r="BG30" s="79"/>
      <c r="BH30" s="79"/>
    </row>
    <row r="31" spans="1:60" ht="20.100000000000001" customHeight="1" x14ac:dyDescent="0.25">
      <c r="A31" s="74"/>
      <c r="B31" s="74"/>
      <c r="C31" s="74"/>
      <c r="D31" s="74"/>
      <c r="E31" s="74"/>
      <c r="F31" s="74"/>
      <c r="G31" s="74"/>
      <c r="H31" s="74"/>
      <c r="I31" s="74"/>
      <c r="J31" s="74"/>
      <c r="K31" s="74"/>
      <c r="L31" s="74"/>
      <c r="M31" s="74"/>
      <c r="N31" s="74"/>
      <c r="O31" s="74"/>
      <c r="P31" s="74"/>
      <c r="Q31" s="74"/>
      <c r="R31" s="74"/>
      <c r="AM31" s="68">
        <f t="shared" si="0"/>
        <v>20</v>
      </c>
      <c r="AN31" s="76">
        <f t="shared" si="1"/>
        <v>0.13</v>
      </c>
      <c r="AO31" s="76">
        <f t="shared" si="2"/>
        <v>7.8E-2</v>
      </c>
      <c r="AP31" s="76">
        <f t="shared" si="3"/>
        <v>5.2000000000000005E-2</v>
      </c>
      <c r="AQ31" s="76">
        <f t="shared" si="4"/>
        <v>2.6000000000000002E-2</v>
      </c>
      <c r="AS31" s="221"/>
      <c r="AT31" s="77">
        <v>20</v>
      </c>
      <c r="AU31" s="221"/>
      <c r="AV31" s="78">
        <f t="shared" si="9"/>
        <v>13</v>
      </c>
      <c r="AW31" s="221"/>
      <c r="AX31" s="78">
        <f t="shared" si="10"/>
        <v>7.8</v>
      </c>
      <c r="AY31" s="221"/>
      <c r="AZ31" s="78">
        <f t="shared" si="11"/>
        <v>5.2</v>
      </c>
      <c r="BA31" s="221"/>
      <c r="BB31" s="78">
        <f t="shared" si="12"/>
        <v>2.6</v>
      </c>
      <c r="BE31" s="79"/>
      <c r="BF31" s="79"/>
      <c r="BG31" s="79"/>
      <c r="BH31" s="79"/>
    </row>
    <row r="32" spans="1:60" ht="20.100000000000001" customHeight="1" x14ac:dyDescent="0.25">
      <c r="A32" s="74"/>
      <c r="B32" s="74"/>
      <c r="C32" s="74"/>
      <c r="D32" s="74"/>
      <c r="E32" s="74"/>
      <c r="F32" s="74"/>
      <c r="G32" s="74"/>
      <c r="H32" s="74"/>
      <c r="I32" s="74"/>
      <c r="J32" s="74"/>
      <c r="K32" s="74"/>
      <c r="L32" s="74"/>
      <c r="M32" s="74"/>
      <c r="N32" s="74"/>
      <c r="O32" s="74"/>
      <c r="P32" s="74"/>
      <c r="Q32" s="74"/>
      <c r="R32" s="74"/>
      <c r="AM32" s="68">
        <f t="shared" si="0"/>
        <v>21</v>
      </c>
      <c r="AN32" s="76">
        <f t="shared" si="1"/>
        <v>0.11699999999999999</v>
      </c>
      <c r="AO32" s="76">
        <f t="shared" si="2"/>
        <v>7.0199999999999999E-2</v>
      </c>
      <c r="AP32" s="76">
        <f t="shared" si="3"/>
        <v>4.6799999999999994E-2</v>
      </c>
      <c r="AQ32" s="76">
        <f t="shared" si="4"/>
        <v>2.3399999999999997E-2</v>
      </c>
      <c r="AS32" s="221"/>
      <c r="AT32" s="77">
        <v>21</v>
      </c>
      <c r="AU32" s="221"/>
      <c r="AV32" s="78">
        <f>13-((AT32-20)*(13/10))</f>
        <v>11.7</v>
      </c>
      <c r="AW32" s="221">
        <f>13-((AU32-20)*(13/10))</f>
        <v>39</v>
      </c>
      <c r="AX32" s="78">
        <f t="shared" ref="AX32:AX41" si="13">7.8-(AT32-20)*7.8/10</f>
        <v>7.02</v>
      </c>
      <c r="AY32" s="221">
        <f>13-((AW32-20)*(13/10))</f>
        <v>-11.7</v>
      </c>
      <c r="AZ32" s="78">
        <f t="shared" ref="AZ32:AZ41" si="14">5.2-(AT32-20)*5.2/10</f>
        <v>4.68</v>
      </c>
      <c r="BA32" s="221">
        <f>13-((AY32-20)*(13/10))</f>
        <v>54.21</v>
      </c>
      <c r="BB32" s="78">
        <f t="shared" ref="BB32:BB41" si="15">2.6-(AT32-20)*2.6/10</f>
        <v>2.34</v>
      </c>
      <c r="BE32" s="79"/>
      <c r="BF32" s="79"/>
      <c r="BG32" s="79"/>
      <c r="BH32" s="79"/>
    </row>
    <row r="33" spans="1:60" ht="20.100000000000001" customHeight="1" x14ac:dyDescent="0.25">
      <c r="A33" s="74"/>
      <c r="B33" s="74"/>
      <c r="C33" s="74"/>
      <c r="D33" s="74"/>
      <c r="E33" s="74"/>
      <c r="F33" s="74"/>
      <c r="G33" s="74"/>
      <c r="H33" s="74"/>
      <c r="I33" s="74"/>
      <c r="J33" s="74"/>
      <c r="K33" s="74"/>
      <c r="L33" s="74"/>
      <c r="M33" s="74"/>
      <c r="N33" s="74"/>
      <c r="O33" s="74"/>
      <c r="P33" s="74"/>
      <c r="Q33" s="74"/>
      <c r="R33" s="74"/>
      <c r="AM33" s="68">
        <f t="shared" si="0"/>
        <v>22</v>
      </c>
      <c r="AN33" s="76">
        <f t="shared" si="1"/>
        <v>0.10400000000000001</v>
      </c>
      <c r="AO33" s="76">
        <f t="shared" si="2"/>
        <v>6.2400000000000004E-2</v>
      </c>
      <c r="AP33" s="76">
        <f t="shared" si="3"/>
        <v>4.1599999999999998E-2</v>
      </c>
      <c r="AQ33" s="76">
        <f t="shared" si="4"/>
        <v>2.0799999999999999E-2</v>
      </c>
      <c r="AS33" s="221"/>
      <c r="AT33" s="77">
        <v>22</v>
      </c>
      <c r="AU33" s="221"/>
      <c r="AV33" s="78">
        <f t="shared" ref="AV33:AV41" si="16">13-((AT33-20)*(13/10))</f>
        <v>10.4</v>
      </c>
      <c r="AW33" s="221"/>
      <c r="AX33" s="78">
        <f t="shared" si="13"/>
        <v>6.24</v>
      </c>
      <c r="AY33" s="221"/>
      <c r="AZ33" s="78">
        <f t="shared" si="14"/>
        <v>4.16</v>
      </c>
      <c r="BA33" s="221"/>
      <c r="BB33" s="78">
        <f t="shared" si="15"/>
        <v>2.08</v>
      </c>
      <c r="BE33" s="79"/>
      <c r="BF33" s="79"/>
      <c r="BG33" s="79"/>
      <c r="BH33" s="79"/>
    </row>
    <row r="34" spans="1:60" ht="20.100000000000001" customHeight="1" x14ac:dyDescent="0.25">
      <c r="A34" s="74"/>
      <c r="B34" s="74"/>
      <c r="C34" s="74"/>
      <c r="D34" s="74"/>
      <c r="E34" s="74"/>
      <c r="F34" s="74"/>
      <c r="G34" s="74"/>
      <c r="H34" s="74"/>
      <c r="I34" s="74"/>
      <c r="J34" s="74"/>
      <c r="K34" s="74"/>
      <c r="L34" s="74"/>
      <c r="M34" s="74"/>
      <c r="N34" s="74"/>
      <c r="O34" s="74"/>
      <c r="P34" s="74"/>
      <c r="Q34" s="74"/>
      <c r="R34" s="74"/>
      <c r="AM34" s="68">
        <f t="shared" si="0"/>
        <v>23</v>
      </c>
      <c r="AN34" s="76">
        <f t="shared" si="1"/>
        <v>9.0999999999999998E-2</v>
      </c>
      <c r="AO34" s="76">
        <f t="shared" si="2"/>
        <v>5.4600000000000003E-2</v>
      </c>
      <c r="AP34" s="76">
        <f t="shared" si="3"/>
        <v>3.6400000000000002E-2</v>
      </c>
      <c r="AQ34" s="76">
        <f t="shared" si="4"/>
        <v>1.8200000000000001E-2</v>
      </c>
      <c r="AS34" s="221"/>
      <c r="AT34" s="77">
        <v>23</v>
      </c>
      <c r="AU34" s="221"/>
      <c r="AV34" s="78">
        <f t="shared" si="16"/>
        <v>9.1</v>
      </c>
      <c r="AW34" s="221"/>
      <c r="AX34" s="78">
        <f t="shared" si="13"/>
        <v>5.46</v>
      </c>
      <c r="AY34" s="221"/>
      <c r="AZ34" s="78">
        <f t="shared" si="14"/>
        <v>3.64</v>
      </c>
      <c r="BA34" s="221"/>
      <c r="BB34" s="78">
        <f t="shared" si="15"/>
        <v>1.82</v>
      </c>
      <c r="BE34" s="79"/>
      <c r="BF34" s="79"/>
      <c r="BG34" s="79"/>
      <c r="BH34" s="79"/>
    </row>
    <row r="35" spans="1:60" ht="20.100000000000001" customHeight="1" x14ac:dyDescent="0.25">
      <c r="A35" s="74"/>
      <c r="B35" s="74"/>
      <c r="C35" s="74"/>
      <c r="D35" s="74"/>
      <c r="E35" s="74"/>
      <c r="F35" s="74"/>
      <c r="G35" s="74"/>
      <c r="H35" s="74"/>
      <c r="I35" s="74"/>
      <c r="J35" s="74"/>
      <c r="K35" s="74"/>
      <c r="L35" s="74"/>
      <c r="M35" s="74"/>
      <c r="N35" s="74"/>
      <c r="O35" s="74"/>
      <c r="P35" s="74"/>
      <c r="Q35" s="74"/>
      <c r="R35" s="74"/>
      <c r="AM35" s="68">
        <f t="shared" si="0"/>
        <v>24</v>
      </c>
      <c r="AN35" s="76">
        <f t="shared" si="1"/>
        <v>7.8E-2</v>
      </c>
      <c r="AO35" s="76">
        <f t="shared" si="2"/>
        <v>4.6799999999999994E-2</v>
      </c>
      <c r="AP35" s="76">
        <f t="shared" si="3"/>
        <v>3.1200000000000002E-2</v>
      </c>
      <c r="AQ35" s="76">
        <f t="shared" si="4"/>
        <v>1.5600000000000001E-2</v>
      </c>
      <c r="AS35" s="221"/>
      <c r="AT35" s="77">
        <v>24</v>
      </c>
      <c r="AU35" s="221"/>
      <c r="AV35" s="78">
        <f t="shared" si="16"/>
        <v>7.8</v>
      </c>
      <c r="AW35" s="221"/>
      <c r="AX35" s="78">
        <f t="shared" si="13"/>
        <v>4.68</v>
      </c>
      <c r="AY35" s="221"/>
      <c r="AZ35" s="78">
        <f t="shared" si="14"/>
        <v>3.12</v>
      </c>
      <c r="BA35" s="221"/>
      <c r="BB35" s="78">
        <f t="shared" si="15"/>
        <v>1.56</v>
      </c>
      <c r="BE35" s="79"/>
      <c r="BF35" s="79"/>
      <c r="BG35" s="79"/>
      <c r="BH35" s="79"/>
    </row>
    <row r="36" spans="1:60" ht="20.100000000000001" customHeight="1" x14ac:dyDescent="0.25">
      <c r="A36" s="74"/>
      <c r="B36" s="74"/>
      <c r="C36" s="74"/>
      <c r="D36" s="74"/>
      <c r="E36" s="74"/>
      <c r="F36" s="74"/>
      <c r="G36" s="74"/>
      <c r="H36" s="74"/>
      <c r="I36" s="74"/>
      <c r="J36" s="74"/>
      <c r="K36" s="74"/>
      <c r="L36" s="74"/>
      <c r="M36" s="74"/>
      <c r="N36" s="74"/>
      <c r="O36" s="74"/>
      <c r="P36" s="74"/>
      <c r="Q36" s="74"/>
      <c r="R36" s="74"/>
      <c r="AM36" s="68">
        <f t="shared" si="0"/>
        <v>25</v>
      </c>
      <c r="AN36" s="76">
        <f t="shared" si="1"/>
        <v>6.5000000000000002E-2</v>
      </c>
      <c r="AO36" s="76">
        <f t="shared" si="2"/>
        <v>3.9E-2</v>
      </c>
      <c r="AP36" s="76">
        <f t="shared" si="3"/>
        <v>2.6000000000000002E-2</v>
      </c>
      <c r="AQ36" s="76">
        <f t="shared" si="4"/>
        <v>1.3000000000000001E-2</v>
      </c>
      <c r="AS36" s="221"/>
      <c r="AT36" s="77">
        <v>25</v>
      </c>
      <c r="AU36" s="221"/>
      <c r="AV36" s="78">
        <f t="shared" si="16"/>
        <v>6.5</v>
      </c>
      <c r="AW36" s="221"/>
      <c r="AX36" s="78">
        <f t="shared" si="13"/>
        <v>3.9</v>
      </c>
      <c r="AY36" s="221"/>
      <c r="AZ36" s="78">
        <f t="shared" si="14"/>
        <v>2.6</v>
      </c>
      <c r="BA36" s="221"/>
      <c r="BB36" s="78">
        <f t="shared" si="15"/>
        <v>1.3</v>
      </c>
      <c r="BE36" s="79"/>
      <c r="BF36" s="79"/>
      <c r="BG36" s="79"/>
      <c r="BH36" s="79"/>
    </row>
    <row r="37" spans="1:60" ht="20.100000000000001" customHeight="1" x14ac:dyDescent="0.25">
      <c r="A37" s="74"/>
      <c r="B37" s="74"/>
      <c r="C37" s="74"/>
      <c r="D37" s="74"/>
      <c r="E37" s="74"/>
      <c r="F37" s="74"/>
      <c r="G37" s="74"/>
      <c r="H37" s="74"/>
      <c r="I37" s="74"/>
      <c r="J37" s="74"/>
      <c r="K37" s="74"/>
      <c r="L37" s="74"/>
      <c r="M37" s="74"/>
      <c r="N37" s="74"/>
      <c r="O37" s="74"/>
      <c r="P37" s="74"/>
      <c r="Q37" s="74"/>
      <c r="R37" s="74"/>
      <c r="AM37" s="68">
        <f t="shared" si="0"/>
        <v>26</v>
      </c>
      <c r="AN37" s="76">
        <f t="shared" si="1"/>
        <v>5.1999999999999991E-2</v>
      </c>
      <c r="AO37" s="76">
        <f t="shared" si="2"/>
        <v>3.1200000000000002E-2</v>
      </c>
      <c r="AP37" s="76">
        <f t="shared" si="3"/>
        <v>2.0799999999999999E-2</v>
      </c>
      <c r="AQ37" s="76">
        <f t="shared" si="4"/>
        <v>1.04E-2</v>
      </c>
      <c r="AS37" s="221"/>
      <c r="AT37" s="77">
        <v>26</v>
      </c>
      <c r="AU37" s="221"/>
      <c r="AV37" s="78">
        <f t="shared" si="16"/>
        <v>5.1999999999999993</v>
      </c>
      <c r="AW37" s="221"/>
      <c r="AX37" s="78">
        <f t="shared" si="13"/>
        <v>3.12</v>
      </c>
      <c r="AY37" s="221"/>
      <c r="AZ37" s="78">
        <f t="shared" si="14"/>
        <v>2.08</v>
      </c>
      <c r="BA37" s="221"/>
      <c r="BB37" s="78">
        <f t="shared" si="15"/>
        <v>1.04</v>
      </c>
      <c r="BE37" s="79"/>
      <c r="BF37" s="79"/>
      <c r="BG37" s="79"/>
      <c r="BH37" s="79"/>
    </row>
    <row r="38" spans="1:60" ht="20.100000000000001" customHeight="1" x14ac:dyDescent="0.25">
      <c r="A38" s="74"/>
      <c r="B38" s="74"/>
      <c r="C38" s="74"/>
      <c r="D38" s="74"/>
      <c r="E38" s="74"/>
      <c r="F38" s="74"/>
      <c r="G38" s="74"/>
      <c r="H38" s="74"/>
      <c r="I38" s="74"/>
      <c r="J38" s="74"/>
      <c r="K38" s="74"/>
      <c r="L38" s="74"/>
      <c r="M38" s="74"/>
      <c r="N38" s="74"/>
      <c r="O38" s="74"/>
      <c r="P38" s="74"/>
      <c r="Q38" s="74"/>
      <c r="R38" s="74"/>
      <c r="AM38" s="68">
        <f t="shared" si="0"/>
        <v>27</v>
      </c>
      <c r="AN38" s="76">
        <f t="shared" si="1"/>
        <v>3.9000000000000007E-2</v>
      </c>
      <c r="AO38" s="76">
        <f t="shared" si="2"/>
        <v>2.3399999999999997E-2</v>
      </c>
      <c r="AP38" s="76">
        <f t="shared" si="3"/>
        <v>1.5600000000000004E-2</v>
      </c>
      <c r="AQ38" s="76">
        <f t="shared" si="4"/>
        <v>7.8000000000000022E-3</v>
      </c>
      <c r="AS38" s="221"/>
      <c r="AT38" s="77">
        <v>27</v>
      </c>
      <c r="AU38" s="221"/>
      <c r="AV38" s="78">
        <f t="shared" si="16"/>
        <v>3.9000000000000004</v>
      </c>
      <c r="AW38" s="221"/>
      <c r="AX38" s="78">
        <f t="shared" si="13"/>
        <v>2.34</v>
      </c>
      <c r="AY38" s="221"/>
      <c r="AZ38" s="78">
        <f t="shared" si="14"/>
        <v>1.5600000000000005</v>
      </c>
      <c r="BA38" s="221"/>
      <c r="BB38" s="78">
        <f t="shared" si="15"/>
        <v>0.78000000000000025</v>
      </c>
      <c r="BE38" s="79"/>
      <c r="BF38" s="79"/>
      <c r="BG38" s="79"/>
      <c r="BH38" s="79"/>
    </row>
    <row r="39" spans="1:60" ht="20.100000000000001" customHeight="1" x14ac:dyDescent="0.25">
      <c r="A39" s="74"/>
      <c r="B39" s="74"/>
      <c r="C39" s="74"/>
      <c r="D39" s="74"/>
      <c r="E39" s="74"/>
      <c r="F39" s="74"/>
      <c r="G39" s="74"/>
      <c r="H39" s="74"/>
      <c r="I39" s="74"/>
      <c r="J39" s="74"/>
      <c r="K39" s="74"/>
      <c r="L39" s="74"/>
      <c r="M39" s="74"/>
      <c r="N39" s="74"/>
      <c r="O39" s="74"/>
      <c r="P39" s="74"/>
      <c r="Q39" s="74"/>
      <c r="R39" s="74"/>
      <c r="AM39" s="68">
        <f t="shared" si="0"/>
        <v>28</v>
      </c>
      <c r="AN39" s="76">
        <f t="shared" si="1"/>
        <v>2.5999999999999995E-2</v>
      </c>
      <c r="AO39" s="76">
        <f t="shared" si="2"/>
        <v>1.5599999999999996E-2</v>
      </c>
      <c r="AP39" s="76">
        <f t="shared" si="3"/>
        <v>1.04E-2</v>
      </c>
      <c r="AQ39" s="76">
        <f t="shared" si="4"/>
        <v>5.1999999999999998E-3</v>
      </c>
      <c r="AS39" s="221"/>
      <c r="AT39" s="77">
        <v>28</v>
      </c>
      <c r="AU39" s="221"/>
      <c r="AV39" s="78">
        <f t="shared" si="16"/>
        <v>2.5999999999999996</v>
      </c>
      <c r="AW39" s="221"/>
      <c r="AX39" s="78">
        <f t="shared" si="13"/>
        <v>1.5599999999999996</v>
      </c>
      <c r="AY39" s="221"/>
      <c r="AZ39" s="78">
        <f t="shared" si="14"/>
        <v>1.04</v>
      </c>
      <c r="BA39" s="221"/>
      <c r="BB39" s="78">
        <f t="shared" si="15"/>
        <v>0.52</v>
      </c>
      <c r="BE39" s="79"/>
      <c r="BF39" s="79"/>
      <c r="BG39" s="79"/>
      <c r="BH39" s="79"/>
    </row>
    <row r="40" spans="1:60" ht="20.100000000000001" customHeight="1" x14ac:dyDescent="0.25">
      <c r="A40" s="74"/>
      <c r="B40" s="74"/>
      <c r="C40" s="74"/>
      <c r="D40" s="74"/>
      <c r="E40" s="74"/>
      <c r="F40" s="74"/>
      <c r="G40" s="74"/>
      <c r="H40" s="74"/>
      <c r="I40" s="74"/>
      <c r="J40" s="74"/>
      <c r="K40" s="74"/>
      <c r="L40" s="74"/>
      <c r="M40" s="74"/>
      <c r="N40" s="74"/>
      <c r="O40" s="74"/>
      <c r="P40" s="74"/>
      <c r="Q40" s="74"/>
      <c r="R40" s="74"/>
      <c r="AM40" s="68">
        <f t="shared" si="0"/>
        <v>29</v>
      </c>
      <c r="AN40" s="76">
        <f t="shared" si="1"/>
        <v>1.2999999999999989E-2</v>
      </c>
      <c r="AO40" s="76">
        <f t="shared" si="2"/>
        <v>7.7999999999999936E-3</v>
      </c>
      <c r="AP40" s="76">
        <f t="shared" si="3"/>
        <v>5.1999999999999954E-3</v>
      </c>
      <c r="AQ40" s="76">
        <f t="shared" si="4"/>
        <v>2.5999999999999977E-3</v>
      </c>
      <c r="AS40" s="221"/>
      <c r="AT40" s="77">
        <v>29</v>
      </c>
      <c r="AU40" s="221"/>
      <c r="AV40" s="78">
        <f t="shared" si="16"/>
        <v>1.2999999999999989</v>
      </c>
      <c r="AW40" s="221"/>
      <c r="AX40" s="78">
        <f t="shared" si="13"/>
        <v>0.77999999999999936</v>
      </c>
      <c r="AY40" s="221"/>
      <c r="AZ40" s="78">
        <f t="shared" si="14"/>
        <v>0.51999999999999957</v>
      </c>
      <c r="BA40" s="221"/>
      <c r="BB40" s="78">
        <f t="shared" si="15"/>
        <v>0.25999999999999979</v>
      </c>
      <c r="BE40" s="79"/>
      <c r="BF40" s="79"/>
      <c r="BG40" s="79"/>
      <c r="BH40" s="79"/>
    </row>
    <row r="41" spans="1:60" ht="20.100000000000001" customHeight="1" x14ac:dyDescent="0.25">
      <c r="A41" s="74"/>
      <c r="B41" s="74"/>
      <c r="C41" s="74"/>
      <c r="D41" s="74"/>
      <c r="E41" s="74"/>
      <c r="F41" s="74"/>
      <c r="G41" s="74"/>
      <c r="H41" s="74"/>
      <c r="I41" s="74"/>
      <c r="J41" s="74"/>
      <c r="K41" s="74"/>
      <c r="L41" s="74"/>
      <c r="M41" s="74"/>
      <c r="N41" s="74"/>
      <c r="O41" s="74"/>
      <c r="P41" s="74"/>
      <c r="Q41" s="74"/>
      <c r="R41" s="74"/>
      <c r="AM41" s="68">
        <f t="shared" si="0"/>
        <v>30</v>
      </c>
      <c r="AN41" s="76">
        <f t="shared" si="1"/>
        <v>0</v>
      </c>
      <c r="AO41" s="76">
        <f t="shared" si="2"/>
        <v>0</v>
      </c>
      <c r="AP41" s="76">
        <f t="shared" si="3"/>
        <v>0</v>
      </c>
      <c r="AQ41" s="76">
        <f t="shared" si="4"/>
        <v>0</v>
      </c>
      <c r="AS41" s="221"/>
      <c r="AT41" s="77">
        <v>30</v>
      </c>
      <c r="AU41" s="221"/>
      <c r="AV41" s="78">
        <f t="shared" si="16"/>
        <v>0</v>
      </c>
      <c r="AW41" s="221"/>
      <c r="AX41" s="78">
        <f t="shared" si="13"/>
        <v>0</v>
      </c>
      <c r="AY41" s="221"/>
      <c r="AZ41" s="78">
        <f t="shared" si="14"/>
        <v>0</v>
      </c>
      <c r="BA41" s="221"/>
      <c r="BB41" s="78">
        <f t="shared" si="15"/>
        <v>0</v>
      </c>
      <c r="BE41" s="79"/>
      <c r="BF41" s="79"/>
      <c r="BG41" s="79"/>
      <c r="BH41" s="79"/>
    </row>
    <row r="42" spans="1:60" ht="20.100000000000001" customHeight="1" x14ac:dyDescent="0.25">
      <c r="A42" s="74"/>
      <c r="B42" s="74"/>
      <c r="C42" s="74"/>
      <c r="D42" s="74"/>
      <c r="E42" s="74"/>
      <c r="F42" s="74"/>
      <c r="G42" s="74"/>
      <c r="H42" s="74"/>
      <c r="I42" s="74"/>
      <c r="J42" s="74"/>
      <c r="K42" s="74"/>
      <c r="L42" s="74"/>
      <c r="M42" s="74"/>
      <c r="N42" s="74"/>
      <c r="O42" s="74"/>
      <c r="P42" s="74"/>
      <c r="Q42" s="74"/>
      <c r="R42" s="74"/>
      <c r="AM42" s="68">
        <f t="shared" ref="AM42:AM81" si="17">AM41+1</f>
        <v>31</v>
      </c>
      <c r="AN42" s="76">
        <f t="shared" ref="AN42:AN81" si="18">$AN$41</f>
        <v>0</v>
      </c>
      <c r="AO42" s="76">
        <f t="shared" ref="AO42:AO81" si="19">$AO$41</f>
        <v>0</v>
      </c>
      <c r="AP42" s="76">
        <f t="shared" ref="AP42:AP81" si="20">$AP$41</f>
        <v>0</v>
      </c>
      <c r="AQ42" s="76">
        <f t="shared" ref="AQ42:AQ81" si="21">$AQ$41</f>
        <v>0</v>
      </c>
    </row>
    <row r="43" spans="1:60" ht="20.100000000000001" customHeight="1" x14ac:dyDescent="0.25">
      <c r="A43" s="74"/>
      <c r="B43" s="74"/>
      <c r="C43" s="74"/>
      <c r="D43" s="74"/>
      <c r="E43" s="74"/>
      <c r="F43" s="74"/>
      <c r="G43" s="74"/>
      <c r="H43" s="74"/>
      <c r="I43" s="74"/>
      <c r="J43" s="74"/>
      <c r="K43" s="74"/>
      <c r="L43" s="74"/>
      <c r="M43" s="74"/>
      <c r="N43" s="74"/>
      <c r="O43" s="74"/>
      <c r="P43" s="74"/>
      <c r="Q43" s="74"/>
      <c r="R43" s="74"/>
      <c r="AM43" s="68">
        <f t="shared" si="17"/>
        <v>32</v>
      </c>
      <c r="AN43" s="76">
        <f t="shared" si="18"/>
        <v>0</v>
      </c>
      <c r="AO43" s="76">
        <f t="shared" si="19"/>
        <v>0</v>
      </c>
      <c r="AP43" s="76">
        <f t="shared" si="20"/>
        <v>0</v>
      </c>
      <c r="AQ43" s="76">
        <f t="shared" si="21"/>
        <v>0</v>
      </c>
    </row>
    <row r="44" spans="1:60" ht="20.100000000000001" customHeight="1" x14ac:dyDescent="0.25">
      <c r="A44" s="74"/>
      <c r="B44" s="74"/>
      <c r="C44" s="74"/>
      <c r="D44" s="74"/>
      <c r="E44" s="74"/>
      <c r="F44" s="74"/>
      <c r="G44" s="74"/>
      <c r="H44" s="74"/>
      <c r="I44" s="74"/>
      <c r="J44" s="74"/>
      <c r="K44" s="74"/>
      <c r="L44" s="74"/>
      <c r="M44" s="74"/>
      <c r="N44" s="74"/>
      <c r="O44" s="74"/>
      <c r="P44" s="74"/>
      <c r="Q44" s="74"/>
      <c r="R44" s="74"/>
      <c r="AM44" s="68">
        <f t="shared" si="17"/>
        <v>33</v>
      </c>
      <c r="AN44" s="76">
        <f t="shared" si="18"/>
        <v>0</v>
      </c>
      <c r="AO44" s="76">
        <f t="shared" si="19"/>
        <v>0</v>
      </c>
      <c r="AP44" s="76">
        <f t="shared" si="20"/>
        <v>0</v>
      </c>
      <c r="AQ44" s="76">
        <f t="shared" si="21"/>
        <v>0</v>
      </c>
    </row>
    <row r="45" spans="1:60" ht="20.100000000000001" customHeight="1" x14ac:dyDescent="0.25">
      <c r="AM45" s="68">
        <f t="shared" si="17"/>
        <v>34</v>
      </c>
      <c r="AN45" s="76">
        <f t="shared" si="18"/>
        <v>0</v>
      </c>
      <c r="AO45" s="76">
        <f t="shared" si="19"/>
        <v>0</v>
      </c>
      <c r="AP45" s="76">
        <f t="shared" si="20"/>
        <v>0</v>
      </c>
      <c r="AQ45" s="76">
        <f t="shared" si="21"/>
        <v>0</v>
      </c>
    </row>
    <row r="46" spans="1:60" ht="20.100000000000001" customHeight="1" x14ac:dyDescent="0.25">
      <c r="AM46" s="68">
        <f t="shared" si="17"/>
        <v>35</v>
      </c>
      <c r="AN46" s="76">
        <f t="shared" si="18"/>
        <v>0</v>
      </c>
      <c r="AO46" s="76">
        <f t="shared" si="19"/>
        <v>0</v>
      </c>
      <c r="AP46" s="76">
        <f t="shared" si="20"/>
        <v>0</v>
      </c>
      <c r="AQ46" s="76">
        <f t="shared" si="21"/>
        <v>0</v>
      </c>
    </row>
    <row r="47" spans="1:60" ht="20.100000000000001" customHeight="1" x14ac:dyDescent="0.25">
      <c r="AM47" s="68">
        <f t="shared" si="17"/>
        <v>36</v>
      </c>
      <c r="AN47" s="76">
        <f t="shared" si="18"/>
        <v>0</v>
      </c>
      <c r="AO47" s="76">
        <f t="shared" si="19"/>
        <v>0</v>
      </c>
      <c r="AP47" s="76">
        <f t="shared" si="20"/>
        <v>0</v>
      </c>
      <c r="AQ47" s="76">
        <f t="shared" si="21"/>
        <v>0</v>
      </c>
    </row>
    <row r="48" spans="1:60" ht="20.100000000000001" customHeight="1" x14ac:dyDescent="0.25">
      <c r="AM48" s="68">
        <f t="shared" si="17"/>
        <v>37</v>
      </c>
      <c r="AN48" s="76">
        <f t="shared" si="18"/>
        <v>0</v>
      </c>
      <c r="AO48" s="76">
        <f t="shared" si="19"/>
        <v>0</v>
      </c>
      <c r="AP48" s="76">
        <f t="shared" si="20"/>
        <v>0</v>
      </c>
      <c r="AQ48" s="76">
        <f t="shared" si="21"/>
        <v>0</v>
      </c>
    </row>
    <row r="49" spans="39:43" ht="20.100000000000001" customHeight="1" x14ac:dyDescent="0.25">
      <c r="AM49" s="68">
        <f t="shared" si="17"/>
        <v>38</v>
      </c>
      <c r="AN49" s="76">
        <f t="shared" si="18"/>
        <v>0</v>
      </c>
      <c r="AO49" s="76">
        <f t="shared" si="19"/>
        <v>0</v>
      </c>
      <c r="AP49" s="76">
        <f t="shared" si="20"/>
        <v>0</v>
      </c>
      <c r="AQ49" s="76">
        <f t="shared" si="21"/>
        <v>0</v>
      </c>
    </row>
    <row r="50" spans="39:43" ht="20.100000000000001" customHeight="1" x14ac:dyDescent="0.25">
      <c r="AM50" s="68">
        <f t="shared" si="17"/>
        <v>39</v>
      </c>
      <c r="AN50" s="76">
        <f t="shared" si="18"/>
        <v>0</v>
      </c>
      <c r="AO50" s="76">
        <f t="shared" si="19"/>
        <v>0</v>
      </c>
      <c r="AP50" s="76">
        <f t="shared" si="20"/>
        <v>0</v>
      </c>
      <c r="AQ50" s="76">
        <f t="shared" si="21"/>
        <v>0</v>
      </c>
    </row>
    <row r="51" spans="39:43" ht="20.100000000000001" customHeight="1" x14ac:dyDescent="0.25">
      <c r="AM51" s="68">
        <f t="shared" si="17"/>
        <v>40</v>
      </c>
      <c r="AN51" s="76">
        <f t="shared" si="18"/>
        <v>0</v>
      </c>
      <c r="AO51" s="76">
        <f t="shared" si="19"/>
        <v>0</v>
      </c>
      <c r="AP51" s="76">
        <f t="shared" si="20"/>
        <v>0</v>
      </c>
      <c r="AQ51" s="76">
        <f t="shared" si="21"/>
        <v>0</v>
      </c>
    </row>
    <row r="52" spans="39:43" ht="20.100000000000001" customHeight="1" x14ac:dyDescent="0.25">
      <c r="AM52" s="68">
        <f t="shared" si="17"/>
        <v>41</v>
      </c>
      <c r="AN52" s="76">
        <f t="shared" si="18"/>
        <v>0</v>
      </c>
      <c r="AO52" s="76">
        <f t="shared" si="19"/>
        <v>0</v>
      </c>
      <c r="AP52" s="76">
        <f t="shared" si="20"/>
        <v>0</v>
      </c>
      <c r="AQ52" s="76">
        <f t="shared" si="21"/>
        <v>0</v>
      </c>
    </row>
    <row r="53" spans="39:43" ht="20.100000000000001" customHeight="1" x14ac:dyDescent="0.25">
      <c r="AM53" s="68">
        <f t="shared" si="17"/>
        <v>42</v>
      </c>
      <c r="AN53" s="76">
        <f t="shared" si="18"/>
        <v>0</v>
      </c>
      <c r="AO53" s="76">
        <f t="shared" si="19"/>
        <v>0</v>
      </c>
      <c r="AP53" s="76">
        <f t="shared" si="20"/>
        <v>0</v>
      </c>
      <c r="AQ53" s="76">
        <f t="shared" si="21"/>
        <v>0</v>
      </c>
    </row>
    <row r="54" spans="39:43" ht="20.100000000000001" customHeight="1" x14ac:dyDescent="0.25">
      <c r="AM54" s="68">
        <f t="shared" si="17"/>
        <v>43</v>
      </c>
      <c r="AN54" s="76">
        <f t="shared" si="18"/>
        <v>0</v>
      </c>
      <c r="AO54" s="76">
        <f t="shared" si="19"/>
        <v>0</v>
      </c>
      <c r="AP54" s="76">
        <f t="shared" si="20"/>
        <v>0</v>
      </c>
      <c r="AQ54" s="76">
        <f t="shared" si="21"/>
        <v>0</v>
      </c>
    </row>
    <row r="55" spans="39:43" ht="20.100000000000001" customHeight="1" x14ac:dyDescent="0.25">
      <c r="AM55" s="68">
        <f t="shared" si="17"/>
        <v>44</v>
      </c>
      <c r="AN55" s="76">
        <f t="shared" si="18"/>
        <v>0</v>
      </c>
      <c r="AO55" s="76">
        <f t="shared" si="19"/>
        <v>0</v>
      </c>
      <c r="AP55" s="76">
        <f t="shared" si="20"/>
        <v>0</v>
      </c>
      <c r="AQ55" s="76">
        <f t="shared" si="21"/>
        <v>0</v>
      </c>
    </row>
    <row r="56" spans="39:43" ht="20.100000000000001" customHeight="1" x14ac:dyDescent="0.25">
      <c r="AM56" s="68">
        <f t="shared" si="17"/>
        <v>45</v>
      </c>
      <c r="AN56" s="76">
        <f t="shared" si="18"/>
        <v>0</v>
      </c>
      <c r="AO56" s="76">
        <f t="shared" si="19"/>
        <v>0</v>
      </c>
      <c r="AP56" s="76">
        <f t="shared" si="20"/>
        <v>0</v>
      </c>
      <c r="AQ56" s="76">
        <f t="shared" si="21"/>
        <v>0</v>
      </c>
    </row>
    <row r="57" spans="39:43" ht="20.100000000000001" customHeight="1" x14ac:dyDescent="0.25">
      <c r="AM57" s="68">
        <f t="shared" si="17"/>
        <v>46</v>
      </c>
      <c r="AN57" s="76">
        <f t="shared" si="18"/>
        <v>0</v>
      </c>
      <c r="AO57" s="76">
        <f t="shared" si="19"/>
        <v>0</v>
      </c>
      <c r="AP57" s="76">
        <f t="shared" si="20"/>
        <v>0</v>
      </c>
      <c r="AQ57" s="76">
        <f t="shared" si="21"/>
        <v>0</v>
      </c>
    </row>
    <row r="58" spans="39:43" ht="20.100000000000001" customHeight="1" x14ac:dyDescent="0.25">
      <c r="AM58" s="68">
        <f t="shared" si="17"/>
        <v>47</v>
      </c>
      <c r="AN58" s="76">
        <f t="shared" si="18"/>
        <v>0</v>
      </c>
      <c r="AO58" s="76">
        <f t="shared" si="19"/>
        <v>0</v>
      </c>
      <c r="AP58" s="76">
        <f t="shared" si="20"/>
        <v>0</v>
      </c>
      <c r="AQ58" s="76">
        <f t="shared" si="21"/>
        <v>0</v>
      </c>
    </row>
    <row r="59" spans="39:43" ht="20.100000000000001" customHeight="1" x14ac:dyDescent="0.25">
      <c r="AM59" s="68">
        <f t="shared" si="17"/>
        <v>48</v>
      </c>
      <c r="AN59" s="76">
        <f t="shared" si="18"/>
        <v>0</v>
      </c>
      <c r="AO59" s="76">
        <f t="shared" si="19"/>
        <v>0</v>
      </c>
      <c r="AP59" s="76">
        <f t="shared" si="20"/>
        <v>0</v>
      </c>
      <c r="AQ59" s="76">
        <f t="shared" si="21"/>
        <v>0</v>
      </c>
    </row>
    <row r="60" spans="39:43" ht="20.100000000000001" customHeight="1" x14ac:dyDescent="0.25">
      <c r="AM60" s="68">
        <f t="shared" si="17"/>
        <v>49</v>
      </c>
      <c r="AN60" s="76">
        <f t="shared" si="18"/>
        <v>0</v>
      </c>
      <c r="AO60" s="76">
        <f t="shared" si="19"/>
        <v>0</v>
      </c>
      <c r="AP60" s="76">
        <f t="shared" si="20"/>
        <v>0</v>
      </c>
      <c r="AQ60" s="76">
        <f t="shared" si="21"/>
        <v>0</v>
      </c>
    </row>
    <row r="61" spans="39:43" ht="20.100000000000001" customHeight="1" x14ac:dyDescent="0.25">
      <c r="AM61" s="68">
        <f t="shared" si="17"/>
        <v>50</v>
      </c>
      <c r="AN61" s="76">
        <f t="shared" si="18"/>
        <v>0</v>
      </c>
      <c r="AO61" s="76">
        <f t="shared" si="19"/>
        <v>0</v>
      </c>
      <c r="AP61" s="76">
        <f t="shared" si="20"/>
        <v>0</v>
      </c>
      <c r="AQ61" s="76">
        <f t="shared" si="21"/>
        <v>0</v>
      </c>
    </row>
    <row r="62" spans="39:43" ht="20.100000000000001" customHeight="1" x14ac:dyDescent="0.25">
      <c r="AM62" s="68">
        <f t="shared" si="17"/>
        <v>51</v>
      </c>
      <c r="AN62" s="76">
        <f t="shared" si="18"/>
        <v>0</v>
      </c>
      <c r="AO62" s="76">
        <f t="shared" si="19"/>
        <v>0</v>
      </c>
      <c r="AP62" s="76">
        <f t="shared" si="20"/>
        <v>0</v>
      </c>
      <c r="AQ62" s="76">
        <f t="shared" si="21"/>
        <v>0</v>
      </c>
    </row>
    <row r="63" spans="39:43" ht="20.100000000000001" customHeight="1" x14ac:dyDescent="0.25">
      <c r="AM63" s="68">
        <f t="shared" si="17"/>
        <v>52</v>
      </c>
      <c r="AN63" s="76">
        <f t="shared" si="18"/>
        <v>0</v>
      </c>
      <c r="AO63" s="76">
        <f t="shared" si="19"/>
        <v>0</v>
      </c>
      <c r="AP63" s="76">
        <f t="shared" si="20"/>
        <v>0</v>
      </c>
      <c r="AQ63" s="76">
        <f t="shared" si="21"/>
        <v>0</v>
      </c>
    </row>
    <row r="64" spans="39:43" ht="20.100000000000001" customHeight="1" x14ac:dyDescent="0.25">
      <c r="AM64" s="68">
        <f t="shared" si="17"/>
        <v>53</v>
      </c>
      <c r="AN64" s="76">
        <f t="shared" si="18"/>
        <v>0</v>
      </c>
      <c r="AO64" s="76">
        <f t="shared" si="19"/>
        <v>0</v>
      </c>
      <c r="AP64" s="76">
        <f t="shared" si="20"/>
        <v>0</v>
      </c>
      <c r="AQ64" s="76">
        <f t="shared" si="21"/>
        <v>0</v>
      </c>
    </row>
    <row r="65" spans="39:43" ht="20.100000000000001" customHeight="1" x14ac:dyDescent="0.25">
      <c r="AM65" s="68">
        <f t="shared" si="17"/>
        <v>54</v>
      </c>
      <c r="AN65" s="76">
        <f t="shared" si="18"/>
        <v>0</v>
      </c>
      <c r="AO65" s="76">
        <f t="shared" si="19"/>
        <v>0</v>
      </c>
      <c r="AP65" s="76">
        <f t="shared" si="20"/>
        <v>0</v>
      </c>
      <c r="AQ65" s="76">
        <f t="shared" si="21"/>
        <v>0</v>
      </c>
    </row>
    <row r="66" spans="39:43" ht="20.100000000000001" customHeight="1" x14ac:dyDescent="0.25">
      <c r="AM66" s="68">
        <f t="shared" si="17"/>
        <v>55</v>
      </c>
      <c r="AN66" s="76">
        <f t="shared" si="18"/>
        <v>0</v>
      </c>
      <c r="AO66" s="76">
        <f t="shared" si="19"/>
        <v>0</v>
      </c>
      <c r="AP66" s="76">
        <f t="shared" si="20"/>
        <v>0</v>
      </c>
      <c r="AQ66" s="76">
        <f t="shared" si="21"/>
        <v>0</v>
      </c>
    </row>
    <row r="67" spans="39:43" ht="20.100000000000001" customHeight="1" x14ac:dyDescent="0.25">
      <c r="AM67" s="68">
        <f t="shared" si="17"/>
        <v>56</v>
      </c>
      <c r="AN67" s="76">
        <f t="shared" si="18"/>
        <v>0</v>
      </c>
      <c r="AO67" s="76">
        <f t="shared" si="19"/>
        <v>0</v>
      </c>
      <c r="AP67" s="76">
        <f t="shared" si="20"/>
        <v>0</v>
      </c>
      <c r="AQ67" s="76">
        <f t="shared" si="21"/>
        <v>0</v>
      </c>
    </row>
    <row r="68" spans="39:43" ht="20.100000000000001" customHeight="1" x14ac:dyDescent="0.25">
      <c r="AM68" s="68">
        <f t="shared" si="17"/>
        <v>57</v>
      </c>
      <c r="AN68" s="76">
        <f t="shared" si="18"/>
        <v>0</v>
      </c>
      <c r="AO68" s="76">
        <f t="shared" si="19"/>
        <v>0</v>
      </c>
      <c r="AP68" s="76">
        <f t="shared" si="20"/>
        <v>0</v>
      </c>
      <c r="AQ68" s="76">
        <f t="shared" si="21"/>
        <v>0</v>
      </c>
    </row>
    <row r="69" spans="39:43" ht="20.100000000000001" customHeight="1" x14ac:dyDescent="0.25">
      <c r="AM69" s="68">
        <f t="shared" si="17"/>
        <v>58</v>
      </c>
      <c r="AN69" s="76">
        <f t="shared" si="18"/>
        <v>0</v>
      </c>
      <c r="AO69" s="76">
        <f t="shared" si="19"/>
        <v>0</v>
      </c>
      <c r="AP69" s="76">
        <f t="shared" si="20"/>
        <v>0</v>
      </c>
      <c r="AQ69" s="76">
        <f t="shared" si="21"/>
        <v>0</v>
      </c>
    </row>
    <row r="70" spans="39:43" ht="20.100000000000001" customHeight="1" x14ac:dyDescent="0.25">
      <c r="AM70" s="68">
        <f t="shared" si="17"/>
        <v>59</v>
      </c>
      <c r="AN70" s="76">
        <f t="shared" si="18"/>
        <v>0</v>
      </c>
      <c r="AO70" s="76">
        <f t="shared" si="19"/>
        <v>0</v>
      </c>
      <c r="AP70" s="76">
        <f t="shared" si="20"/>
        <v>0</v>
      </c>
      <c r="AQ70" s="76">
        <f t="shared" si="21"/>
        <v>0</v>
      </c>
    </row>
    <row r="71" spans="39:43" ht="20.100000000000001" customHeight="1" x14ac:dyDescent="0.25">
      <c r="AM71" s="68">
        <f t="shared" si="17"/>
        <v>60</v>
      </c>
      <c r="AN71" s="76">
        <f t="shared" si="18"/>
        <v>0</v>
      </c>
      <c r="AO71" s="76">
        <f t="shared" si="19"/>
        <v>0</v>
      </c>
      <c r="AP71" s="76">
        <f t="shared" si="20"/>
        <v>0</v>
      </c>
      <c r="AQ71" s="76">
        <f t="shared" si="21"/>
        <v>0</v>
      </c>
    </row>
    <row r="72" spans="39:43" ht="20.100000000000001" customHeight="1" x14ac:dyDescent="0.25">
      <c r="AM72" s="68">
        <f t="shared" si="17"/>
        <v>61</v>
      </c>
      <c r="AN72" s="76">
        <f t="shared" si="18"/>
        <v>0</v>
      </c>
      <c r="AO72" s="76">
        <f t="shared" si="19"/>
        <v>0</v>
      </c>
      <c r="AP72" s="76">
        <f t="shared" si="20"/>
        <v>0</v>
      </c>
      <c r="AQ72" s="76">
        <f t="shared" si="21"/>
        <v>0</v>
      </c>
    </row>
    <row r="73" spans="39:43" ht="20.100000000000001" customHeight="1" x14ac:dyDescent="0.25">
      <c r="AM73" s="68">
        <f t="shared" si="17"/>
        <v>62</v>
      </c>
      <c r="AN73" s="76">
        <f t="shared" si="18"/>
        <v>0</v>
      </c>
      <c r="AO73" s="76">
        <f t="shared" si="19"/>
        <v>0</v>
      </c>
      <c r="AP73" s="76">
        <f t="shared" si="20"/>
        <v>0</v>
      </c>
      <c r="AQ73" s="76">
        <f t="shared" si="21"/>
        <v>0</v>
      </c>
    </row>
    <row r="74" spans="39:43" ht="20.100000000000001" customHeight="1" x14ac:dyDescent="0.25">
      <c r="AM74" s="68">
        <f t="shared" si="17"/>
        <v>63</v>
      </c>
      <c r="AN74" s="76">
        <f t="shared" si="18"/>
        <v>0</v>
      </c>
      <c r="AO74" s="76">
        <f t="shared" si="19"/>
        <v>0</v>
      </c>
      <c r="AP74" s="76">
        <f t="shared" si="20"/>
        <v>0</v>
      </c>
      <c r="AQ74" s="76">
        <f t="shared" si="21"/>
        <v>0</v>
      </c>
    </row>
    <row r="75" spans="39:43" ht="20.100000000000001" customHeight="1" x14ac:dyDescent="0.25">
      <c r="AM75" s="68">
        <f t="shared" si="17"/>
        <v>64</v>
      </c>
      <c r="AN75" s="76">
        <f t="shared" si="18"/>
        <v>0</v>
      </c>
      <c r="AO75" s="76">
        <f t="shared" si="19"/>
        <v>0</v>
      </c>
      <c r="AP75" s="76">
        <f t="shared" si="20"/>
        <v>0</v>
      </c>
      <c r="AQ75" s="76">
        <f t="shared" si="21"/>
        <v>0</v>
      </c>
    </row>
    <row r="76" spans="39:43" ht="20.100000000000001" customHeight="1" x14ac:dyDescent="0.25">
      <c r="AM76" s="68">
        <f t="shared" si="17"/>
        <v>65</v>
      </c>
      <c r="AN76" s="76">
        <f t="shared" si="18"/>
        <v>0</v>
      </c>
      <c r="AO76" s="76">
        <f t="shared" si="19"/>
        <v>0</v>
      </c>
      <c r="AP76" s="76">
        <f t="shared" si="20"/>
        <v>0</v>
      </c>
      <c r="AQ76" s="76">
        <f t="shared" si="21"/>
        <v>0</v>
      </c>
    </row>
    <row r="77" spans="39:43" ht="20.100000000000001" customHeight="1" x14ac:dyDescent="0.25">
      <c r="AM77" s="68">
        <f t="shared" si="17"/>
        <v>66</v>
      </c>
      <c r="AN77" s="76">
        <f t="shared" si="18"/>
        <v>0</v>
      </c>
      <c r="AO77" s="76">
        <f t="shared" si="19"/>
        <v>0</v>
      </c>
      <c r="AP77" s="76">
        <f t="shared" si="20"/>
        <v>0</v>
      </c>
      <c r="AQ77" s="76">
        <f t="shared" si="21"/>
        <v>0</v>
      </c>
    </row>
    <row r="78" spans="39:43" ht="20.100000000000001" customHeight="1" x14ac:dyDescent="0.25">
      <c r="AM78" s="68">
        <f t="shared" si="17"/>
        <v>67</v>
      </c>
      <c r="AN78" s="76">
        <f t="shared" si="18"/>
        <v>0</v>
      </c>
      <c r="AO78" s="76">
        <f t="shared" si="19"/>
        <v>0</v>
      </c>
      <c r="AP78" s="76">
        <f t="shared" si="20"/>
        <v>0</v>
      </c>
      <c r="AQ78" s="76">
        <f t="shared" si="21"/>
        <v>0</v>
      </c>
    </row>
    <row r="79" spans="39:43" ht="20.100000000000001" customHeight="1" x14ac:dyDescent="0.25">
      <c r="AM79" s="68">
        <f t="shared" si="17"/>
        <v>68</v>
      </c>
      <c r="AN79" s="76">
        <f t="shared" si="18"/>
        <v>0</v>
      </c>
      <c r="AO79" s="76">
        <f t="shared" si="19"/>
        <v>0</v>
      </c>
      <c r="AP79" s="76">
        <f t="shared" si="20"/>
        <v>0</v>
      </c>
      <c r="AQ79" s="76">
        <f t="shared" si="21"/>
        <v>0</v>
      </c>
    </row>
    <row r="80" spans="39:43" ht="20.100000000000001" customHeight="1" x14ac:dyDescent="0.25">
      <c r="AM80" s="68">
        <f t="shared" si="17"/>
        <v>69</v>
      </c>
      <c r="AN80" s="76">
        <f t="shared" si="18"/>
        <v>0</v>
      </c>
      <c r="AO80" s="76">
        <f t="shared" si="19"/>
        <v>0</v>
      </c>
      <c r="AP80" s="76">
        <f t="shared" si="20"/>
        <v>0</v>
      </c>
      <c r="AQ80" s="76">
        <f t="shared" si="21"/>
        <v>0</v>
      </c>
    </row>
    <row r="81" spans="39:43" ht="20.100000000000001" customHeight="1" x14ac:dyDescent="0.25">
      <c r="AM81" s="68">
        <f t="shared" si="17"/>
        <v>70</v>
      </c>
      <c r="AN81" s="76">
        <f t="shared" si="18"/>
        <v>0</v>
      </c>
      <c r="AO81" s="76">
        <f t="shared" si="19"/>
        <v>0</v>
      </c>
      <c r="AP81" s="76">
        <f t="shared" si="20"/>
        <v>0</v>
      </c>
      <c r="AQ81" s="76">
        <f t="shared" si="21"/>
        <v>0</v>
      </c>
    </row>
  </sheetData>
  <mergeCells count="53">
    <mergeCell ref="A18:R20"/>
    <mergeCell ref="O13:P14"/>
    <mergeCell ref="Q13:R14"/>
    <mergeCell ref="A15:R15"/>
    <mergeCell ref="A16:R16"/>
    <mergeCell ref="A17:C17"/>
    <mergeCell ref="D17:R17"/>
    <mergeCell ref="A13:D14"/>
    <mergeCell ref="E13:F14"/>
    <mergeCell ref="G13:H14"/>
    <mergeCell ref="I13:J14"/>
    <mergeCell ref="K13:L14"/>
    <mergeCell ref="M13:N14"/>
    <mergeCell ref="AS11:BB11"/>
    <mergeCell ref="AS12:AS41"/>
    <mergeCell ref="AU12:AU41"/>
    <mergeCell ref="AW12:AW41"/>
    <mergeCell ref="AY12:AY41"/>
    <mergeCell ref="BA12:BA41"/>
    <mergeCell ref="Q9:R10"/>
    <mergeCell ref="AM9:AN9"/>
    <mergeCell ref="A11:D12"/>
    <mergeCell ref="E11:F12"/>
    <mergeCell ref="G11:H12"/>
    <mergeCell ref="I11:J12"/>
    <mergeCell ref="K11:L12"/>
    <mergeCell ref="M11:N12"/>
    <mergeCell ref="O11:P12"/>
    <mergeCell ref="Q11:R12"/>
    <mergeCell ref="O7:P8"/>
    <mergeCell ref="Q7:R8"/>
    <mergeCell ref="AM8:AN8"/>
    <mergeCell ref="A9:D10"/>
    <mergeCell ref="E9:F10"/>
    <mergeCell ref="G9:H10"/>
    <mergeCell ref="I9:J10"/>
    <mergeCell ref="K9:L10"/>
    <mergeCell ref="M9:N10"/>
    <mergeCell ref="O9:P10"/>
    <mergeCell ref="A7:D8"/>
    <mergeCell ref="E7:F8"/>
    <mergeCell ref="G7:H8"/>
    <mergeCell ref="I7:J8"/>
    <mergeCell ref="K7:L8"/>
    <mergeCell ref="M7:N8"/>
    <mergeCell ref="A1:R1"/>
    <mergeCell ref="A3:R4"/>
    <mergeCell ref="A5:R5"/>
    <mergeCell ref="A6:D6"/>
    <mergeCell ref="E6:F6"/>
    <mergeCell ref="G6:J6"/>
    <mergeCell ref="K6:N6"/>
    <mergeCell ref="O6:R6"/>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14499-2B16-4291-9893-02AFA097A9F6}">
  <dimension ref="A1:U341"/>
  <sheetViews>
    <sheetView workbookViewId="0">
      <selection sqref="A1:J1"/>
    </sheetView>
  </sheetViews>
  <sheetFormatPr defaultRowHeight="20.100000000000001" customHeight="1" x14ac:dyDescent="0.25"/>
  <cols>
    <col min="1" max="10" width="10.625" style="6" customWidth="1"/>
    <col min="11" max="16384" width="9" style="4"/>
  </cols>
  <sheetData>
    <row r="1" spans="1:10" ht="20.100000000000001" customHeight="1" thickBot="1" x14ac:dyDescent="0.3">
      <c r="A1" s="223" t="s">
        <v>286</v>
      </c>
      <c r="B1" s="223"/>
      <c r="C1" s="223"/>
      <c r="D1" s="223"/>
      <c r="E1" s="223"/>
      <c r="F1" s="223"/>
      <c r="G1" s="223"/>
      <c r="H1" s="223"/>
      <c r="I1" s="223"/>
      <c r="J1" s="223"/>
    </row>
    <row r="2" spans="1:10" ht="20.100000000000001" customHeight="1" x14ac:dyDescent="0.25">
      <c r="A2" s="5"/>
      <c r="B2" s="1"/>
      <c r="C2" s="1"/>
      <c r="D2" s="1"/>
      <c r="E2" s="1"/>
    </row>
    <row r="3" spans="1:10" ht="20.100000000000001" customHeight="1" x14ac:dyDescent="0.25">
      <c r="A3" s="224" t="s">
        <v>287</v>
      </c>
      <c r="B3" s="224" t="s">
        <v>288</v>
      </c>
      <c r="C3" s="224"/>
      <c r="D3" s="224" t="s">
        <v>289</v>
      </c>
      <c r="E3" s="224"/>
      <c r="F3" s="224"/>
      <c r="G3" s="225" t="s">
        <v>290</v>
      </c>
      <c r="H3" s="226"/>
      <c r="I3" s="224" t="s">
        <v>291</v>
      </c>
      <c r="J3" s="224"/>
    </row>
    <row r="4" spans="1:10" ht="20.100000000000001" customHeight="1" x14ac:dyDescent="0.25">
      <c r="A4" s="224"/>
      <c r="B4" s="224"/>
      <c r="C4" s="224"/>
      <c r="D4" s="224"/>
      <c r="E4" s="224"/>
      <c r="F4" s="224"/>
      <c r="G4" s="227"/>
      <c r="H4" s="228"/>
      <c r="I4" s="224"/>
      <c r="J4" s="224"/>
    </row>
    <row r="5" spans="1:10" ht="20.100000000000001" customHeight="1" x14ac:dyDescent="0.25">
      <c r="A5" s="224"/>
      <c r="B5" s="224"/>
      <c r="C5" s="224"/>
      <c r="D5" s="224"/>
      <c r="E5" s="224"/>
      <c r="F5" s="224"/>
      <c r="G5" s="224" t="s">
        <v>292</v>
      </c>
      <c r="H5" s="224"/>
      <c r="I5" s="224"/>
      <c r="J5" s="224"/>
    </row>
    <row r="6" spans="1:10" ht="20.100000000000001" customHeight="1" x14ac:dyDescent="0.25">
      <c r="A6" s="232" t="s">
        <v>293</v>
      </c>
      <c r="B6" s="224" t="s">
        <v>294</v>
      </c>
      <c r="C6" s="224"/>
      <c r="D6" s="231" t="s">
        <v>295</v>
      </c>
      <c r="E6" s="231"/>
      <c r="F6" s="231"/>
      <c r="G6" s="229">
        <v>5</v>
      </c>
      <c r="H6" s="229"/>
      <c r="I6" s="230">
        <v>0</v>
      </c>
      <c r="J6" s="230"/>
    </row>
    <row r="7" spans="1:10" ht="20.100000000000001" customHeight="1" x14ac:dyDescent="0.25">
      <c r="A7" s="232"/>
      <c r="B7" s="224"/>
      <c r="C7" s="224"/>
      <c r="D7" s="231" t="s">
        <v>296</v>
      </c>
      <c r="E7" s="231"/>
      <c r="F7" s="231"/>
      <c r="G7" s="229">
        <v>10</v>
      </c>
      <c r="H7" s="229"/>
      <c r="I7" s="230">
        <v>0</v>
      </c>
      <c r="J7" s="230"/>
    </row>
    <row r="8" spans="1:10" ht="20.100000000000001" customHeight="1" x14ac:dyDescent="0.25">
      <c r="A8" s="232"/>
      <c r="B8" s="224" t="s">
        <v>297</v>
      </c>
      <c r="C8" s="224"/>
      <c r="D8" s="231" t="s">
        <v>295</v>
      </c>
      <c r="E8" s="231"/>
      <c r="F8" s="231"/>
      <c r="G8" s="229">
        <v>60</v>
      </c>
      <c r="H8" s="229"/>
      <c r="I8" s="230">
        <v>0.2</v>
      </c>
      <c r="J8" s="230"/>
    </row>
    <row r="9" spans="1:10" ht="20.100000000000001" customHeight="1" x14ac:dyDescent="0.25">
      <c r="A9" s="232"/>
      <c r="B9" s="224"/>
      <c r="C9" s="224"/>
      <c r="D9" s="231" t="s">
        <v>298</v>
      </c>
      <c r="E9" s="231"/>
      <c r="F9" s="231"/>
      <c r="G9" s="229">
        <v>60</v>
      </c>
      <c r="H9" s="229"/>
      <c r="I9" s="230">
        <v>0.2</v>
      </c>
      <c r="J9" s="230"/>
    </row>
    <row r="10" spans="1:10" ht="20.100000000000001" customHeight="1" x14ac:dyDescent="0.25">
      <c r="A10" s="232"/>
      <c r="B10" s="224"/>
      <c r="C10" s="224"/>
      <c r="D10" s="231" t="s">
        <v>299</v>
      </c>
      <c r="E10" s="231"/>
      <c r="F10" s="231"/>
      <c r="G10" s="229">
        <v>70</v>
      </c>
      <c r="H10" s="229"/>
      <c r="I10" s="230">
        <v>0.2</v>
      </c>
      <c r="J10" s="230"/>
    </row>
    <row r="11" spans="1:10" ht="20.100000000000001" customHeight="1" x14ac:dyDescent="0.25">
      <c r="A11" s="232"/>
      <c r="B11" s="224"/>
      <c r="C11" s="224"/>
      <c r="D11" s="231" t="s">
        <v>296</v>
      </c>
      <c r="E11" s="231"/>
      <c r="F11" s="231"/>
      <c r="G11" s="229">
        <v>70</v>
      </c>
      <c r="H11" s="229"/>
      <c r="I11" s="230">
        <v>0.2</v>
      </c>
      <c r="J11" s="230"/>
    </row>
    <row r="12" spans="1:10" ht="20.100000000000001" customHeight="1" x14ac:dyDescent="0.25">
      <c r="A12" s="232"/>
      <c r="B12" s="224"/>
      <c r="C12" s="224"/>
      <c r="D12" s="231" t="s">
        <v>300</v>
      </c>
      <c r="E12" s="231"/>
      <c r="F12" s="231"/>
      <c r="G12" s="229">
        <v>70</v>
      </c>
      <c r="H12" s="229"/>
      <c r="I12" s="230">
        <v>0.2</v>
      </c>
      <c r="J12" s="230"/>
    </row>
    <row r="13" spans="1:10" ht="20.100000000000001" customHeight="1" x14ac:dyDescent="0.25">
      <c r="A13" s="232"/>
      <c r="B13" s="224"/>
      <c r="C13" s="224"/>
      <c r="D13" s="231" t="s">
        <v>301</v>
      </c>
      <c r="E13" s="231"/>
      <c r="F13" s="231"/>
      <c r="G13" s="229">
        <v>70</v>
      </c>
      <c r="H13" s="229"/>
      <c r="I13" s="230">
        <v>0.2</v>
      </c>
      <c r="J13" s="230"/>
    </row>
    <row r="14" spans="1:10" ht="20.100000000000001" customHeight="1" x14ac:dyDescent="0.25">
      <c r="A14" s="232"/>
      <c r="B14" s="224"/>
      <c r="C14" s="224"/>
      <c r="D14" s="231" t="s">
        <v>302</v>
      </c>
      <c r="E14" s="231"/>
      <c r="F14" s="231"/>
      <c r="G14" s="229">
        <v>60</v>
      </c>
      <c r="H14" s="229"/>
      <c r="I14" s="230">
        <v>0.2</v>
      </c>
      <c r="J14" s="230"/>
    </row>
    <row r="15" spans="1:10" ht="20.100000000000001" customHeight="1" x14ac:dyDescent="0.25">
      <c r="A15" s="232"/>
      <c r="B15" s="224"/>
      <c r="C15" s="224"/>
      <c r="D15" s="231" t="s">
        <v>303</v>
      </c>
      <c r="E15" s="231"/>
      <c r="F15" s="231"/>
      <c r="G15" s="229">
        <v>60</v>
      </c>
      <c r="H15" s="229"/>
      <c r="I15" s="230">
        <v>0.2</v>
      </c>
      <c r="J15" s="230"/>
    </row>
    <row r="16" spans="1:10" ht="20.100000000000001" customHeight="1" x14ac:dyDescent="0.25">
      <c r="A16" s="232"/>
      <c r="B16" s="224" t="s">
        <v>304</v>
      </c>
      <c r="C16" s="224"/>
      <c r="D16" s="231" t="s">
        <v>299</v>
      </c>
      <c r="E16" s="231"/>
      <c r="F16" s="231"/>
      <c r="G16" s="229">
        <v>60</v>
      </c>
      <c r="H16" s="229"/>
      <c r="I16" s="230">
        <v>0.2</v>
      </c>
      <c r="J16" s="230"/>
    </row>
    <row r="17" spans="1:10" ht="20.100000000000001" customHeight="1" x14ac:dyDescent="0.25">
      <c r="A17" s="232"/>
      <c r="B17" s="224"/>
      <c r="C17" s="224"/>
      <c r="D17" s="231" t="s">
        <v>296</v>
      </c>
      <c r="E17" s="231"/>
      <c r="F17" s="231"/>
      <c r="G17" s="229">
        <v>60</v>
      </c>
      <c r="H17" s="229"/>
      <c r="I17" s="230">
        <v>0.2</v>
      </c>
      <c r="J17" s="230"/>
    </row>
    <row r="18" spans="1:10" ht="20.100000000000001" customHeight="1" x14ac:dyDescent="0.25">
      <c r="A18" s="232"/>
      <c r="B18" s="224"/>
      <c r="C18" s="224"/>
      <c r="D18" s="231" t="s">
        <v>300</v>
      </c>
      <c r="E18" s="231"/>
      <c r="F18" s="231"/>
      <c r="G18" s="229">
        <v>60</v>
      </c>
      <c r="H18" s="229"/>
      <c r="I18" s="230">
        <v>0.2</v>
      </c>
      <c r="J18" s="230"/>
    </row>
    <row r="19" spans="1:10" ht="20.100000000000001" customHeight="1" x14ac:dyDescent="0.25">
      <c r="A19" s="232"/>
      <c r="B19" s="224"/>
      <c r="C19" s="224"/>
      <c r="D19" s="231" t="s">
        <v>301</v>
      </c>
      <c r="E19" s="231"/>
      <c r="F19" s="231"/>
      <c r="G19" s="229">
        <v>60</v>
      </c>
      <c r="H19" s="229"/>
      <c r="I19" s="230">
        <v>0.2</v>
      </c>
      <c r="J19" s="230"/>
    </row>
    <row r="20" spans="1:10" ht="20.100000000000001" customHeight="1" x14ac:dyDescent="0.25">
      <c r="A20" s="232"/>
      <c r="B20" s="224"/>
      <c r="C20" s="224"/>
      <c r="D20" s="231" t="s">
        <v>302</v>
      </c>
      <c r="E20" s="231"/>
      <c r="F20" s="231"/>
      <c r="G20" s="229">
        <v>50</v>
      </c>
      <c r="H20" s="229"/>
      <c r="I20" s="230">
        <v>0.2</v>
      </c>
      <c r="J20" s="230"/>
    </row>
    <row r="21" spans="1:10" ht="20.100000000000001" customHeight="1" x14ac:dyDescent="0.25">
      <c r="A21" s="232"/>
      <c r="B21" s="224"/>
      <c r="C21" s="224"/>
      <c r="D21" s="231" t="s">
        <v>303</v>
      </c>
      <c r="E21" s="231"/>
      <c r="F21" s="231"/>
      <c r="G21" s="229">
        <v>50</v>
      </c>
      <c r="H21" s="229"/>
      <c r="I21" s="230">
        <v>0.2</v>
      </c>
      <c r="J21" s="230"/>
    </row>
    <row r="22" spans="1:10" ht="20.100000000000001" customHeight="1" x14ac:dyDescent="0.25">
      <c r="A22" s="232" t="s">
        <v>305</v>
      </c>
      <c r="B22" s="224" t="s">
        <v>306</v>
      </c>
      <c r="C22" s="224"/>
      <c r="D22" s="231" t="s">
        <v>299</v>
      </c>
      <c r="E22" s="231"/>
      <c r="F22" s="231"/>
      <c r="G22" s="229">
        <v>70</v>
      </c>
      <c r="H22" s="229"/>
      <c r="I22" s="230">
        <v>0.2</v>
      </c>
      <c r="J22" s="230"/>
    </row>
    <row r="23" spans="1:10" ht="20.100000000000001" customHeight="1" x14ac:dyDescent="0.25">
      <c r="A23" s="232"/>
      <c r="B23" s="224"/>
      <c r="C23" s="224"/>
      <c r="D23" s="231" t="s">
        <v>296</v>
      </c>
      <c r="E23" s="231"/>
      <c r="F23" s="231"/>
      <c r="G23" s="229">
        <v>70</v>
      </c>
      <c r="H23" s="229"/>
      <c r="I23" s="230">
        <v>0.2</v>
      </c>
      <c r="J23" s="230"/>
    </row>
    <row r="24" spans="1:10" ht="20.100000000000001" customHeight="1" x14ac:dyDescent="0.25">
      <c r="A24" s="232"/>
      <c r="B24" s="224"/>
      <c r="C24" s="224"/>
      <c r="D24" s="231" t="s">
        <v>300</v>
      </c>
      <c r="E24" s="231"/>
      <c r="F24" s="231"/>
      <c r="G24" s="229">
        <v>60</v>
      </c>
      <c r="H24" s="229"/>
      <c r="I24" s="230">
        <v>0.2</v>
      </c>
      <c r="J24" s="230"/>
    </row>
    <row r="25" spans="1:10" ht="20.100000000000001" customHeight="1" x14ac:dyDescent="0.25">
      <c r="A25" s="232"/>
      <c r="B25" s="224"/>
      <c r="C25" s="224"/>
      <c r="D25" s="231" t="s">
        <v>301</v>
      </c>
      <c r="E25" s="231"/>
      <c r="F25" s="231"/>
      <c r="G25" s="229">
        <v>60</v>
      </c>
      <c r="H25" s="229"/>
      <c r="I25" s="230">
        <v>0.2</v>
      </c>
      <c r="J25" s="230"/>
    </row>
    <row r="26" spans="1:10" ht="20.100000000000001" customHeight="1" x14ac:dyDescent="0.25">
      <c r="A26" s="232"/>
      <c r="B26" s="224"/>
      <c r="C26" s="224"/>
      <c r="D26" s="231" t="s">
        <v>302</v>
      </c>
      <c r="E26" s="231"/>
      <c r="F26" s="231"/>
      <c r="G26" s="229">
        <v>50</v>
      </c>
      <c r="H26" s="229"/>
      <c r="I26" s="230">
        <v>0.2</v>
      </c>
      <c r="J26" s="230"/>
    </row>
    <row r="27" spans="1:10" ht="20.100000000000001" customHeight="1" x14ac:dyDescent="0.25">
      <c r="A27" s="232"/>
      <c r="B27" s="224"/>
      <c r="C27" s="224"/>
      <c r="D27" s="231" t="s">
        <v>303</v>
      </c>
      <c r="E27" s="231"/>
      <c r="F27" s="231"/>
      <c r="G27" s="229">
        <v>50</v>
      </c>
      <c r="H27" s="229"/>
      <c r="I27" s="230">
        <v>0.2</v>
      </c>
      <c r="J27" s="230"/>
    </row>
    <row r="28" spans="1:10" ht="20.100000000000001" customHeight="1" x14ac:dyDescent="0.25">
      <c r="A28" s="232"/>
      <c r="B28" s="224" t="s">
        <v>307</v>
      </c>
      <c r="C28" s="224"/>
      <c r="D28" s="231" t="s">
        <v>295</v>
      </c>
      <c r="E28" s="231"/>
      <c r="F28" s="231"/>
      <c r="G28" s="229">
        <v>60</v>
      </c>
      <c r="H28" s="229"/>
      <c r="I28" s="230">
        <v>0.2</v>
      </c>
      <c r="J28" s="230"/>
    </row>
    <row r="29" spans="1:10" ht="20.100000000000001" customHeight="1" x14ac:dyDescent="0.25">
      <c r="A29" s="232"/>
      <c r="B29" s="224"/>
      <c r="C29" s="224"/>
      <c r="D29" s="231" t="s">
        <v>296</v>
      </c>
      <c r="E29" s="231"/>
      <c r="F29" s="231"/>
      <c r="G29" s="229">
        <v>60</v>
      </c>
      <c r="H29" s="229"/>
      <c r="I29" s="230">
        <v>0.2</v>
      </c>
      <c r="J29" s="230"/>
    </row>
    <row r="30" spans="1:10" ht="20.100000000000001" customHeight="1" x14ac:dyDescent="0.25">
      <c r="A30" s="232"/>
      <c r="B30" s="224"/>
      <c r="C30" s="224"/>
      <c r="D30" s="231" t="s">
        <v>300</v>
      </c>
      <c r="E30" s="231"/>
      <c r="F30" s="231"/>
      <c r="G30" s="229">
        <v>80</v>
      </c>
      <c r="H30" s="229"/>
      <c r="I30" s="230">
        <v>0.2</v>
      </c>
      <c r="J30" s="230"/>
    </row>
    <row r="31" spans="1:10" ht="20.100000000000001" customHeight="1" x14ac:dyDescent="0.25">
      <c r="A31" s="232"/>
      <c r="B31" s="224"/>
      <c r="C31" s="224"/>
      <c r="D31" s="231" t="s">
        <v>301</v>
      </c>
      <c r="E31" s="231"/>
      <c r="F31" s="231"/>
      <c r="G31" s="229">
        <v>80</v>
      </c>
      <c r="H31" s="229"/>
      <c r="I31" s="230">
        <v>0.2</v>
      </c>
      <c r="J31" s="230"/>
    </row>
    <row r="32" spans="1:10" ht="20.100000000000001" customHeight="1" x14ac:dyDescent="0.25">
      <c r="A32" s="232"/>
      <c r="B32" s="224" t="s">
        <v>308</v>
      </c>
      <c r="C32" s="224"/>
      <c r="D32" s="231" t="s">
        <v>295</v>
      </c>
      <c r="E32" s="231"/>
      <c r="F32" s="231"/>
      <c r="G32" s="229">
        <v>20</v>
      </c>
      <c r="H32" s="229"/>
      <c r="I32" s="230">
        <v>0.1</v>
      </c>
      <c r="J32" s="230"/>
    </row>
    <row r="33" spans="1:10" ht="20.100000000000001" customHeight="1" x14ac:dyDescent="0.25">
      <c r="A33" s="232"/>
      <c r="B33" s="224"/>
      <c r="C33" s="224"/>
      <c r="D33" s="231" t="s">
        <v>296</v>
      </c>
      <c r="E33" s="231"/>
      <c r="F33" s="231"/>
      <c r="G33" s="229">
        <v>20</v>
      </c>
      <c r="H33" s="229"/>
      <c r="I33" s="230">
        <v>0.1</v>
      </c>
      <c r="J33" s="230"/>
    </row>
    <row r="34" spans="1:10" ht="20.100000000000001" customHeight="1" x14ac:dyDescent="0.25">
      <c r="A34" s="232"/>
      <c r="B34" s="224"/>
      <c r="C34" s="224"/>
      <c r="D34" s="231" t="s">
        <v>301</v>
      </c>
      <c r="E34" s="231"/>
      <c r="F34" s="231"/>
      <c r="G34" s="229">
        <v>30</v>
      </c>
      <c r="H34" s="229"/>
      <c r="I34" s="230">
        <v>0.1</v>
      </c>
      <c r="J34" s="230"/>
    </row>
    <row r="35" spans="1:10" ht="20.100000000000001" customHeight="1" x14ac:dyDescent="0.25">
      <c r="A35" s="1"/>
      <c r="B35" s="1"/>
      <c r="C35" s="1"/>
      <c r="D35" s="1"/>
      <c r="E35" s="1"/>
    </row>
    <row r="36" spans="1:10" ht="20.100000000000001" customHeight="1" x14ac:dyDescent="0.25">
      <c r="A36" s="237" t="s">
        <v>80</v>
      </c>
      <c r="B36" s="237"/>
      <c r="C36" s="237"/>
      <c r="D36" s="237"/>
      <c r="E36" s="237"/>
      <c r="F36" s="237"/>
      <c r="G36" s="237"/>
      <c r="H36" s="237"/>
      <c r="I36" s="237"/>
      <c r="J36" s="237"/>
    </row>
    <row r="37" spans="1:10" ht="20.100000000000001" customHeight="1" x14ac:dyDescent="0.25">
      <c r="A37" s="237" t="s">
        <v>309</v>
      </c>
      <c r="B37" s="237"/>
      <c r="C37" s="237"/>
      <c r="D37" s="237"/>
      <c r="E37" s="237"/>
      <c r="F37" s="237"/>
      <c r="G37" s="237"/>
      <c r="H37" s="237"/>
      <c r="I37" s="237"/>
      <c r="J37" s="237"/>
    </row>
    <row r="38" spans="1:10" ht="20.100000000000001" customHeight="1" x14ac:dyDescent="0.25">
      <c r="A38" s="237" t="s">
        <v>310</v>
      </c>
      <c r="B38" s="237"/>
      <c r="C38" s="237"/>
      <c r="D38" s="237"/>
      <c r="E38" s="237"/>
      <c r="F38" s="237"/>
      <c r="G38" s="237"/>
      <c r="H38" s="237"/>
      <c r="I38" s="237"/>
      <c r="J38" s="237"/>
    </row>
    <row r="39" spans="1:10" ht="20.100000000000001" customHeight="1" x14ac:dyDescent="0.25">
      <c r="A39" s="237"/>
      <c r="B39" s="237"/>
      <c r="C39" s="237"/>
      <c r="D39" s="237"/>
      <c r="E39" s="237"/>
      <c r="F39" s="237"/>
      <c r="G39" s="237"/>
      <c r="H39" s="237"/>
      <c r="I39" s="237"/>
      <c r="J39" s="237"/>
    </row>
    <row r="42" spans="1:10" ht="20.100000000000001" customHeight="1" x14ac:dyDescent="0.25">
      <c r="A42" s="238" t="s">
        <v>311</v>
      </c>
      <c r="B42" s="238"/>
      <c r="C42" s="238"/>
      <c r="D42" s="238"/>
      <c r="E42" s="238"/>
      <c r="F42" s="238"/>
      <c r="G42" s="238"/>
      <c r="H42" s="238"/>
      <c r="I42" s="238"/>
      <c r="J42" s="238"/>
    </row>
    <row r="43" spans="1:10" ht="20.100000000000001" customHeight="1" thickBot="1" x14ac:dyDescent="0.3">
      <c r="A43" s="239"/>
      <c r="B43" s="239"/>
      <c r="C43" s="239"/>
      <c r="D43" s="239"/>
      <c r="E43" s="239"/>
      <c r="F43" s="239"/>
      <c r="G43" s="239"/>
      <c r="H43" s="239"/>
      <c r="I43" s="239"/>
      <c r="J43" s="239"/>
    </row>
    <row r="44" spans="1:10" ht="20.100000000000001" customHeight="1" x14ac:dyDescent="0.25">
      <c r="A44" s="7"/>
      <c r="B44" s="8"/>
      <c r="C44" s="8"/>
      <c r="D44" s="8"/>
      <c r="E44" s="8"/>
      <c r="F44" s="9"/>
      <c r="G44" s="9"/>
      <c r="H44" s="10"/>
      <c r="I44" s="10"/>
      <c r="J44" s="10"/>
    </row>
    <row r="45" spans="1:10" ht="20.100000000000001" customHeight="1" x14ac:dyDescent="0.25">
      <c r="A45" s="240" t="s">
        <v>312</v>
      </c>
      <c r="B45" s="240" t="s">
        <v>313</v>
      </c>
      <c r="C45" s="240"/>
      <c r="D45" s="240"/>
      <c r="E45" s="240" t="s">
        <v>314</v>
      </c>
      <c r="F45" s="240" t="s">
        <v>315</v>
      </c>
      <c r="G45" s="240"/>
      <c r="H45" s="240"/>
      <c r="I45" s="240"/>
      <c r="J45" s="240"/>
    </row>
    <row r="46" spans="1:10" ht="20.100000000000001" customHeight="1" x14ac:dyDescent="0.25">
      <c r="A46" s="240"/>
      <c r="B46" s="240"/>
      <c r="C46" s="240"/>
      <c r="D46" s="240"/>
      <c r="E46" s="240"/>
      <c r="F46" s="240"/>
      <c r="G46" s="240"/>
      <c r="H46" s="240"/>
      <c r="I46" s="240"/>
      <c r="J46" s="240"/>
    </row>
    <row r="47" spans="1:10" ht="20.100000000000001" customHeight="1" x14ac:dyDescent="0.25">
      <c r="A47" s="233" t="s">
        <v>316</v>
      </c>
      <c r="B47" s="234" t="s">
        <v>269</v>
      </c>
      <c r="C47" s="234"/>
      <c r="D47" s="234"/>
      <c r="E47" s="235">
        <v>0</v>
      </c>
      <c r="F47" s="236" t="s">
        <v>317</v>
      </c>
      <c r="G47" s="236"/>
      <c r="H47" s="236"/>
      <c r="I47" s="236"/>
      <c r="J47" s="236"/>
    </row>
    <row r="48" spans="1:10" ht="20.100000000000001" customHeight="1" x14ac:dyDescent="0.25">
      <c r="A48" s="233"/>
      <c r="B48" s="234"/>
      <c r="C48" s="234"/>
      <c r="D48" s="234"/>
      <c r="E48" s="235"/>
      <c r="F48" s="236"/>
      <c r="G48" s="236"/>
      <c r="H48" s="236"/>
      <c r="I48" s="236"/>
      <c r="J48" s="236"/>
    </row>
    <row r="49" spans="1:10" ht="20.100000000000001" customHeight="1" x14ac:dyDescent="0.25">
      <c r="A49" s="233"/>
      <c r="B49" s="234"/>
      <c r="C49" s="234"/>
      <c r="D49" s="234"/>
      <c r="E49" s="235"/>
      <c r="F49" s="236"/>
      <c r="G49" s="236"/>
      <c r="H49" s="236"/>
      <c r="I49" s="236"/>
      <c r="J49" s="236"/>
    </row>
    <row r="50" spans="1:10" ht="20.100000000000001" customHeight="1" x14ac:dyDescent="0.25">
      <c r="A50" s="233" t="s">
        <v>318</v>
      </c>
      <c r="B50" s="234" t="s">
        <v>319</v>
      </c>
      <c r="C50" s="234"/>
      <c r="D50" s="234"/>
      <c r="E50" s="235">
        <v>0.32</v>
      </c>
      <c r="F50" s="236" t="s">
        <v>320</v>
      </c>
      <c r="G50" s="236"/>
      <c r="H50" s="236"/>
      <c r="I50" s="236"/>
      <c r="J50" s="236"/>
    </row>
    <row r="51" spans="1:10" ht="20.100000000000001" customHeight="1" x14ac:dyDescent="0.25">
      <c r="A51" s="233"/>
      <c r="B51" s="234"/>
      <c r="C51" s="234"/>
      <c r="D51" s="234"/>
      <c r="E51" s="235"/>
      <c r="F51" s="236"/>
      <c r="G51" s="236"/>
      <c r="H51" s="236"/>
      <c r="I51" s="236"/>
      <c r="J51" s="236"/>
    </row>
    <row r="52" spans="1:10" ht="20.100000000000001" customHeight="1" x14ac:dyDescent="0.25">
      <c r="A52" s="233"/>
      <c r="B52" s="234"/>
      <c r="C52" s="234"/>
      <c r="D52" s="234"/>
      <c r="E52" s="235"/>
      <c r="F52" s="236"/>
      <c r="G52" s="236"/>
      <c r="H52" s="236"/>
      <c r="I52" s="236"/>
      <c r="J52" s="236"/>
    </row>
    <row r="53" spans="1:10" ht="20.100000000000001" customHeight="1" x14ac:dyDescent="0.25">
      <c r="A53" s="233" t="s">
        <v>321</v>
      </c>
      <c r="B53" s="234" t="s">
        <v>7</v>
      </c>
      <c r="C53" s="234"/>
      <c r="D53" s="234"/>
      <c r="E53" s="235">
        <v>2.52</v>
      </c>
      <c r="F53" s="236" t="s">
        <v>322</v>
      </c>
      <c r="G53" s="236"/>
      <c r="H53" s="236"/>
      <c r="I53" s="236"/>
      <c r="J53" s="236"/>
    </row>
    <row r="54" spans="1:10" ht="20.100000000000001" customHeight="1" x14ac:dyDescent="0.25">
      <c r="A54" s="233"/>
      <c r="B54" s="234"/>
      <c r="C54" s="234"/>
      <c r="D54" s="234"/>
      <c r="E54" s="235"/>
      <c r="F54" s="236"/>
      <c r="G54" s="236"/>
      <c r="H54" s="236"/>
      <c r="I54" s="236"/>
      <c r="J54" s="236"/>
    </row>
    <row r="55" spans="1:10" ht="20.100000000000001" customHeight="1" x14ac:dyDescent="0.25">
      <c r="A55" s="233"/>
      <c r="B55" s="234"/>
      <c r="C55" s="234"/>
      <c r="D55" s="234"/>
      <c r="E55" s="235"/>
      <c r="F55" s="236"/>
      <c r="G55" s="236"/>
      <c r="H55" s="236"/>
      <c r="I55" s="236"/>
      <c r="J55" s="236"/>
    </row>
    <row r="56" spans="1:10" ht="20.100000000000001" customHeight="1" x14ac:dyDescent="0.25">
      <c r="A56" s="233" t="s">
        <v>323</v>
      </c>
      <c r="B56" s="234" t="s">
        <v>324</v>
      </c>
      <c r="C56" s="234"/>
      <c r="D56" s="234"/>
      <c r="E56" s="235">
        <v>8.09</v>
      </c>
      <c r="F56" s="236" t="s">
        <v>325</v>
      </c>
      <c r="G56" s="236"/>
      <c r="H56" s="236"/>
      <c r="I56" s="236"/>
      <c r="J56" s="236"/>
    </row>
    <row r="57" spans="1:10" ht="20.100000000000001" customHeight="1" x14ac:dyDescent="0.25">
      <c r="A57" s="233"/>
      <c r="B57" s="234"/>
      <c r="C57" s="234"/>
      <c r="D57" s="234"/>
      <c r="E57" s="235"/>
      <c r="F57" s="236"/>
      <c r="G57" s="236"/>
      <c r="H57" s="236"/>
      <c r="I57" s="236"/>
      <c r="J57" s="236"/>
    </row>
    <row r="58" spans="1:10" ht="20.100000000000001" customHeight="1" x14ac:dyDescent="0.25">
      <c r="A58" s="233"/>
      <c r="B58" s="234"/>
      <c r="C58" s="234"/>
      <c r="D58" s="234"/>
      <c r="E58" s="235"/>
      <c r="F58" s="236"/>
      <c r="G58" s="236"/>
      <c r="H58" s="236"/>
      <c r="I58" s="236"/>
      <c r="J58" s="236"/>
    </row>
    <row r="59" spans="1:10" ht="20.100000000000001" customHeight="1" x14ac:dyDescent="0.25">
      <c r="A59" s="233" t="s">
        <v>326</v>
      </c>
      <c r="B59" s="234" t="s">
        <v>327</v>
      </c>
      <c r="C59" s="234"/>
      <c r="D59" s="234"/>
      <c r="E59" s="241">
        <v>18.100000000000001</v>
      </c>
      <c r="F59" s="236" t="s">
        <v>328</v>
      </c>
      <c r="G59" s="236"/>
      <c r="H59" s="236"/>
      <c r="I59" s="236"/>
      <c r="J59" s="236"/>
    </row>
    <row r="60" spans="1:10" ht="20.100000000000001" customHeight="1" x14ac:dyDescent="0.25">
      <c r="A60" s="233"/>
      <c r="B60" s="234"/>
      <c r="C60" s="234"/>
      <c r="D60" s="234"/>
      <c r="E60" s="241"/>
      <c r="F60" s="236"/>
      <c r="G60" s="236"/>
      <c r="H60" s="236"/>
      <c r="I60" s="236"/>
      <c r="J60" s="236"/>
    </row>
    <row r="61" spans="1:10" ht="20.100000000000001" customHeight="1" x14ac:dyDescent="0.25">
      <c r="A61" s="233"/>
      <c r="B61" s="234"/>
      <c r="C61" s="234"/>
      <c r="D61" s="234"/>
      <c r="E61" s="241"/>
      <c r="F61" s="236"/>
      <c r="G61" s="236"/>
      <c r="H61" s="236"/>
      <c r="I61" s="236"/>
      <c r="J61" s="236"/>
    </row>
    <row r="62" spans="1:10" ht="20.100000000000001" customHeight="1" x14ac:dyDescent="0.25">
      <c r="A62" s="233"/>
      <c r="B62" s="234"/>
      <c r="C62" s="234"/>
      <c r="D62" s="234"/>
      <c r="E62" s="241"/>
      <c r="F62" s="236"/>
      <c r="G62" s="236"/>
      <c r="H62" s="236"/>
      <c r="I62" s="236"/>
      <c r="J62" s="236"/>
    </row>
    <row r="63" spans="1:10" ht="20.100000000000001" customHeight="1" x14ac:dyDescent="0.25">
      <c r="A63" s="233" t="s">
        <v>329</v>
      </c>
      <c r="B63" s="234" t="s">
        <v>330</v>
      </c>
      <c r="C63" s="234"/>
      <c r="D63" s="234"/>
      <c r="E63" s="241">
        <v>33.200000000000003</v>
      </c>
      <c r="F63" s="236" t="s">
        <v>331</v>
      </c>
      <c r="G63" s="236"/>
      <c r="H63" s="236"/>
      <c r="I63" s="236"/>
      <c r="J63" s="236"/>
    </row>
    <row r="64" spans="1:10" ht="20.100000000000001" customHeight="1" x14ac:dyDescent="0.25">
      <c r="A64" s="233"/>
      <c r="B64" s="234"/>
      <c r="C64" s="234"/>
      <c r="D64" s="234"/>
      <c r="E64" s="241"/>
      <c r="F64" s="236"/>
      <c r="G64" s="236"/>
      <c r="H64" s="236"/>
      <c r="I64" s="236"/>
      <c r="J64" s="236"/>
    </row>
    <row r="65" spans="1:10" ht="20.100000000000001" customHeight="1" x14ac:dyDescent="0.25">
      <c r="A65" s="233"/>
      <c r="B65" s="234"/>
      <c r="C65" s="234"/>
      <c r="D65" s="234"/>
      <c r="E65" s="241"/>
      <c r="F65" s="236"/>
      <c r="G65" s="236"/>
      <c r="H65" s="236"/>
      <c r="I65" s="236"/>
      <c r="J65" s="236"/>
    </row>
    <row r="66" spans="1:10" ht="20.100000000000001" customHeight="1" x14ac:dyDescent="0.25">
      <c r="A66" s="233"/>
      <c r="B66" s="234"/>
      <c r="C66" s="234"/>
      <c r="D66" s="234"/>
      <c r="E66" s="241"/>
      <c r="F66" s="236"/>
      <c r="G66" s="236"/>
      <c r="H66" s="236"/>
      <c r="I66" s="236"/>
      <c r="J66" s="236"/>
    </row>
    <row r="67" spans="1:10" ht="20.100000000000001" customHeight="1" x14ac:dyDescent="0.25">
      <c r="A67" s="233"/>
      <c r="B67" s="234"/>
      <c r="C67" s="234"/>
      <c r="D67" s="234"/>
      <c r="E67" s="241"/>
      <c r="F67" s="236"/>
      <c r="G67" s="236"/>
      <c r="H67" s="236"/>
      <c r="I67" s="236"/>
      <c r="J67" s="236"/>
    </row>
    <row r="68" spans="1:10" ht="20.100000000000001" customHeight="1" x14ac:dyDescent="0.25">
      <c r="A68" s="233"/>
      <c r="B68" s="234"/>
      <c r="C68" s="234"/>
      <c r="D68" s="234"/>
      <c r="E68" s="241"/>
      <c r="F68" s="236"/>
      <c r="G68" s="236"/>
      <c r="H68" s="236"/>
      <c r="I68" s="236"/>
      <c r="J68" s="236"/>
    </row>
    <row r="69" spans="1:10" ht="20.100000000000001" customHeight="1" x14ac:dyDescent="0.25">
      <c r="A69" s="233" t="s">
        <v>332</v>
      </c>
      <c r="B69" s="234" t="s">
        <v>333</v>
      </c>
      <c r="C69" s="234"/>
      <c r="D69" s="234"/>
      <c r="E69" s="241">
        <v>52.6</v>
      </c>
      <c r="F69" s="236" t="s">
        <v>334</v>
      </c>
      <c r="G69" s="236"/>
      <c r="H69" s="236"/>
      <c r="I69" s="236"/>
      <c r="J69" s="236"/>
    </row>
    <row r="70" spans="1:10" ht="20.100000000000001" customHeight="1" x14ac:dyDescent="0.25">
      <c r="A70" s="233"/>
      <c r="B70" s="234"/>
      <c r="C70" s="234"/>
      <c r="D70" s="234"/>
      <c r="E70" s="241"/>
      <c r="F70" s="236"/>
      <c r="G70" s="236"/>
      <c r="H70" s="236"/>
      <c r="I70" s="236"/>
      <c r="J70" s="236"/>
    </row>
    <row r="71" spans="1:10" ht="20.100000000000001" customHeight="1" x14ac:dyDescent="0.25">
      <c r="A71" s="233"/>
      <c r="B71" s="234"/>
      <c r="C71" s="234"/>
      <c r="D71" s="234"/>
      <c r="E71" s="241"/>
      <c r="F71" s="236"/>
      <c r="G71" s="236"/>
      <c r="H71" s="236"/>
      <c r="I71" s="236"/>
      <c r="J71" s="236"/>
    </row>
    <row r="72" spans="1:10" ht="20.100000000000001" customHeight="1" x14ac:dyDescent="0.25">
      <c r="A72" s="233"/>
      <c r="B72" s="234"/>
      <c r="C72" s="234"/>
      <c r="D72" s="234"/>
      <c r="E72" s="241"/>
      <c r="F72" s="236"/>
      <c r="G72" s="236"/>
      <c r="H72" s="236"/>
      <c r="I72" s="236"/>
      <c r="J72" s="236"/>
    </row>
    <row r="73" spans="1:10" ht="20.100000000000001" customHeight="1" x14ac:dyDescent="0.25">
      <c r="A73" s="233"/>
      <c r="B73" s="234"/>
      <c r="C73" s="234"/>
      <c r="D73" s="234"/>
      <c r="E73" s="241"/>
      <c r="F73" s="236"/>
      <c r="G73" s="236"/>
      <c r="H73" s="236"/>
      <c r="I73" s="236"/>
      <c r="J73" s="236"/>
    </row>
    <row r="74" spans="1:10" ht="20.100000000000001" customHeight="1" x14ac:dyDescent="0.25">
      <c r="A74" s="233"/>
      <c r="B74" s="234"/>
      <c r="C74" s="234"/>
      <c r="D74" s="234"/>
      <c r="E74" s="241"/>
      <c r="F74" s="236"/>
      <c r="G74" s="236"/>
      <c r="H74" s="236"/>
      <c r="I74" s="236"/>
      <c r="J74" s="236"/>
    </row>
    <row r="75" spans="1:10" ht="20.100000000000001" customHeight="1" x14ac:dyDescent="0.25">
      <c r="A75" s="233" t="s">
        <v>335</v>
      </c>
      <c r="B75" s="234" t="s">
        <v>336</v>
      </c>
      <c r="C75" s="234"/>
      <c r="D75" s="234"/>
      <c r="E75" s="241">
        <v>75.2</v>
      </c>
      <c r="F75" s="236" t="s">
        <v>337</v>
      </c>
      <c r="G75" s="236"/>
      <c r="H75" s="236"/>
      <c r="I75" s="236"/>
      <c r="J75" s="236"/>
    </row>
    <row r="76" spans="1:10" ht="20.100000000000001" customHeight="1" x14ac:dyDescent="0.25">
      <c r="A76" s="233"/>
      <c r="B76" s="234"/>
      <c r="C76" s="234"/>
      <c r="D76" s="234"/>
      <c r="E76" s="241"/>
      <c r="F76" s="236"/>
      <c r="G76" s="236"/>
      <c r="H76" s="236"/>
      <c r="I76" s="236"/>
      <c r="J76" s="236"/>
    </row>
    <row r="77" spans="1:10" ht="20.100000000000001" customHeight="1" x14ac:dyDescent="0.25">
      <c r="A77" s="233"/>
      <c r="B77" s="234"/>
      <c r="C77" s="234"/>
      <c r="D77" s="234"/>
      <c r="E77" s="241"/>
      <c r="F77" s="236"/>
      <c r="G77" s="236"/>
      <c r="H77" s="236"/>
      <c r="I77" s="236"/>
      <c r="J77" s="236"/>
    </row>
    <row r="78" spans="1:10" ht="20.100000000000001" customHeight="1" x14ac:dyDescent="0.25">
      <c r="A78" s="233"/>
      <c r="B78" s="234"/>
      <c r="C78" s="234"/>
      <c r="D78" s="234"/>
      <c r="E78" s="241"/>
      <c r="F78" s="236"/>
      <c r="G78" s="236"/>
      <c r="H78" s="236"/>
      <c r="I78" s="236"/>
      <c r="J78" s="236"/>
    </row>
    <row r="79" spans="1:10" ht="20.100000000000001" customHeight="1" thickBot="1" x14ac:dyDescent="0.3">
      <c r="A79" s="11" t="s">
        <v>82</v>
      </c>
      <c r="B79" s="242" t="s">
        <v>338</v>
      </c>
      <c r="C79" s="242"/>
      <c r="D79" s="242"/>
      <c r="E79" s="12">
        <v>100</v>
      </c>
      <c r="F79" s="243" t="s">
        <v>339</v>
      </c>
      <c r="G79" s="243"/>
      <c r="H79" s="243"/>
      <c r="I79" s="243"/>
      <c r="J79" s="243"/>
    </row>
    <row r="80" spans="1:10" ht="20.100000000000001" customHeight="1" x14ac:dyDescent="0.25">
      <c r="A80" s="1"/>
      <c r="B80" s="1"/>
      <c r="C80" s="1"/>
      <c r="D80" s="1"/>
    </row>
    <row r="81" spans="1:10" ht="20.100000000000001" customHeight="1" x14ac:dyDescent="0.25">
      <c r="A81" s="244" t="s">
        <v>80</v>
      </c>
      <c r="B81" s="244"/>
      <c r="C81" s="244"/>
      <c r="D81" s="244"/>
      <c r="E81" s="244"/>
      <c r="F81" s="244"/>
      <c r="G81" s="244"/>
      <c r="H81" s="244"/>
      <c r="I81" s="244"/>
      <c r="J81" s="244"/>
    </row>
    <row r="82" spans="1:10" ht="20.100000000000001" customHeight="1" x14ac:dyDescent="0.25">
      <c r="A82" s="244" t="s">
        <v>340</v>
      </c>
      <c r="B82" s="244"/>
      <c r="C82" s="244"/>
      <c r="D82" s="244"/>
      <c r="E82" s="244"/>
      <c r="F82" s="244"/>
      <c r="G82" s="244"/>
      <c r="H82" s="244"/>
      <c r="I82" s="244"/>
      <c r="J82" s="244"/>
    </row>
    <row r="83" spans="1:10" ht="20.100000000000001" customHeight="1" x14ac:dyDescent="0.25">
      <c r="A83" s="244" t="s">
        <v>341</v>
      </c>
      <c r="B83" s="244"/>
      <c r="C83" s="244"/>
      <c r="D83" s="244"/>
      <c r="E83" s="244"/>
      <c r="F83" s="244"/>
      <c r="G83" s="244"/>
      <c r="H83" s="244"/>
      <c r="I83" s="244"/>
      <c r="J83" s="244"/>
    </row>
    <row r="84" spans="1:10" ht="20.100000000000001" customHeight="1" x14ac:dyDescent="0.25">
      <c r="A84" s="244" t="s">
        <v>342</v>
      </c>
      <c r="B84" s="244"/>
      <c r="C84" s="244"/>
      <c r="D84" s="244"/>
      <c r="E84" s="244"/>
      <c r="F84" s="244"/>
      <c r="G84" s="244"/>
      <c r="H84" s="244"/>
      <c r="I84" s="244"/>
      <c r="J84" s="244"/>
    </row>
    <row r="86" spans="1:10" ht="20.100000000000001" customHeight="1" x14ac:dyDescent="0.25">
      <c r="A86" s="244" t="s">
        <v>283</v>
      </c>
      <c r="B86" s="244"/>
      <c r="C86" s="244"/>
      <c r="D86" s="244"/>
      <c r="E86" s="244"/>
      <c r="F86" s="244"/>
      <c r="G86" s="244"/>
      <c r="H86" s="244"/>
      <c r="I86" s="244"/>
      <c r="J86" s="244"/>
    </row>
    <row r="87" spans="1:10" ht="20.100000000000001" customHeight="1" x14ac:dyDescent="0.25">
      <c r="A87" s="244" t="s">
        <v>343</v>
      </c>
      <c r="B87" s="244"/>
      <c r="C87" s="244"/>
      <c r="D87" s="244"/>
      <c r="E87" s="244"/>
      <c r="F87" s="244"/>
      <c r="G87" s="244"/>
      <c r="H87" s="244"/>
      <c r="I87" s="244"/>
      <c r="J87" s="244"/>
    </row>
    <row r="88" spans="1:10" ht="20.100000000000001" customHeight="1" x14ac:dyDescent="0.25">
      <c r="A88" s="244"/>
      <c r="B88" s="244"/>
      <c r="C88" s="244"/>
      <c r="D88" s="244"/>
      <c r="E88" s="244"/>
      <c r="F88" s="244"/>
      <c r="G88" s="244"/>
      <c r="H88" s="244"/>
      <c r="I88" s="244"/>
      <c r="J88" s="244"/>
    </row>
    <row r="89" spans="1:10" ht="20.100000000000001" customHeight="1" x14ac:dyDescent="0.25">
      <c r="A89" s="244"/>
      <c r="B89" s="244"/>
      <c r="C89" s="244"/>
      <c r="D89" s="244"/>
      <c r="E89" s="244"/>
      <c r="F89" s="244"/>
      <c r="G89" s="244"/>
      <c r="H89" s="244"/>
      <c r="I89" s="244"/>
      <c r="J89" s="244"/>
    </row>
    <row r="92" spans="1:10" ht="20.100000000000001" customHeight="1" x14ac:dyDescent="0.25">
      <c r="A92" s="249" t="s">
        <v>344</v>
      </c>
      <c r="B92" s="249"/>
      <c r="C92" s="249"/>
      <c r="D92" s="249"/>
      <c r="E92" s="249"/>
      <c r="F92" s="249"/>
      <c r="G92" s="249"/>
      <c r="H92" s="249"/>
      <c r="I92" s="249"/>
      <c r="J92" s="249"/>
    </row>
    <row r="94" spans="1:10" ht="20.100000000000001" customHeight="1" x14ac:dyDescent="0.25">
      <c r="A94" s="244" t="s">
        <v>345</v>
      </c>
      <c r="B94" s="244"/>
      <c r="C94" s="244"/>
      <c r="D94" s="244"/>
      <c r="E94" s="244"/>
      <c r="F94" s="244"/>
      <c r="G94" s="244"/>
      <c r="H94" s="244"/>
      <c r="I94" s="244"/>
      <c r="J94" s="244"/>
    </row>
    <row r="95" spans="1:10" ht="20.100000000000001" customHeight="1" x14ac:dyDescent="0.25">
      <c r="A95" s="244"/>
      <c r="B95" s="244"/>
      <c r="C95" s="244"/>
      <c r="D95" s="244"/>
      <c r="E95" s="244"/>
      <c r="F95" s="244"/>
      <c r="G95" s="244"/>
      <c r="H95" s="244"/>
      <c r="I95" s="244"/>
      <c r="J95" s="244"/>
    </row>
    <row r="96" spans="1:10" ht="20.100000000000001" customHeight="1" x14ac:dyDescent="0.25">
      <c r="A96" s="244"/>
      <c r="B96" s="244"/>
      <c r="C96" s="244"/>
      <c r="D96" s="244"/>
      <c r="E96" s="244"/>
      <c r="F96" s="244"/>
      <c r="G96" s="244"/>
      <c r="H96" s="244"/>
      <c r="I96" s="244"/>
      <c r="J96" s="244"/>
    </row>
    <row r="97" spans="1:10" ht="20.100000000000001" customHeight="1" x14ac:dyDescent="0.25">
      <c r="A97" s="244"/>
      <c r="B97" s="244"/>
      <c r="C97" s="244"/>
      <c r="D97" s="244"/>
      <c r="E97" s="244"/>
      <c r="F97" s="244"/>
      <c r="G97" s="244"/>
      <c r="H97" s="244"/>
      <c r="I97" s="244"/>
      <c r="J97" s="244"/>
    </row>
    <row r="98" spans="1:10" ht="20.100000000000001" customHeight="1" x14ac:dyDescent="0.25">
      <c r="A98" s="244"/>
      <c r="B98" s="244"/>
      <c r="C98" s="244"/>
      <c r="D98" s="244"/>
      <c r="E98" s="244"/>
      <c r="F98" s="244"/>
      <c r="G98" s="244"/>
      <c r="H98" s="244"/>
      <c r="I98" s="244"/>
      <c r="J98" s="244"/>
    </row>
    <row r="99" spans="1:10" ht="20.100000000000001" customHeight="1" x14ac:dyDescent="0.25">
      <c r="A99" s="244"/>
      <c r="B99" s="244"/>
      <c r="C99" s="244"/>
      <c r="D99" s="244"/>
      <c r="E99" s="244"/>
      <c r="F99" s="244"/>
      <c r="G99" s="244"/>
      <c r="H99" s="244"/>
      <c r="I99" s="244"/>
      <c r="J99" s="244"/>
    </row>
    <row r="101" spans="1:10" ht="20.100000000000001" customHeight="1" x14ac:dyDescent="0.25">
      <c r="A101" s="245" t="s">
        <v>346</v>
      </c>
      <c r="B101" s="245"/>
      <c r="C101" s="245"/>
      <c r="D101" s="245"/>
      <c r="E101" s="245"/>
      <c r="F101" s="245"/>
      <c r="G101" s="245"/>
      <c r="H101" s="245"/>
      <c r="I101" s="245"/>
      <c r="J101" s="245"/>
    </row>
    <row r="102" spans="1:10" ht="20.100000000000001" customHeight="1" x14ac:dyDescent="0.25">
      <c r="A102" s="245"/>
      <c r="B102" s="245"/>
      <c r="C102" s="245"/>
      <c r="D102" s="245"/>
      <c r="E102" s="245"/>
      <c r="F102" s="245"/>
      <c r="G102" s="245"/>
      <c r="H102" s="245"/>
      <c r="I102" s="245"/>
      <c r="J102" s="245"/>
    </row>
    <row r="103" spans="1:10" ht="20.100000000000001" customHeight="1" x14ac:dyDescent="0.25">
      <c r="A103" s="245"/>
      <c r="B103" s="245"/>
      <c r="C103" s="245"/>
      <c r="D103" s="245"/>
      <c r="E103" s="245"/>
      <c r="F103" s="245"/>
      <c r="G103" s="245"/>
      <c r="H103" s="245"/>
      <c r="I103" s="245"/>
      <c r="J103" s="245"/>
    </row>
    <row r="104" spans="1:10" ht="20.100000000000001" customHeight="1" x14ac:dyDescent="0.25">
      <c r="A104" s="245" t="s">
        <v>347</v>
      </c>
      <c r="B104" s="245"/>
      <c r="C104" s="245" t="s">
        <v>348</v>
      </c>
      <c r="D104" s="245"/>
      <c r="E104" s="245" t="s">
        <v>349</v>
      </c>
      <c r="F104" s="245"/>
      <c r="G104" s="245" t="s">
        <v>350</v>
      </c>
      <c r="H104" s="245"/>
      <c r="I104" s="245"/>
      <c r="J104" s="245"/>
    </row>
    <row r="105" spans="1:10" ht="20.100000000000001" customHeight="1" x14ac:dyDescent="0.25">
      <c r="A105" s="245"/>
      <c r="B105" s="245"/>
      <c r="C105" s="245"/>
      <c r="D105" s="245"/>
      <c r="E105" s="245"/>
      <c r="F105" s="245"/>
      <c r="G105" s="245"/>
      <c r="H105" s="245"/>
      <c r="I105" s="245"/>
      <c r="J105" s="245"/>
    </row>
    <row r="106" spans="1:10" ht="20.100000000000001" customHeight="1" x14ac:dyDescent="0.25">
      <c r="A106" s="245"/>
      <c r="B106" s="245"/>
      <c r="C106" s="245"/>
      <c r="D106" s="245"/>
      <c r="E106" s="245"/>
      <c r="F106" s="245"/>
      <c r="G106" s="245" t="s">
        <v>351</v>
      </c>
      <c r="H106" s="245"/>
      <c r="I106" s="245" t="s">
        <v>352</v>
      </c>
      <c r="J106" s="245"/>
    </row>
    <row r="107" spans="1:10" ht="20.100000000000001" customHeight="1" x14ac:dyDescent="0.25">
      <c r="A107" s="246">
        <v>0</v>
      </c>
      <c r="B107" s="246"/>
      <c r="C107" s="247" t="s">
        <v>316</v>
      </c>
      <c r="D107" s="247"/>
      <c r="E107" s="248">
        <v>1</v>
      </c>
      <c r="F107" s="248"/>
      <c r="G107" s="248" t="s">
        <v>353</v>
      </c>
      <c r="H107" s="248"/>
      <c r="I107" s="248" t="s">
        <v>354</v>
      </c>
      <c r="J107" s="248"/>
    </row>
    <row r="108" spans="1:10" ht="20.100000000000001" customHeight="1" x14ac:dyDescent="0.25">
      <c r="A108" s="246">
        <v>-3.2000000000000002E-3</v>
      </c>
      <c r="B108" s="246"/>
      <c r="C108" s="247" t="s">
        <v>318</v>
      </c>
      <c r="D108" s="247"/>
      <c r="E108" s="248">
        <v>1.5</v>
      </c>
      <c r="F108" s="248"/>
      <c r="G108" s="248" t="s">
        <v>355</v>
      </c>
      <c r="H108" s="248"/>
      <c r="I108" s="248" t="s">
        <v>356</v>
      </c>
      <c r="J108" s="248"/>
    </row>
    <row r="109" spans="1:10" ht="20.100000000000001" customHeight="1" x14ac:dyDescent="0.25">
      <c r="A109" s="246">
        <v>-2.52E-2</v>
      </c>
      <c r="B109" s="246"/>
      <c r="C109" s="247" t="s">
        <v>321</v>
      </c>
      <c r="D109" s="247"/>
      <c r="E109" s="248">
        <v>2</v>
      </c>
      <c r="F109" s="248"/>
      <c r="G109" s="248" t="s">
        <v>68</v>
      </c>
      <c r="H109" s="248"/>
      <c r="I109" s="248" t="s">
        <v>318</v>
      </c>
      <c r="J109" s="248"/>
    </row>
    <row r="110" spans="1:10" ht="20.100000000000001" customHeight="1" x14ac:dyDescent="0.25">
      <c r="A110" s="246">
        <v>-8.09E-2</v>
      </c>
      <c r="B110" s="246"/>
      <c r="C110" s="247" t="s">
        <v>323</v>
      </c>
      <c r="D110" s="247"/>
      <c r="E110" s="248">
        <v>2.5</v>
      </c>
      <c r="F110" s="248"/>
      <c r="G110" s="248" t="s">
        <v>357</v>
      </c>
      <c r="H110" s="248"/>
      <c r="I110" s="248" t="s">
        <v>82</v>
      </c>
      <c r="J110" s="248"/>
    </row>
    <row r="111" spans="1:10" ht="20.100000000000001" customHeight="1" x14ac:dyDescent="0.25">
      <c r="A111" s="246">
        <v>-0.18099999999999999</v>
      </c>
      <c r="B111" s="246"/>
      <c r="C111" s="247" t="s">
        <v>326</v>
      </c>
      <c r="D111" s="247"/>
      <c r="E111" s="248">
        <v>3</v>
      </c>
      <c r="F111" s="248"/>
      <c r="G111" s="248" t="s">
        <v>7</v>
      </c>
      <c r="H111" s="248"/>
      <c r="I111" s="248" t="s">
        <v>358</v>
      </c>
      <c r="J111" s="248"/>
    </row>
    <row r="112" spans="1:10" ht="20.100000000000001" customHeight="1" x14ac:dyDescent="0.25">
      <c r="A112" s="246">
        <v>-0.33200000000000002</v>
      </c>
      <c r="B112" s="246"/>
      <c r="C112" s="247" t="s">
        <v>329</v>
      </c>
      <c r="D112" s="247"/>
      <c r="E112" s="248">
        <v>3.5</v>
      </c>
      <c r="F112" s="248"/>
      <c r="G112" s="248" t="s">
        <v>359</v>
      </c>
      <c r="H112" s="248"/>
      <c r="I112" s="248" t="s">
        <v>323</v>
      </c>
      <c r="J112" s="248"/>
    </row>
    <row r="113" spans="1:10" ht="20.100000000000001" customHeight="1" x14ac:dyDescent="0.25">
      <c r="A113" s="246">
        <v>-0.52600000000000002</v>
      </c>
      <c r="B113" s="246"/>
      <c r="C113" s="247" t="s">
        <v>332</v>
      </c>
      <c r="D113" s="247"/>
      <c r="E113" s="248">
        <v>4</v>
      </c>
      <c r="F113" s="248"/>
      <c r="G113" s="248" t="s">
        <v>360</v>
      </c>
      <c r="H113" s="248"/>
      <c r="I113" s="248" t="s">
        <v>361</v>
      </c>
      <c r="J113" s="248"/>
    </row>
    <row r="114" spans="1:10" ht="20.100000000000001" customHeight="1" x14ac:dyDescent="0.25">
      <c r="A114" s="246">
        <v>-0.752</v>
      </c>
      <c r="B114" s="246"/>
      <c r="C114" s="247" t="s">
        <v>335</v>
      </c>
      <c r="D114" s="247"/>
      <c r="E114" s="248">
        <v>4.5</v>
      </c>
      <c r="F114" s="248"/>
      <c r="G114" s="248" t="s">
        <v>362</v>
      </c>
      <c r="H114" s="248"/>
      <c r="I114" s="248" t="s">
        <v>363</v>
      </c>
      <c r="J114" s="248"/>
    </row>
    <row r="115" spans="1:10" ht="20.100000000000001" customHeight="1" x14ac:dyDescent="0.25">
      <c r="A115" s="246">
        <v>-1</v>
      </c>
      <c r="B115" s="246"/>
      <c r="C115" s="247" t="s">
        <v>82</v>
      </c>
      <c r="D115" s="247"/>
      <c r="E115" s="248">
        <v>5</v>
      </c>
      <c r="F115" s="248"/>
      <c r="G115" s="248" t="s">
        <v>364</v>
      </c>
      <c r="H115" s="248"/>
      <c r="I115" s="248" t="s">
        <v>365</v>
      </c>
      <c r="J115" s="248"/>
    </row>
    <row r="118" spans="1:10" ht="20.100000000000001" customHeight="1" x14ac:dyDescent="0.25">
      <c r="A118" s="245" t="s">
        <v>366</v>
      </c>
      <c r="B118" s="250" t="s">
        <v>367</v>
      </c>
      <c r="C118" s="251"/>
      <c r="D118" s="251"/>
      <c r="E118" s="251"/>
      <c r="F118" s="251"/>
      <c r="G118" s="251"/>
      <c r="H118" s="251"/>
      <c r="I118" s="251"/>
      <c r="J118" s="252"/>
    </row>
    <row r="119" spans="1:10" ht="20.100000000000001" customHeight="1" x14ac:dyDescent="0.25">
      <c r="A119" s="245"/>
      <c r="B119" s="247" t="s">
        <v>368</v>
      </c>
      <c r="C119" s="247"/>
      <c r="D119" s="247"/>
      <c r="E119" s="247"/>
      <c r="F119" s="247"/>
      <c r="G119" s="247"/>
      <c r="H119" s="247"/>
      <c r="I119" s="247"/>
      <c r="J119" s="247"/>
    </row>
    <row r="120" spans="1:10" ht="20.100000000000001" customHeight="1" x14ac:dyDescent="0.25">
      <c r="A120" s="245"/>
      <c r="B120" s="245" t="s">
        <v>369</v>
      </c>
      <c r="C120" s="245"/>
      <c r="D120" s="245"/>
      <c r="E120" s="245"/>
      <c r="F120" s="245"/>
      <c r="G120" s="245"/>
      <c r="H120" s="245"/>
      <c r="I120" s="245"/>
      <c r="J120" s="245"/>
    </row>
    <row r="121" spans="1:10" ht="20.100000000000001" customHeight="1" x14ac:dyDescent="0.25">
      <c r="A121" s="245"/>
      <c r="B121" s="13" t="s">
        <v>316</v>
      </c>
      <c r="C121" s="13" t="s">
        <v>318</v>
      </c>
      <c r="D121" s="13" t="s">
        <v>321</v>
      </c>
      <c r="E121" s="13" t="s">
        <v>323</v>
      </c>
      <c r="F121" s="13" t="s">
        <v>326</v>
      </c>
      <c r="G121" s="13" t="s">
        <v>329</v>
      </c>
      <c r="H121" s="13" t="s">
        <v>332</v>
      </c>
      <c r="I121" s="13" t="s">
        <v>335</v>
      </c>
      <c r="J121" s="13" t="s">
        <v>82</v>
      </c>
    </row>
    <row r="122" spans="1:10" ht="20.100000000000001" customHeight="1" x14ac:dyDescent="0.25">
      <c r="A122" s="14">
        <v>0</v>
      </c>
      <c r="B122" s="15">
        <v>0</v>
      </c>
      <c r="C122" s="15">
        <v>0.32</v>
      </c>
      <c r="D122" s="15">
        <v>2.52</v>
      </c>
      <c r="E122" s="15">
        <v>8.09</v>
      </c>
      <c r="F122" s="15">
        <v>18.100000000000001</v>
      </c>
      <c r="G122" s="15">
        <v>33.200000000000003</v>
      </c>
      <c r="H122" s="15">
        <v>52.6</v>
      </c>
      <c r="I122" s="15">
        <v>75.2</v>
      </c>
      <c r="J122" s="15">
        <v>100</v>
      </c>
    </row>
    <row r="123" spans="1:10" ht="20.100000000000001" customHeight="1" x14ac:dyDescent="0.25">
      <c r="A123" s="14">
        <f>A122+0.02</f>
        <v>0.02</v>
      </c>
      <c r="B123" s="15">
        <f>((1/2)*((A123)+(A123^2)))*100</f>
        <v>1.02</v>
      </c>
      <c r="C123" s="15">
        <f>$B123+((100-$B123)*C$122/100)</f>
        <v>1.3367360000000001</v>
      </c>
      <c r="D123" s="15">
        <f t="shared" ref="D123:J138" si="0">$B123+((100-$B123)*D$122/100)</f>
        <v>3.5142960000000003</v>
      </c>
      <c r="E123" s="15">
        <f t="shared" si="0"/>
        <v>9.0274819999999991</v>
      </c>
      <c r="F123" s="15">
        <f t="shared" si="0"/>
        <v>18.935380000000002</v>
      </c>
      <c r="G123" s="15">
        <f t="shared" si="0"/>
        <v>33.881360000000008</v>
      </c>
      <c r="H123" s="15">
        <f t="shared" si="0"/>
        <v>53.083480000000002</v>
      </c>
      <c r="I123" s="15">
        <f t="shared" si="0"/>
        <v>75.452960000000004</v>
      </c>
      <c r="J123" s="15">
        <f t="shared" si="0"/>
        <v>100</v>
      </c>
    </row>
    <row r="124" spans="1:10" ht="20.100000000000001" customHeight="1" x14ac:dyDescent="0.25">
      <c r="A124" s="14">
        <f t="shared" ref="A124:A172" si="1">A123+0.02</f>
        <v>0.04</v>
      </c>
      <c r="B124" s="15">
        <f t="shared" ref="B124:B172" si="2">((1/2)*((A124)+(A124^2)))*100</f>
        <v>2.08</v>
      </c>
      <c r="C124" s="15">
        <f t="shared" ref="C124:J155" si="3">$B124+((100-$B124)*C$122/100)</f>
        <v>2.3933439999999999</v>
      </c>
      <c r="D124" s="15">
        <f t="shared" si="0"/>
        <v>4.5475840000000005</v>
      </c>
      <c r="E124" s="15">
        <f t="shared" si="0"/>
        <v>10.001728</v>
      </c>
      <c r="F124" s="15">
        <f t="shared" si="0"/>
        <v>19.803519999999999</v>
      </c>
      <c r="G124" s="15">
        <f t="shared" si="0"/>
        <v>34.589440000000003</v>
      </c>
      <c r="H124" s="15">
        <f t="shared" si="0"/>
        <v>53.585920000000002</v>
      </c>
      <c r="I124" s="15">
        <f t="shared" si="0"/>
        <v>75.71584</v>
      </c>
      <c r="J124" s="15">
        <f t="shared" si="0"/>
        <v>100</v>
      </c>
    </row>
    <row r="125" spans="1:10" ht="20.100000000000001" customHeight="1" x14ac:dyDescent="0.25">
      <c r="A125" s="14">
        <f t="shared" si="1"/>
        <v>0.06</v>
      </c>
      <c r="B125" s="15">
        <f t="shared" si="2"/>
        <v>3.18</v>
      </c>
      <c r="C125" s="15">
        <f t="shared" si="3"/>
        <v>3.489824</v>
      </c>
      <c r="D125" s="15">
        <f t="shared" si="0"/>
        <v>5.6198639999999997</v>
      </c>
      <c r="E125" s="15">
        <f t="shared" si="0"/>
        <v>11.012737999999999</v>
      </c>
      <c r="F125" s="15">
        <f t="shared" si="0"/>
        <v>20.704419999999999</v>
      </c>
      <c r="G125" s="15">
        <f t="shared" si="0"/>
        <v>35.324239999999996</v>
      </c>
      <c r="H125" s="15">
        <f t="shared" si="0"/>
        <v>54.107320000000001</v>
      </c>
      <c r="I125" s="15">
        <f t="shared" si="0"/>
        <v>75.988640000000004</v>
      </c>
      <c r="J125" s="15">
        <f t="shared" si="0"/>
        <v>100</v>
      </c>
    </row>
    <row r="126" spans="1:10" ht="20.100000000000001" customHeight="1" x14ac:dyDescent="0.25">
      <c r="A126" s="14">
        <f t="shared" si="1"/>
        <v>0.08</v>
      </c>
      <c r="B126" s="15">
        <f t="shared" si="2"/>
        <v>4.32</v>
      </c>
      <c r="C126" s="15">
        <f t="shared" si="3"/>
        <v>4.6261760000000001</v>
      </c>
      <c r="D126" s="15">
        <f t="shared" si="0"/>
        <v>6.7311360000000011</v>
      </c>
      <c r="E126" s="15">
        <f t="shared" si="0"/>
        <v>12.060511999999999</v>
      </c>
      <c r="F126" s="15">
        <f t="shared" si="0"/>
        <v>21.638080000000002</v>
      </c>
      <c r="G126" s="15">
        <f t="shared" si="0"/>
        <v>36.085760000000008</v>
      </c>
      <c r="H126" s="15">
        <f t="shared" si="0"/>
        <v>54.647680000000008</v>
      </c>
      <c r="I126" s="15">
        <f t="shared" si="0"/>
        <v>76.271360000000016</v>
      </c>
      <c r="J126" s="15">
        <f t="shared" si="0"/>
        <v>100</v>
      </c>
    </row>
    <row r="127" spans="1:10" ht="20.100000000000001" customHeight="1" x14ac:dyDescent="0.25">
      <c r="A127" s="14">
        <f t="shared" si="1"/>
        <v>0.1</v>
      </c>
      <c r="B127" s="15">
        <f t="shared" si="2"/>
        <v>5.5000000000000009</v>
      </c>
      <c r="C127" s="15">
        <f t="shared" si="3"/>
        <v>5.8024000000000004</v>
      </c>
      <c r="D127" s="15">
        <f t="shared" si="0"/>
        <v>7.8814000000000011</v>
      </c>
      <c r="E127" s="15">
        <f t="shared" si="0"/>
        <v>13.145050000000001</v>
      </c>
      <c r="F127" s="15">
        <f t="shared" si="0"/>
        <v>22.604500000000002</v>
      </c>
      <c r="G127" s="15">
        <f t="shared" si="0"/>
        <v>36.874000000000002</v>
      </c>
      <c r="H127" s="15">
        <f t="shared" si="0"/>
        <v>55.207000000000001</v>
      </c>
      <c r="I127" s="15">
        <f t="shared" si="0"/>
        <v>76.564000000000007</v>
      </c>
      <c r="J127" s="15">
        <f t="shared" si="0"/>
        <v>100</v>
      </c>
    </row>
    <row r="128" spans="1:10" ht="20.100000000000001" customHeight="1" x14ac:dyDescent="0.25">
      <c r="A128" s="14">
        <f t="shared" si="1"/>
        <v>0.12000000000000001</v>
      </c>
      <c r="B128" s="15">
        <f t="shared" si="2"/>
        <v>6.7200000000000006</v>
      </c>
      <c r="C128" s="15">
        <f t="shared" si="3"/>
        <v>7.0184960000000007</v>
      </c>
      <c r="D128" s="15">
        <f t="shared" si="0"/>
        <v>9.0706560000000014</v>
      </c>
      <c r="E128" s="15">
        <f t="shared" si="0"/>
        <v>14.266352000000001</v>
      </c>
      <c r="F128" s="15">
        <f t="shared" si="0"/>
        <v>23.603680000000004</v>
      </c>
      <c r="G128" s="15">
        <f t="shared" si="0"/>
        <v>37.688960000000002</v>
      </c>
      <c r="H128" s="15">
        <f t="shared" si="0"/>
        <v>55.78528</v>
      </c>
      <c r="I128" s="15">
        <f t="shared" si="0"/>
        <v>76.866559999999993</v>
      </c>
      <c r="J128" s="15">
        <f t="shared" si="0"/>
        <v>100</v>
      </c>
    </row>
    <row r="129" spans="1:10" ht="20.100000000000001" customHeight="1" x14ac:dyDescent="0.25">
      <c r="A129" s="14">
        <f t="shared" si="1"/>
        <v>0.14000000000000001</v>
      </c>
      <c r="B129" s="15">
        <f t="shared" si="2"/>
        <v>7.9800000000000013</v>
      </c>
      <c r="C129" s="15">
        <f t="shared" si="3"/>
        <v>8.2744640000000018</v>
      </c>
      <c r="D129" s="15">
        <f t="shared" si="0"/>
        <v>10.298904</v>
      </c>
      <c r="E129" s="15">
        <f t="shared" si="0"/>
        <v>15.424418000000001</v>
      </c>
      <c r="F129" s="15">
        <f t="shared" si="0"/>
        <v>24.635620000000003</v>
      </c>
      <c r="G129" s="15">
        <f t="shared" si="0"/>
        <v>38.530640000000005</v>
      </c>
      <c r="H129" s="15">
        <f t="shared" si="0"/>
        <v>56.38252</v>
      </c>
      <c r="I129" s="15">
        <f t="shared" si="0"/>
        <v>77.179040000000001</v>
      </c>
      <c r="J129" s="15">
        <f t="shared" si="0"/>
        <v>100</v>
      </c>
    </row>
    <row r="130" spans="1:10" ht="20.100000000000001" customHeight="1" x14ac:dyDescent="0.25">
      <c r="A130" s="14">
        <f t="shared" si="1"/>
        <v>0.16</v>
      </c>
      <c r="B130" s="15">
        <f t="shared" si="2"/>
        <v>9.2800000000000011</v>
      </c>
      <c r="C130" s="15">
        <f t="shared" si="3"/>
        <v>9.5703040000000019</v>
      </c>
      <c r="D130" s="15">
        <f t="shared" si="0"/>
        <v>11.566144000000001</v>
      </c>
      <c r="E130" s="15">
        <f t="shared" si="0"/>
        <v>16.619248000000002</v>
      </c>
      <c r="F130" s="15">
        <f t="shared" si="0"/>
        <v>25.700320000000001</v>
      </c>
      <c r="G130" s="15">
        <f t="shared" si="0"/>
        <v>39.399039999999999</v>
      </c>
      <c r="H130" s="15">
        <f t="shared" si="0"/>
        <v>56.998720000000006</v>
      </c>
      <c r="I130" s="15">
        <f t="shared" si="0"/>
        <v>77.501440000000002</v>
      </c>
      <c r="J130" s="15">
        <f t="shared" si="0"/>
        <v>100</v>
      </c>
    </row>
    <row r="131" spans="1:10" ht="20.100000000000001" customHeight="1" x14ac:dyDescent="0.25">
      <c r="A131" s="14">
        <f t="shared" si="1"/>
        <v>0.18</v>
      </c>
      <c r="B131" s="15">
        <f t="shared" si="2"/>
        <v>10.62</v>
      </c>
      <c r="C131" s="15">
        <f t="shared" si="3"/>
        <v>10.906015999999999</v>
      </c>
      <c r="D131" s="15">
        <f t="shared" si="0"/>
        <v>12.872375999999999</v>
      </c>
      <c r="E131" s="15">
        <f t="shared" si="0"/>
        <v>17.850842</v>
      </c>
      <c r="F131" s="15">
        <f t="shared" si="0"/>
        <v>26.797779999999996</v>
      </c>
      <c r="G131" s="15">
        <f t="shared" si="0"/>
        <v>40.294159999999998</v>
      </c>
      <c r="H131" s="15">
        <f t="shared" si="0"/>
        <v>57.633879999999998</v>
      </c>
      <c r="I131" s="15">
        <f t="shared" si="0"/>
        <v>77.833760000000012</v>
      </c>
      <c r="J131" s="15">
        <f t="shared" si="0"/>
        <v>100</v>
      </c>
    </row>
    <row r="132" spans="1:10" ht="20.100000000000001" customHeight="1" x14ac:dyDescent="0.25">
      <c r="A132" s="14">
        <f t="shared" si="1"/>
        <v>0.19999999999999998</v>
      </c>
      <c r="B132" s="15">
        <f t="shared" si="2"/>
        <v>12</v>
      </c>
      <c r="C132" s="15">
        <f t="shared" si="3"/>
        <v>12.281599999999999</v>
      </c>
      <c r="D132" s="15">
        <f t="shared" si="0"/>
        <v>14.217600000000001</v>
      </c>
      <c r="E132" s="15">
        <f t="shared" si="0"/>
        <v>19.119199999999999</v>
      </c>
      <c r="F132" s="15">
        <f t="shared" si="0"/>
        <v>27.928000000000004</v>
      </c>
      <c r="G132" s="15">
        <f t="shared" si="0"/>
        <v>41.216000000000008</v>
      </c>
      <c r="H132" s="15">
        <f t="shared" si="0"/>
        <v>58.288000000000004</v>
      </c>
      <c r="I132" s="15">
        <f t="shared" si="0"/>
        <v>78.176000000000002</v>
      </c>
      <c r="J132" s="15">
        <f t="shared" si="0"/>
        <v>100</v>
      </c>
    </row>
    <row r="133" spans="1:10" ht="20.100000000000001" customHeight="1" x14ac:dyDescent="0.25">
      <c r="A133" s="14">
        <f t="shared" si="1"/>
        <v>0.21999999999999997</v>
      </c>
      <c r="B133" s="15">
        <f t="shared" si="2"/>
        <v>13.419999999999998</v>
      </c>
      <c r="C133" s="15">
        <f t="shared" si="3"/>
        <v>13.697055999999998</v>
      </c>
      <c r="D133" s="15">
        <f t="shared" si="0"/>
        <v>15.601815999999998</v>
      </c>
      <c r="E133" s="15">
        <f t="shared" si="0"/>
        <v>20.424321999999997</v>
      </c>
      <c r="F133" s="15">
        <f t="shared" si="0"/>
        <v>29.090980000000002</v>
      </c>
      <c r="G133" s="15">
        <f t="shared" si="0"/>
        <v>42.164559999999994</v>
      </c>
      <c r="H133" s="15">
        <f t="shared" si="0"/>
        <v>58.961079999999995</v>
      </c>
      <c r="I133" s="15">
        <f t="shared" si="0"/>
        <v>78.52816</v>
      </c>
      <c r="J133" s="15">
        <f t="shared" si="0"/>
        <v>100</v>
      </c>
    </row>
    <row r="134" spans="1:10" ht="20.100000000000001" customHeight="1" x14ac:dyDescent="0.25">
      <c r="A134" s="14">
        <f t="shared" si="1"/>
        <v>0.23999999999999996</v>
      </c>
      <c r="B134" s="15">
        <f t="shared" si="2"/>
        <v>14.879999999999999</v>
      </c>
      <c r="C134" s="15">
        <f t="shared" si="3"/>
        <v>15.152384</v>
      </c>
      <c r="D134" s="15">
        <f t="shared" si="0"/>
        <v>17.025023999999998</v>
      </c>
      <c r="E134" s="15">
        <f t="shared" si="0"/>
        <v>21.766207999999999</v>
      </c>
      <c r="F134" s="15">
        <f t="shared" si="0"/>
        <v>30.286720000000003</v>
      </c>
      <c r="G134" s="15">
        <f t="shared" si="0"/>
        <v>43.139840000000007</v>
      </c>
      <c r="H134" s="15">
        <f t="shared" si="0"/>
        <v>59.653120000000001</v>
      </c>
      <c r="I134" s="15">
        <f t="shared" si="0"/>
        <v>78.890240000000006</v>
      </c>
      <c r="J134" s="15">
        <f t="shared" si="0"/>
        <v>100</v>
      </c>
    </row>
    <row r="135" spans="1:10" ht="20.100000000000001" customHeight="1" x14ac:dyDescent="0.25">
      <c r="A135" s="14">
        <f t="shared" si="1"/>
        <v>0.25999999999999995</v>
      </c>
      <c r="B135" s="15">
        <f t="shared" si="2"/>
        <v>16.38</v>
      </c>
      <c r="C135" s="15">
        <f t="shared" si="3"/>
        <v>16.647583999999998</v>
      </c>
      <c r="D135" s="15">
        <f t="shared" si="0"/>
        <v>18.487223999999998</v>
      </c>
      <c r="E135" s="15">
        <f t="shared" si="0"/>
        <v>23.144857999999999</v>
      </c>
      <c r="F135" s="15">
        <f t="shared" si="0"/>
        <v>31.515219999999999</v>
      </c>
      <c r="G135" s="15">
        <f t="shared" si="0"/>
        <v>44.141840000000002</v>
      </c>
      <c r="H135" s="15">
        <f t="shared" si="0"/>
        <v>60.36412</v>
      </c>
      <c r="I135" s="15">
        <f t="shared" si="0"/>
        <v>79.262240000000006</v>
      </c>
      <c r="J135" s="15">
        <f t="shared" si="0"/>
        <v>100</v>
      </c>
    </row>
    <row r="136" spans="1:10" ht="20.100000000000001" customHeight="1" x14ac:dyDescent="0.25">
      <c r="A136" s="14">
        <f t="shared" si="1"/>
        <v>0.27999999999999997</v>
      </c>
      <c r="B136" s="15">
        <f t="shared" si="2"/>
        <v>17.919999999999998</v>
      </c>
      <c r="C136" s="15">
        <f t="shared" si="3"/>
        <v>18.182655999999998</v>
      </c>
      <c r="D136" s="15">
        <f t="shared" si="0"/>
        <v>19.988415999999997</v>
      </c>
      <c r="E136" s="15">
        <f t="shared" si="0"/>
        <v>24.560271999999998</v>
      </c>
      <c r="F136" s="15">
        <f t="shared" si="0"/>
        <v>32.776479999999999</v>
      </c>
      <c r="G136" s="15">
        <f t="shared" si="0"/>
        <v>45.170559999999995</v>
      </c>
      <c r="H136" s="15">
        <f t="shared" si="0"/>
        <v>61.094080000000005</v>
      </c>
      <c r="I136" s="15">
        <f t="shared" si="0"/>
        <v>79.644159999999999</v>
      </c>
      <c r="J136" s="15">
        <f t="shared" si="0"/>
        <v>100</v>
      </c>
    </row>
    <row r="137" spans="1:10" ht="20.100000000000001" customHeight="1" x14ac:dyDescent="0.25">
      <c r="A137" s="14">
        <f t="shared" si="1"/>
        <v>0.3</v>
      </c>
      <c r="B137" s="15">
        <f t="shared" si="2"/>
        <v>19.5</v>
      </c>
      <c r="C137" s="15">
        <f t="shared" si="3"/>
        <v>19.7576</v>
      </c>
      <c r="D137" s="15">
        <f t="shared" si="0"/>
        <v>21.528600000000001</v>
      </c>
      <c r="E137" s="15">
        <f t="shared" si="0"/>
        <v>26.012450000000001</v>
      </c>
      <c r="F137" s="15">
        <f t="shared" si="0"/>
        <v>34.070500000000003</v>
      </c>
      <c r="G137" s="15">
        <f t="shared" si="0"/>
        <v>46.225999999999999</v>
      </c>
      <c r="H137" s="15">
        <f t="shared" si="0"/>
        <v>61.843000000000004</v>
      </c>
      <c r="I137" s="15">
        <f t="shared" si="0"/>
        <v>80.036000000000001</v>
      </c>
      <c r="J137" s="15">
        <f t="shared" si="0"/>
        <v>100</v>
      </c>
    </row>
    <row r="138" spans="1:10" ht="20.100000000000001" customHeight="1" x14ac:dyDescent="0.25">
      <c r="A138" s="14">
        <f t="shared" si="1"/>
        <v>0.32</v>
      </c>
      <c r="B138" s="15">
        <f t="shared" si="2"/>
        <v>21.12</v>
      </c>
      <c r="C138" s="15">
        <f t="shared" si="3"/>
        <v>21.372416000000001</v>
      </c>
      <c r="D138" s="15">
        <f t="shared" si="0"/>
        <v>23.107776000000001</v>
      </c>
      <c r="E138" s="15">
        <f t="shared" si="0"/>
        <v>27.501392000000003</v>
      </c>
      <c r="F138" s="15">
        <f t="shared" si="0"/>
        <v>35.397280000000002</v>
      </c>
      <c r="G138" s="15">
        <f t="shared" si="0"/>
        <v>47.308160000000001</v>
      </c>
      <c r="H138" s="15">
        <f t="shared" si="0"/>
        <v>62.610879999999995</v>
      </c>
      <c r="I138" s="15">
        <f t="shared" si="0"/>
        <v>80.437759999999997</v>
      </c>
      <c r="J138" s="15">
        <f t="shared" si="0"/>
        <v>100</v>
      </c>
    </row>
    <row r="139" spans="1:10" ht="20.100000000000001" customHeight="1" x14ac:dyDescent="0.25">
      <c r="A139" s="14">
        <f t="shared" si="1"/>
        <v>0.34</v>
      </c>
      <c r="B139" s="15">
        <f t="shared" si="2"/>
        <v>22.780000000000005</v>
      </c>
      <c r="C139" s="15">
        <f t="shared" si="3"/>
        <v>23.027104000000005</v>
      </c>
      <c r="D139" s="15">
        <f t="shared" si="3"/>
        <v>24.725944000000005</v>
      </c>
      <c r="E139" s="15">
        <f t="shared" si="3"/>
        <v>29.027098000000002</v>
      </c>
      <c r="F139" s="15">
        <f t="shared" si="3"/>
        <v>36.756820000000005</v>
      </c>
      <c r="G139" s="15">
        <f t="shared" si="3"/>
        <v>48.417040000000007</v>
      </c>
      <c r="H139" s="15">
        <f t="shared" si="3"/>
        <v>63.397720000000007</v>
      </c>
      <c r="I139" s="15">
        <f t="shared" si="3"/>
        <v>80.849440000000016</v>
      </c>
      <c r="J139" s="15">
        <f t="shared" si="3"/>
        <v>100</v>
      </c>
    </row>
    <row r="140" spans="1:10" ht="20.100000000000001" customHeight="1" x14ac:dyDescent="0.25">
      <c r="A140" s="14">
        <f t="shared" si="1"/>
        <v>0.36000000000000004</v>
      </c>
      <c r="B140" s="15">
        <f t="shared" si="2"/>
        <v>24.48</v>
      </c>
      <c r="C140" s="15">
        <f t="shared" si="3"/>
        <v>24.721664000000001</v>
      </c>
      <c r="D140" s="15">
        <f t="shared" si="3"/>
        <v>26.383103999999999</v>
      </c>
      <c r="E140" s="15">
        <f t="shared" si="3"/>
        <v>30.589568</v>
      </c>
      <c r="F140" s="15">
        <f t="shared" si="3"/>
        <v>38.149119999999996</v>
      </c>
      <c r="G140" s="15">
        <f t="shared" si="3"/>
        <v>49.552639999999997</v>
      </c>
      <c r="H140" s="15">
        <f t="shared" si="3"/>
        <v>64.203519999999997</v>
      </c>
      <c r="I140" s="15">
        <f t="shared" si="3"/>
        <v>81.271039999999999</v>
      </c>
      <c r="J140" s="15">
        <f t="shared" si="3"/>
        <v>100</v>
      </c>
    </row>
    <row r="141" spans="1:10" ht="20.100000000000001" customHeight="1" x14ac:dyDescent="0.25">
      <c r="A141" s="14">
        <f t="shared" si="1"/>
        <v>0.38000000000000006</v>
      </c>
      <c r="B141" s="15">
        <f t="shared" si="2"/>
        <v>26.220000000000006</v>
      </c>
      <c r="C141" s="15">
        <f t="shared" si="3"/>
        <v>26.456096000000006</v>
      </c>
      <c r="D141" s="15">
        <f t="shared" si="3"/>
        <v>28.079256000000004</v>
      </c>
      <c r="E141" s="15">
        <f t="shared" si="3"/>
        <v>32.188802000000003</v>
      </c>
      <c r="F141" s="15">
        <f t="shared" si="3"/>
        <v>39.574180000000005</v>
      </c>
      <c r="G141" s="15">
        <f t="shared" si="3"/>
        <v>50.714960000000005</v>
      </c>
      <c r="H141" s="15">
        <f t="shared" si="3"/>
        <v>65.028279999999995</v>
      </c>
      <c r="I141" s="15">
        <f t="shared" si="3"/>
        <v>81.702560000000005</v>
      </c>
      <c r="J141" s="15">
        <f t="shared" si="3"/>
        <v>100</v>
      </c>
    </row>
    <row r="142" spans="1:10" ht="20.100000000000001" customHeight="1" x14ac:dyDescent="0.25">
      <c r="A142" s="14">
        <f t="shared" si="1"/>
        <v>0.40000000000000008</v>
      </c>
      <c r="B142" s="15">
        <f t="shared" si="2"/>
        <v>28.000000000000007</v>
      </c>
      <c r="C142" s="15">
        <f t="shared" si="3"/>
        <v>28.230400000000007</v>
      </c>
      <c r="D142" s="15">
        <f t="shared" si="3"/>
        <v>29.814400000000006</v>
      </c>
      <c r="E142" s="15">
        <f t="shared" si="3"/>
        <v>33.82480000000001</v>
      </c>
      <c r="F142" s="15">
        <f t="shared" si="3"/>
        <v>41.032000000000011</v>
      </c>
      <c r="G142" s="15">
        <f t="shared" si="3"/>
        <v>51.904000000000011</v>
      </c>
      <c r="H142" s="15">
        <f t="shared" si="3"/>
        <v>65.872000000000014</v>
      </c>
      <c r="I142" s="15">
        <f t="shared" si="3"/>
        <v>82.144000000000005</v>
      </c>
      <c r="J142" s="15">
        <f t="shared" si="3"/>
        <v>100</v>
      </c>
    </row>
    <row r="143" spans="1:10" ht="20.100000000000001" customHeight="1" x14ac:dyDescent="0.25">
      <c r="A143" s="14">
        <f t="shared" si="1"/>
        <v>0.4200000000000001</v>
      </c>
      <c r="B143" s="15">
        <f t="shared" si="2"/>
        <v>29.820000000000007</v>
      </c>
      <c r="C143" s="15">
        <f t="shared" si="3"/>
        <v>30.044576000000006</v>
      </c>
      <c r="D143" s="15">
        <f t="shared" si="3"/>
        <v>31.588536000000008</v>
      </c>
      <c r="E143" s="15">
        <f t="shared" si="3"/>
        <v>35.497562000000009</v>
      </c>
      <c r="F143" s="15">
        <f t="shared" si="3"/>
        <v>42.522580000000005</v>
      </c>
      <c r="G143" s="15">
        <f t="shared" si="3"/>
        <v>53.119760000000014</v>
      </c>
      <c r="H143" s="15">
        <f t="shared" si="3"/>
        <v>66.734679999999997</v>
      </c>
      <c r="I143" s="15">
        <f t="shared" si="3"/>
        <v>82.595359999999999</v>
      </c>
      <c r="J143" s="15">
        <f t="shared" si="3"/>
        <v>100</v>
      </c>
    </row>
    <row r="144" spans="1:10" ht="20.100000000000001" customHeight="1" x14ac:dyDescent="0.25">
      <c r="A144" s="14">
        <f t="shared" si="1"/>
        <v>0.44000000000000011</v>
      </c>
      <c r="B144" s="15">
        <f t="shared" si="2"/>
        <v>31.680000000000007</v>
      </c>
      <c r="C144" s="15">
        <f t="shared" si="3"/>
        <v>31.898624000000005</v>
      </c>
      <c r="D144" s="15">
        <f t="shared" si="3"/>
        <v>33.401664000000004</v>
      </c>
      <c r="E144" s="15">
        <f t="shared" si="3"/>
        <v>37.207088000000006</v>
      </c>
      <c r="F144" s="15">
        <f t="shared" si="3"/>
        <v>44.04592000000001</v>
      </c>
      <c r="G144" s="15">
        <f t="shared" si="3"/>
        <v>54.362240000000007</v>
      </c>
      <c r="H144" s="15">
        <f t="shared" si="3"/>
        <v>67.616320000000002</v>
      </c>
      <c r="I144" s="15">
        <f t="shared" si="3"/>
        <v>83.056640000000002</v>
      </c>
      <c r="J144" s="15">
        <f t="shared" si="3"/>
        <v>100</v>
      </c>
    </row>
    <row r="145" spans="1:10" ht="20.100000000000001" customHeight="1" x14ac:dyDescent="0.25">
      <c r="A145" s="14">
        <f t="shared" si="1"/>
        <v>0.46000000000000013</v>
      </c>
      <c r="B145" s="15">
        <f t="shared" si="2"/>
        <v>33.580000000000013</v>
      </c>
      <c r="C145" s="15">
        <f t="shared" si="3"/>
        <v>33.792544000000014</v>
      </c>
      <c r="D145" s="15">
        <f t="shared" si="3"/>
        <v>35.25378400000001</v>
      </c>
      <c r="E145" s="15">
        <f t="shared" si="3"/>
        <v>38.953378000000015</v>
      </c>
      <c r="F145" s="15">
        <f t="shared" si="3"/>
        <v>45.60202000000001</v>
      </c>
      <c r="G145" s="15">
        <f t="shared" si="3"/>
        <v>55.631440000000012</v>
      </c>
      <c r="H145" s="15">
        <f t="shared" si="3"/>
        <v>68.516919999999999</v>
      </c>
      <c r="I145" s="15">
        <f t="shared" si="3"/>
        <v>83.527840000000012</v>
      </c>
      <c r="J145" s="15">
        <f t="shared" si="3"/>
        <v>100</v>
      </c>
    </row>
    <row r="146" spans="1:10" ht="20.100000000000001" customHeight="1" x14ac:dyDescent="0.25">
      <c r="A146" s="14">
        <f t="shared" si="1"/>
        <v>0.48000000000000015</v>
      </c>
      <c r="B146" s="15">
        <f t="shared" si="2"/>
        <v>35.52000000000001</v>
      </c>
      <c r="C146" s="15">
        <f t="shared" si="3"/>
        <v>35.726336000000011</v>
      </c>
      <c r="D146" s="15">
        <f t="shared" si="3"/>
        <v>37.14489600000001</v>
      </c>
      <c r="E146" s="15">
        <f t="shared" si="3"/>
        <v>40.736432000000008</v>
      </c>
      <c r="F146" s="15">
        <f t="shared" si="3"/>
        <v>47.190880000000007</v>
      </c>
      <c r="G146" s="15">
        <f t="shared" si="3"/>
        <v>56.927360000000007</v>
      </c>
      <c r="H146" s="15">
        <f t="shared" si="3"/>
        <v>69.436480000000017</v>
      </c>
      <c r="I146" s="15">
        <f t="shared" si="3"/>
        <v>84.008960000000002</v>
      </c>
      <c r="J146" s="15">
        <f t="shared" si="3"/>
        <v>100</v>
      </c>
    </row>
    <row r="147" spans="1:10" ht="20.100000000000001" customHeight="1" x14ac:dyDescent="0.25">
      <c r="A147" s="14">
        <f t="shared" si="1"/>
        <v>0.50000000000000011</v>
      </c>
      <c r="B147" s="15">
        <f t="shared" si="2"/>
        <v>37.500000000000014</v>
      </c>
      <c r="C147" s="15">
        <f t="shared" si="3"/>
        <v>37.700000000000017</v>
      </c>
      <c r="D147" s="15">
        <f t="shared" si="3"/>
        <v>39.075000000000017</v>
      </c>
      <c r="E147" s="15">
        <f t="shared" si="3"/>
        <v>42.556250000000013</v>
      </c>
      <c r="F147" s="15">
        <f t="shared" si="3"/>
        <v>48.812500000000014</v>
      </c>
      <c r="G147" s="15">
        <f t="shared" si="3"/>
        <v>58.250000000000014</v>
      </c>
      <c r="H147" s="15">
        <f t="shared" si="3"/>
        <v>70.375</v>
      </c>
      <c r="I147" s="15">
        <f t="shared" si="3"/>
        <v>84.5</v>
      </c>
      <c r="J147" s="15">
        <f t="shared" si="3"/>
        <v>100</v>
      </c>
    </row>
    <row r="148" spans="1:10" ht="20.100000000000001" customHeight="1" x14ac:dyDescent="0.25">
      <c r="A148" s="14">
        <f t="shared" si="1"/>
        <v>0.52000000000000013</v>
      </c>
      <c r="B148" s="15">
        <f t="shared" si="2"/>
        <v>39.52000000000001</v>
      </c>
      <c r="C148" s="15">
        <f t="shared" si="3"/>
        <v>39.713536000000012</v>
      </c>
      <c r="D148" s="15">
        <f t="shared" si="3"/>
        <v>41.04409600000001</v>
      </c>
      <c r="E148" s="15">
        <f t="shared" si="3"/>
        <v>44.412832000000009</v>
      </c>
      <c r="F148" s="15">
        <f t="shared" si="3"/>
        <v>50.46688000000001</v>
      </c>
      <c r="G148" s="15">
        <f t="shared" si="3"/>
        <v>59.599360000000004</v>
      </c>
      <c r="H148" s="15">
        <f t="shared" si="3"/>
        <v>71.332480000000004</v>
      </c>
      <c r="I148" s="15">
        <f t="shared" si="3"/>
        <v>85.000960000000006</v>
      </c>
      <c r="J148" s="15">
        <f t="shared" si="3"/>
        <v>100</v>
      </c>
    </row>
    <row r="149" spans="1:10" ht="20.100000000000001" customHeight="1" x14ac:dyDescent="0.25">
      <c r="A149" s="14">
        <f t="shared" si="1"/>
        <v>0.54000000000000015</v>
      </c>
      <c r="B149" s="15">
        <f t="shared" si="2"/>
        <v>41.58000000000002</v>
      </c>
      <c r="C149" s="15">
        <f t="shared" si="3"/>
        <v>41.766944000000017</v>
      </c>
      <c r="D149" s="15">
        <f t="shared" si="3"/>
        <v>43.052184000000018</v>
      </c>
      <c r="E149" s="15">
        <f t="shared" si="3"/>
        <v>46.306178000000017</v>
      </c>
      <c r="F149" s="15">
        <f t="shared" si="3"/>
        <v>52.154020000000017</v>
      </c>
      <c r="G149" s="15">
        <f t="shared" si="3"/>
        <v>60.975440000000013</v>
      </c>
      <c r="H149" s="15">
        <f t="shared" si="3"/>
        <v>72.308920000000001</v>
      </c>
      <c r="I149" s="15">
        <f t="shared" si="3"/>
        <v>85.511840000000007</v>
      </c>
      <c r="J149" s="15">
        <f t="shared" si="3"/>
        <v>100</v>
      </c>
    </row>
    <row r="150" spans="1:10" ht="20.100000000000001" customHeight="1" x14ac:dyDescent="0.25">
      <c r="A150" s="14">
        <f t="shared" si="1"/>
        <v>0.56000000000000016</v>
      </c>
      <c r="B150" s="15">
        <f t="shared" si="2"/>
        <v>43.680000000000021</v>
      </c>
      <c r="C150" s="15">
        <f t="shared" si="3"/>
        <v>43.860224000000024</v>
      </c>
      <c r="D150" s="15">
        <f t="shared" si="3"/>
        <v>45.099264000000019</v>
      </c>
      <c r="E150" s="15">
        <f t="shared" si="3"/>
        <v>48.236288000000016</v>
      </c>
      <c r="F150" s="15">
        <f t="shared" si="3"/>
        <v>53.87392000000002</v>
      </c>
      <c r="G150" s="15">
        <f t="shared" si="3"/>
        <v>62.378240000000019</v>
      </c>
      <c r="H150" s="15">
        <f t="shared" si="3"/>
        <v>73.304320000000018</v>
      </c>
      <c r="I150" s="15">
        <f t="shared" si="3"/>
        <v>86.032640000000001</v>
      </c>
      <c r="J150" s="15">
        <f t="shared" si="3"/>
        <v>100</v>
      </c>
    </row>
    <row r="151" spans="1:10" ht="20.100000000000001" customHeight="1" x14ac:dyDescent="0.25">
      <c r="A151" s="14">
        <f t="shared" si="1"/>
        <v>0.58000000000000018</v>
      </c>
      <c r="B151" s="15">
        <f t="shared" si="2"/>
        <v>45.820000000000014</v>
      </c>
      <c r="C151" s="15">
        <f t="shared" si="3"/>
        <v>45.993376000000012</v>
      </c>
      <c r="D151" s="15">
        <f t="shared" si="3"/>
        <v>47.185336000000014</v>
      </c>
      <c r="E151" s="15">
        <f t="shared" si="3"/>
        <v>50.203162000000013</v>
      </c>
      <c r="F151" s="15">
        <f t="shared" si="3"/>
        <v>55.626580000000011</v>
      </c>
      <c r="G151" s="15">
        <f t="shared" si="3"/>
        <v>63.807760000000009</v>
      </c>
      <c r="H151" s="15">
        <f t="shared" si="3"/>
        <v>74.318680000000001</v>
      </c>
      <c r="I151" s="15">
        <f t="shared" si="3"/>
        <v>86.563360000000003</v>
      </c>
      <c r="J151" s="15">
        <f t="shared" si="3"/>
        <v>100</v>
      </c>
    </row>
    <row r="152" spans="1:10" ht="20.100000000000001" customHeight="1" x14ac:dyDescent="0.25">
      <c r="A152" s="14">
        <f t="shared" si="1"/>
        <v>0.6000000000000002</v>
      </c>
      <c r="B152" s="15">
        <f t="shared" si="2"/>
        <v>48.000000000000021</v>
      </c>
      <c r="C152" s="15">
        <f t="shared" si="3"/>
        <v>48.166400000000024</v>
      </c>
      <c r="D152" s="15">
        <f t="shared" si="3"/>
        <v>49.310400000000023</v>
      </c>
      <c r="E152" s="15">
        <f t="shared" si="3"/>
        <v>52.206800000000023</v>
      </c>
      <c r="F152" s="15">
        <f t="shared" si="3"/>
        <v>57.41200000000002</v>
      </c>
      <c r="G152" s="15">
        <f t="shared" si="3"/>
        <v>65.26400000000001</v>
      </c>
      <c r="H152" s="15">
        <f t="shared" si="3"/>
        <v>75.352000000000004</v>
      </c>
      <c r="I152" s="15">
        <f t="shared" si="3"/>
        <v>87.104000000000013</v>
      </c>
      <c r="J152" s="15">
        <f t="shared" si="3"/>
        <v>100</v>
      </c>
    </row>
    <row r="153" spans="1:10" ht="20.100000000000001" customHeight="1" x14ac:dyDescent="0.25">
      <c r="A153" s="14">
        <f t="shared" si="1"/>
        <v>0.62000000000000022</v>
      </c>
      <c r="B153" s="15">
        <f t="shared" si="2"/>
        <v>50.22000000000002</v>
      </c>
      <c r="C153" s="15">
        <f t="shared" si="3"/>
        <v>50.379296000000018</v>
      </c>
      <c r="D153" s="15">
        <f t="shared" si="3"/>
        <v>51.474456000000018</v>
      </c>
      <c r="E153" s="15">
        <f t="shared" si="3"/>
        <v>54.247202000000016</v>
      </c>
      <c r="F153" s="15">
        <f t="shared" si="3"/>
        <v>59.230180000000018</v>
      </c>
      <c r="G153" s="15">
        <f t="shared" si="3"/>
        <v>66.746960000000016</v>
      </c>
      <c r="H153" s="15">
        <f t="shared" si="3"/>
        <v>76.404280000000014</v>
      </c>
      <c r="I153" s="15">
        <f t="shared" si="3"/>
        <v>87.654560000000004</v>
      </c>
      <c r="J153" s="15">
        <f t="shared" si="3"/>
        <v>100</v>
      </c>
    </row>
    <row r="154" spans="1:10" ht="20.100000000000001" customHeight="1" x14ac:dyDescent="0.25">
      <c r="A154" s="14">
        <f t="shared" si="1"/>
        <v>0.64000000000000024</v>
      </c>
      <c r="B154" s="15">
        <f t="shared" si="2"/>
        <v>52.480000000000025</v>
      </c>
      <c r="C154" s="15">
        <f t="shared" si="3"/>
        <v>52.632064000000028</v>
      </c>
      <c r="D154" s="15">
        <f t="shared" si="3"/>
        <v>53.677504000000027</v>
      </c>
      <c r="E154" s="15">
        <f t="shared" si="3"/>
        <v>56.324368000000021</v>
      </c>
      <c r="F154" s="15">
        <f t="shared" si="3"/>
        <v>61.08112000000002</v>
      </c>
      <c r="G154" s="15">
        <f t="shared" si="3"/>
        <v>68.256640000000019</v>
      </c>
      <c r="H154" s="15">
        <f t="shared" si="3"/>
        <v>77.475520000000017</v>
      </c>
      <c r="I154" s="15">
        <f t="shared" si="3"/>
        <v>88.215040000000016</v>
      </c>
      <c r="J154" s="15">
        <f t="shared" si="3"/>
        <v>100</v>
      </c>
    </row>
    <row r="155" spans="1:10" ht="20.100000000000001" customHeight="1" x14ac:dyDescent="0.25">
      <c r="A155" s="14">
        <f t="shared" si="1"/>
        <v>0.66000000000000025</v>
      </c>
      <c r="B155" s="15">
        <f t="shared" si="2"/>
        <v>54.78000000000003</v>
      </c>
      <c r="C155" s="15">
        <f t="shared" si="3"/>
        <v>54.924704000000027</v>
      </c>
      <c r="D155" s="15">
        <f t="shared" si="3"/>
        <v>55.91954400000003</v>
      </c>
      <c r="E155" s="15">
        <f t="shared" si="3"/>
        <v>58.438298000000025</v>
      </c>
      <c r="F155" s="15">
        <f t="shared" si="3"/>
        <v>62.964820000000024</v>
      </c>
      <c r="G155" s="15">
        <f t="shared" si="3"/>
        <v>69.793040000000019</v>
      </c>
      <c r="H155" s="15">
        <f t="shared" si="3"/>
        <v>78.565720000000013</v>
      </c>
      <c r="I155" s="15">
        <f t="shared" si="3"/>
        <v>88.785440000000008</v>
      </c>
      <c r="J155" s="15">
        <f t="shared" si="3"/>
        <v>100</v>
      </c>
    </row>
    <row r="156" spans="1:10" ht="20.100000000000001" customHeight="1" x14ac:dyDescent="0.25">
      <c r="A156" s="14">
        <f t="shared" si="1"/>
        <v>0.68000000000000027</v>
      </c>
      <c r="B156" s="15">
        <f t="shared" si="2"/>
        <v>57.12000000000004</v>
      </c>
      <c r="C156" s="15">
        <f t="shared" ref="C156:J172" si="4">$B156+((100-$B156)*C$122/100)</f>
        <v>57.257216000000042</v>
      </c>
      <c r="D156" s="15">
        <f t="shared" si="4"/>
        <v>58.200576000000041</v>
      </c>
      <c r="E156" s="15">
        <f t="shared" si="4"/>
        <v>60.588992000000033</v>
      </c>
      <c r="F156" s="15">
        <f t="shared" si="4"/>
        <v>64.881280000000032</v>
      </c>
      <c r="G156" s="15">
        <f t="shared" si="4"/>
        <v>71.356160000000031</v>
      </c>
      <c r="H156" s="15">
        <f t="shared" si="4"/>
        <v>79.674880000000016</v>
      </c>
      <c r="I156" s="15">
        <f t="shared" si="4"/>
        <v>89.365760000000023</v>
      </c>
      <c r="J156" s="15">
        <f t="shared" si="4"/>
        <v>100</v>
      </c>
    </row>
    <row r="157" spans="1:10" ht="20.100000000000001" customHeight="1" x14ac:dyDescent="0.25">
      <c r="A157" s="14">
        <f t="shared" si="1"/>
        <v>0.70000000000000029</v>
      </c>
      <c r="B157" s="15">
        <f t="shared" si="2"/>
        <v>59.500000000000028</v>
      </c>
      <c r="C157" s="15">
        <f t="shared" si="4"/>
        <v>59.629600000000025</v>
      </c>
      <c r="D157" s="15">
        <f t="shared" si="4"/>
        <v>60.52060000000003</v>
      </c>
      <c r="E157" s="15">
        <f t="shared" si="4"/>
        <v>62.776450000000025</v>
      </c>
      <c r="F157" s="15">
        <f t="shared" si="4"/>
        <v>66.830500000000029</v>
      </c>
      <c r="G157" s="15">
        <f t="shared" si="4"/>
        <v>72.946000000000026</v>
      </c>
      <c r="H157" s="15">
        <f t="shared" si="4"/>
        <v>80.803000000000011</v>
      </c>
      <c r="I157" s="15">
        <f t="shared" si="4"/>
        <v>89.956000000000017</v>
      </c>
      <c r="J157" s="15">
        <f t="shared" si="4"/>
        <v>100</v>
      </c>
    </row>
    <row r="158" spans="1:10" ht="20.100000000000001" customHeight="1" x14ac:dyDescent="0.25">
      <c r="A158" s="14">
        <f t="shared" si="1"/>
        <v>0.72000000000000031</v>
      </c>
      <c r="B158" s="15">
        <f t="shared" si="2"/>
        <v>61.920000000000044</v>
      </c>
      <c r="C158" s="15">
        <f t="shared" si="4"/>
        <v>62.041856000000045</v>
      </c>
      <c r="D158" s="15">
        <f t="shared" si="4"/>
        <v>62.879616000000041</v>
      </c>
      <c r="E158" s="15">
        <f t="shared" si="4"/>
        <v>65.000672000000037</v>
      </c>
      <c r="F158" s="15">
        <f t="shared" si="4"/>
        <v>68.812480000000036</v>
      </c>
      <c r="G158" s="15">
        <f t="shared" si="4"/>
        <v>74.562560000000033</v>
      </c>
      <c r="H158" s="15">
        <f t="shared" si="4"/>
        <v>81.950080000000014</v>
      </c>
      <c r="I158" s="15">
        <f t="shared" si="4"/>
        <v>90.556160000000006</v>
      </c>
      <c r="J158" s="15">
        <f t="shared" si="4"/>
        <v>100</v>
      </c>
    </row>
    <row r="159" spans="1:10" ht="20.100000000000001" customHeight="1" x14ac:dyDescent="0.25">
      <c r="A159" s="14">
        <f t="shared" si="1"/>
        <v>0.74000000000000032</v>
      </c>
      <c r="B159" s="15">
        <f t="shared" si="2"/>
        <v>64.380000000000038</v>
      </c>
      <c r="C159" s="15">
        <f t="shared" si="4"/>
        <v>64.49398400000004</v>
      </c>
      <c r="D159" s="15">
        <f t="shared" si="4"/>
        <v>65.277624000000031</v>
      </c>
      <c r="E159" s="15">
        <f t="shared" si="4"/>
        <v>67.26165800000004</v>
      </c>
      <c r="F159" s="15">
        <f t="shared" si="4"/>
        <v>70.82722000000004</v>
      </c>
      <c r="G159" s="15">
        <f t="shared" si="4"/>
        <v>76.205840000000023</v>
      </c>
      <c r="H159" s="15">
        <f t="shared" si="4"/>
        <v>83.116120000000024</v>
      </c>
      <c r="I159" s="15">
        <f t="shared" si="4"/>
        <v>91.166240000000016</v>
      </c>
      <c r="J159" s="15">
        <f t="shared" si="4"/>
        <v>100</v>
      </c>
    </row>
    <row r="160" spans="1:10" ht="20.100000000000001" customHeight="1" x14ac:dyDescent="0.25">
      <c r="A160" s="14">
        <f t="shared" si="1"/>
        <v>0.76000000000000034</v>
      </c>
      <c r="B160" s="15">
        <f t="shared" si="2"/>
        <v>66.880000000000052</v>
      </c>
      <c r="C160" s="15">
        <f t="shared" si="4"/>
        <v>66.985984000000059</v>
      </c>
      <c r="D160" s="15">
        <f t="shared" si="4"/>
        <v>67.714624000000057</v>
      </c>
      <c r="E160" s="15">
        <f t="shared" si="4"/>
        <v>69.559408000000047</v>
      </c>
      <c r="F160" s="15">
        <f t="shared" si="4"/>
        <v>72.874720000000039</v>
      </c>
      <c r="G160" s="15">
        <f t="shared" si="4"/>
        <v>77.875840000000039</v>
      </c>
      <c r="H160" s="15">
        <f t="shared" si="4"/>
        <v>84.301120000000026</v>
      </c>
      <c r="I160" s="15">
        <f t="shared" si="4"/>
        <v>91.786240000000021</v>
      </c>
      <c r="J160" s="15">
        <f t="shared" si="4"/>
        <v>100</v>
      </c>
    </row>
    <row r="161" spans="1:10" ht="20.100000000000001" customHeight="1" x14ac:dyDescent="0.25">
      <c r="A161" s="14">
        <f t="shared" si="1"/>
        <v>0.78000000000000036</v>
      </c>
      <c r="B161" s="15">
        <f t="shared" si="2"/>
        <v>69.420000000000044</v>
      </c>
      <c r="C161" s="15">
        <f t="shared" si="4"/>
        <v>69.517856000000037</v>
      </c>
      <c r="D161" s="15">
        <f t="shared" si="4"/>
        <v>70.190616000000048</v>
      </c>
      <c r="E161" s="15">
        <f t="shared" si="4"/>
        <v>71.893922000000046</v>
      </c>
      <c r="F161" s="15">
        <f t="shared" si="4"/>
        <v>74.954980000000035</v>
      </c>
      <c r="G161" s="15">
        <f t="shared" si="4"/>
        <v>79.572560000000038</v>
      </c>
      <c r="H161" s="15">
        <f t="shared" si="4"/>
        <v>85.505080000000021</v>
      </c>
      <c r="I161" s="15">
        <f t="shared" si="4"/>
        <v>92.416160000000019</v>
      </c>
      <c r="J161" s="15">
        <f t="shared" si="4"/>
        <v>100</v>
      </c>
    </row>
    <row r="162" spans="1:10" ht="20.100000000000001" customHeight="1" x14ac:dyDescent="0.25">
      <c r="A162" s="14">
        <f t="shared" si="1"/>
        <v>0.80000000000000038</v>
      </c>
      <c r="B162" s="15">
        <f t="shared" si="2"/>
        <v>72.000000000000043</v>
      </c>
      <c r="C162" s="15">
        <f t="shared" si="4"/>
        <v>72.089600000000047</v>
      </c>
      <c r="D162" s="15">
        <f t="shared" si="4"/>
        <v>72.705600000000047</v>
      </c>
      <c r="E162" s="15">
        <f t="shared" si="4"/>
        <v>74.265200000000036</v>
      </c>
      <c r="F162" s="15">
        <f t="shared" si="4"/>
        <v>77.06800000000004</v>
      </c>
      <c r="G162" s="15">
        <f t="shared" si="4"/>
        <v>81.296000000000035</v>
      </c>
      <c r="H162" s="15">
        <f t="shared" si="4"/>
        <v>86.728000000000023</v>
      </c>
      <c r="I162" s="15">
        <f t="shared" si="4"/>
        <v>93.056000000000012</v>
      </c>
      <c r="J162" s="15">
        <f t="shared" si="4"/>
        <v>100</v>
      </c>
    </row>
    <row r="163" spans="1:10" ht="20.100000000000001" customHeight="1" x14ac:dyDescent="0.25">
      <c r="A163" s="14">
        <f t="shared" si="1"/>
        <v>0.8200000000000004</v>
      </c>
      <c r="B163" s="15">
        <f t="shared" si="2"/>
        <v>74.620000000000047</v>
      </c>
      <c r="C163" s="15">
        <f t="shared" si="4"/>
        <v>74.701216000000045</v>
      </c>
      <c r="D163" s="15">
        <f t="shared" si="4"/>
        <v>75.259576000000052</v>
      </c>
      <c r="E163" s="15">
        <f t="shared" si="4"/>
        <v>76.673242000000045</v>
      </c>
      <c r="F163" s="15">
        <f t="shared" si="4"/>
        <v>79.213780000000042</v>
      </c>
      <c r="G163" s="15">
        <f t="shared" si="4"/>
        <v>83.046160000000029</v>
      </c>
      <c r="H163" s="15">
        <f t="shared" si="4"/>
        <v>87.969880000000018</v>
      </c>
      <c r="I163" s="15">
        <f t="shared" si="4"/>
        <v>93.705760000000012</v>
      </c>
      <c r="J163" s="15">
        <f t="shared" si="4"/>
        <v>100</v>
      </c>
    </row>
    <row r="164" spans="1:10" ht="20.100000000000001" customHeight="1" x14ac:dyDescent="0.25">
      <c r="A164" s="14">
        <f t="shared" si="1"/>
        <v>0.84000000000000041</v>
      </c>
      <c r="B164" s="15">
        <f t="shared" si="2"/>
        <v>77.280000000000058</v>
      </c>
      <c r="C164" s="15">
        <f t="shared" si="4"/>
        <v>77.35270400000006</v>
      </c>
      <c r="D164" s="15">
        <f t="shared" si="4"/>
        <v>77.852544000000051</v>
      </c>
      <c r="E164" s="15">
        <f t="shared" si="4"/>
        <v>79.118048000000059</v>
      </c>
      <c r="F164" s="15">
        <f t="shared" si="4"/>
        <v>81.392320000000041</v>
      </c>
      <c r="G164" s="15">
        <f t="shared" si="4"/>
        <v>84.823040000000034</v>
      </c>
      <c r="H164" s="15">
        <f t="shared" si="4"/>
        <v>89.230720000000019</v>
      </c>
      <c r="I164" s="15">
        <f t="shared" si="4"/>
        <v>94.365440000000021</v>
      </c>
      <c r="J164" s="15">
        <f t="shared" si="4"/>
        <v>100</v>
      </c>
    </row>
    <row r="165" spans="1:10" ht="20.100000000000001" customHeight="1" x14ac:dyDescent="0.25">
      <c r="A165" s="14">
        <f t="shared" si="1"/>
        <v>0.86000000000000043</v>
      </c>
      <c r="B165" s="15">
        <f t="shared" si="2"/>
        <v>79.980000000000047</v>
      </c>
      <c r="C165" s="15">
        <f t="shared" si="4"/>
        <v>80.044064000000049</v>
      </c>
      <c r="D165" s="15">
        <f t="shared" si="4"/>
        <v>80.484504000000044</v>
      </c>
      <c r="E165" s="15">
        <f t="shared" si="4"/>
        <v>81.599618000000049</v>
      </c>
      <c r="F165" s="15">
        <f t="shared" si="4"/>
        <v>83.603620000000035</v>
      </c>
      <c r="G165" s="15">
        <f t="shared" si="4"/>
        <v>86.626640000000037</v>
      </c>
      <c r="H165" s="15">
        <f t="shared" si="4"/>
        <v>90.510520000000028</v>
      </c>
      <c r="I165" s="15">
        <f t="shared" si="4"/>
        <v>95.035040000000009</v>
      </c>
      <c r="J165" s="15">
        <f t="shared" si="4"/>
        <v>100</v>
      </c>
    </row>
    <row r="166" spans="1:10" ht="20.100000000000001" customHeight="1" x14ac:dyDescent="0.25">
      <c r="A166" s="14">
        <f t="shared" si="1"/>
        <v>0.88000000000000045</v>
      </c>
      <c r="B166" s="15">
        <f t="shared" si="2"/>
        <v>82.720000000000056</v>
      </c>
      <c r="C166" s="15">
        <f t="shared" si="4"/>
        <v>82.775296000000054</v>
      </c>
      <c r="D166" s="15">
        <f t="shared" si="4"/>
        <v>83.155456000000058</v>
      </c>
      <c r="E166" s="15">
        <f t="shared" si="4"/>
        <v>84.117952000000045</v>
      </c>
      <c r="F166" s="15">
        <f t="shared" si="4"/>
        <v>85.84768000000004</v>
      </c>
      <c r="G166" s="15">
        <f t="shared" si="4"/>
        <v>88.456960000000038</v>
      </c>
      <c r="H166" s="15">
        <f t="shared" si="4"/>
        <v>91.80928000000003</v>
      </c>
      <c r="I166" s="15">
        <f t="shared" si="4"/>
        <v>95.714560000000006</v>
      </c>
      <c r="J166" s="15">
        <f t="shared" si="4"/>
        <v>100</v>
      </c>
    </row>
    <row r="167" spans="1:10" ht="20.100000000000001" customHeight="1" x14ac:dyDescent="0.25">
      <c r="A167" s="14">
        <f t="shared" si="1"/>
        <v>0.90000000000000047</v>
      </c>
      <c r="B167" s="15">
        <f t="shared" si="2"/>
        <v>85.500000000000071</v>
      </c>
      <c r="C167" s="15">
        <f t="shared" si="4"/>
        <v>85.546400000000077</v>
      </c>
      <c r="D167" s="15">
        <f t="shared" si="4"/>
        <v>85.865400000000065</v>
      </c>
      <c r="E167" s="15">
        <f t="shared" si="4"/>
        <v>86.67305000000006</v>
      </c>
      <c r="F167" s="15">
        <f t="shared" si="4"/>
        <v>88.124500000000054</v>
      </c>
      <c r="G167" s="15">
        <f t="shared" si="4"/>
        <v>90.31400000000005</v>
      </c>
      <c r="H167" s="15">
        <f t="shared" si="4"/>
        <v>93.127000000000038</v>
      </c>
      <c r="I167" s="15">
        <f t="shared" si="4"/>
        <v>96.404000000000025</v>
      </c>
      <c r="J167" s="15">
        <f t="shared" si="4"/>
        <v>100</v>
      </c>
    </row>
    <row r="168" spans="1:10" ht="20.100000000000001" customHeight="1" x14ac:dyDescent="0.25">
      <c r="A168" s="14">
        <f t="shared" si="1"/>
        <v>0.92000000000000048</v>
      </c>
      <c r="B168" s="15">
        <f t="shared" si="2"/>
        <v>88.320000000000064</v>
      </c>
      <c r="C168" s="15">
        <f t="shared" si="4"/>
        <v>88.357376000000059</v>
      </c>
      <c r="D168" s="15">
        <f t="shared" si="4"/>
        <v>88.614336000000065</v>
      </c>
      <c r="E168" s="15">
        <f t="shared" si="4"/>
        <v>89.264912000000052</v>
      </c>
      <c r="F168" s="15">
        <f t="shared" si="4"/>
        <v>90.434080000000051</v>
      </c>
      <c r="G168" s="15">
        <f t="shared" si="4"/>
        <v>92.197760000000045</v>
      </c>
      <c r="H168" s="15">
        <f t="shared" si="4"/>
        <v>94.463680000000025</v>
      </c>
      <c r="I168" s="15">
        <f t="shared" si="4"/>
        <v>97.103360000000009</v>
      </c>
      <c r="J168" s="15">
        <f t="shared" si="4"/>
        <v>100</v>
      </c>
    </row>
    <row r="169" spans="1:10" ht="20.100000000000001" customHeight="1" x14ac:dyDescent="0.25">
      <c r="A169" s="14">
        <f t="shared" si="1"/>
        <v>0.9400000000000005</v>
      </c>
      <c r="B169" s="15">
        <f t="shared" si="2"/>
        <v>91.180000000000078</v>
      </c>
      <c r="C169" s="15">
        <f t="shared" si="4"/>
        <v>91.208224000000072</v>
      </c>
      <c r="D169" s="15">
        <f t="shared" si="4"/>
        <v>91.402264000000073</v>
      </c>
      <c r="E169" s="15">
        <f t="shared" si="4"/>
        <v>91.893538000000078</v>
      </c>
      <c r="F169" s="15">
        <f t="shared" si="4"/>
        <v>92.776420000000059</v>
      </c>
      <c r="G169" s="15">
        <f t="shared" si="4"/>
        <v>94.108240000000052</v>
      </c>
      <c r="H169" s="15">
        <f t="shared" si="4"/>
        <v>95.819320000000033</v>
      </c>
      <c r="I169" s="15">
        <f t="shared" si="4"/>
        <v>97.812640000000016</v>
      </c>
      <c r="J169" s="15">
        <f t="shared" si="4"/>
        <v>100</v>
      </c>
    </row>
    <row r="170" spans="1:10" ht="20.100000000000001" customHeight="1" x14ac:dyDescent="0.25">
      <c r="A170" s="14">
        <f t="shared" si="1"/>
        <v>0.96000000000000052</v>
      </c>
      <c r="B170" s="15">
        <f t="shared" si="2"/>
        <v>94.080000000000069</v>
      </c>
      <c r="C170" s="15">
        <f t="shared" si="4"/>
        <v>94.098944000000074</v>
      </c>
      <c r="D170" s="15">
        <f t="shared" si="4"/>
        <v>94.229184000000075</v>
      </c>
      <c r="E170" s="15">
        <f t="shared" si="4"/>
        <v>94.558928000000066</v>
      </c>
      <c r="F170" s="15">
        <f t="shared" si="4"/>
        <v>95.151520000000062</v>
      </c>
      <c r="G170" s="15">
        <f t="shared" si="4"/>
        <v>96.045440000000042</v>
      </c>
      <c r="H170" s="15">
        <f t="shared" si="4"/>
        <v>97.193920000000034</v>
      </c>
      <c r="I170" s="15">
        <f t="shared" si="4"/>
        <v>98.531840000000017</v>
      </c>
      <c r="J170" s="15">
        <f t="shared" si="4"/>
        <v>100</v>
      </c>
    </row>
    <row r="171" spans="1:10" ht="20.100000000000001" customHeight="1" x14ac:dyDescent="0.25">
      <c r="A171" s="14">
        <f t="shared" si="1"/>
        <v>0.98000000000000054</v>
      </c>
      <c r="B171" s="15">
        <f t="shared" si="2"/>
        <v>97.020000000000081</v>
      </c>
      <c r="C171" s="15">
        <f t="shared" si="4"/>
        <v>97.029536000000078</v>
      </c>
      <c r="D171" s="15">
        <f t="shared" si="4"/>
        <v>97.095096000000083</v>
      </c>
      <c r="E171" s="15">
        <f t="shared" si="4"/>
        <v>97.261082000000073</v>
      </c>
      <c r="F171" s="15">
        <f t="shared" si="4"/>
        <v>97.559380000000061</v>
      </c>
      <c r="G171" s="15">
        <f t="shared" si="4"/>
        <v>98.009360000000058</v>
      </c>
      <c r="H171" s="15">
        <f t="shared" si="4"/>
        <v>98.587480000000042</v>
      </c>
      <c r="I171" s="15">
        <f t="shared" si="4"/>
        <v>99.260960000000026</v>
      </c>
      <c r="J171" s="15">
        <f t="shared" si="4"/>
        <v>100</v>
      </c>
    </row>
    <row r="172" spans="1:10" ht="20.100000000000001" customHeight="1" x14ac:dyDescent="0.25">
      <c r="A172" s="14">
        <f t="shared" si="1"/>
        <v>1.0000000000000004</v>
      </c>
      <c r="B172" s="15">
        <f t="shared" si="2"/>
        <v>100.00000000000007</v>
      </c>
      <c r="C172" s="15">
        <f t="shared" si="4"/>
        <v>100.00000000000007</v>
      </c>
      <c r="D172" s="15">
        <f t="shared" si="4"/>
        <v>100.00000000000007</v>
      </c>
      <c r="E172" s="15">
        <f t="shared" si="4"/>
        <v>100.00000000000007</v>
      </c>
      <c r="F172" s="15">
        <f t="shared" si="4"/>
        <v>100.00000000000006</v>
      </c>
      <c r="G172" s="15">
        <f t="shared" si="4"/>
        <v>100.00000000000004</v>
      </c>
      <c r="H172" s="15">
        <f t="shared" si="4"/>
        <v>100.00000000000003</v>
      </c>
      <c r="I172" s="15">
        <f t="shared" si="4"/>
        <v>100.00000000000001</v>
      </c>
      <c r="J172" s="15">
        <f t="shared" si="4"/>
        <v>100</v>
      </c>
    </row>
    <row r="174" spans="1:10" ht="20.100000000000001" customHeight="1" x14ac:dyDescent="0.25">
      <c r="A174" s="244" t="s">
        <v>370</v>
      </c>
      <c r="B174" s="244"/>
      <c r="C174" s="244"/>
      <c r="D174" s="244"/>
      <c r="E174" s="244"/>
      <c r="F174" s="244"/>
      <c r="G174" s="244"/>
      <c r="H174" s="244"/>
      <c r="I174" s="244"/>
      <c r="J174" s="244"/>
    </row>
    <row r="176" spans="1:10" ht="20.100000000000001" customHeight="1" x14ac:dyDescent="0.25">
      <c r="E176" s="16"/>
      <c r="F176" s="16"/>
      <c r="G176" s="16"/>
      <c r="H176" s="16"/>
      <c r="I176" s="16"/>
      <c r="J176" s="16"/>
    </row>
    <row r="177" spans="1:10" ht="20.100000000000001" customHeight="1" x14ac:dyDescent="0.25">
      <c r="A177" s="2"/>
      <c r="B177" s="2"/>
      <c r="C177" s="17"/>
      <c r="D177" s="18"/>
      <c r="E177" s="16"/>
      <c r="F177" s="16"/>
      <c r="G177" s="16"/>
      <c r="H177" s="16"/>
      <c r="I177" s="16"/>
      <c r="J177" s="16"/>
    </row>
    <row r="178" spans="1:10" ht="20.100000000000001" customHeight="1" x14ac:dyDescent="0.25">
      <c r="A178" s="2"/>
      <c r="B178" s="2"/>
      <c r="C178" s="17"/>
      <c r="D178" s="18"/>
      <c r="E178" s="16"/>
      <c r="F178" s="16"/>
      <c r="G178" s="16"/>
      <c r="H178" s="16"/>
      <c r="I178" s="16"/>
      <c r="J178" s="16"/>
    </row>
    <row r="179" spans="1:10" ht="20.100000000000001" customHeight="1" x14ac:dyDescent="0.25">
      <c r="A179" s="2"/>
      <c r="B179" s="2"/>
      <c r="C179" s="17"/>
      <c r="D179" s="18"/>
      <c r="E179" s="16"/>
      <c r="F179" s="16"/>
      <c r="G179" s="16"/>
      <c r="H179" s="16"/>
      <c r="I179" s="16"/>
      <c r="J179" s="16"/>
    </row>
    <row r="180" spans="1:10" ht="20.100000000000001" customHeight="1" x14ac:dyDescent="0.25">
      <c r="C180" s="17"/>
      <c r="D180" s="18"/>
      <c r="E180" s="16"/>
      <c r="F180" s="16"/>
      <c r="G180" s="16"/>
      <c r="H180" s="16"/>
      <c r="I180" s="16"/>
      <c r="J180" s="16"/>
    </row>
    <row r="181" spans="1:10" ht="20.100000000000001" customHeight="1" x14ac:dyDescent="0.25">
      <c r="C181" s="17"/>
      <c r="D181" s="18"/>
      <c r="E181" s="16"/>
      <c r="F181" s="16"/>
      <c r="G181" s="16"/>
      <c r="H181" s="16"/>
      <c r="I181" s="16"/>
      <c r="J181" s="16"/>
    </row>
    <row r="182" spans="1:10" ht="20.100000000000001" customHeight="1" x14ac:dyDescent="0.25">
      <c r="C182" s="17"/>
      <c r="D182" s="18"/>
      <c r="E182" s="16"/>
      <c r="F182" s="16"/>
      <c r="G182" s="16"/>
      <c r="H182" s="16"/>
      <c r="I182" s="16"/>
      <c r="J182" s="16"/>
    </row>
    <row r="183" spans="1:10" ht="20.100000000000001" customHeight="1" x14ac:dyDescent="0.25">
      <c r="C183" s="17"/>
      <c r="D183" s="18"/>
      <c r="E183" s="16"/>
      <c r="F183" s="16"/>
      <c r="G183" s="16"/>
      <c r="H183" s="16"/>
      <c r="I183" s="16"/>
      <c r="J183" s="16"/>
    </row>
    <row r="184" spans="1:10" ht="20.100000000000001" customHeight="1" x14ac:dyDescent="0.25">
      <c r="C184" s="17"/>
      <c r="D184" s="18"/>
      <c r="E184" s="16"/>
      <c r="F184" s="16"/>
      <c r="G184" s="16"/>
      <c r="H184" s="16"/>
      <c r="I184" s="16"/>
      <c r="J184" s="16"/>
    </row>
    <row r="185" spans="1:10" ht="20.100000000000001" customHeight="1" x14ac:dyDescent="0.25">
      <c r="C185" s="17"/>
      <c r="D185" s="18"/>
      <c r="E185" s="16"/>
      <c r="F185" s="16"/>
      <c r="G185" s="16"/>
      <c r="H185" s="16"/>
      <c r="I185" s="16"/>
      <c r="J185" s="16"/>
    </row>
    <row r="186" spans="1:10" ht="20.100000000000001" customHeight="1" x14ac:dyDescent="0.25">
      <c r="C186" s="17"/>
      <c r="D186" s="18"/>
      <c r="E186" s="16"/>
      <c r="F186" s="16"/>
      <c r="G186" s="16"/>
      <c r="H186" s="16"/>
      <c r="I186" s="16"/>
      <c r="J186" s="16"/>
    </row>
    <row r="189" spans="1:10" ht="20.100000000000001" customHeight="1" x14ac:dyDescent="0.25">
      <c r="A189" s="245" t="str">
        <f>A118</f>
        <v>IDADE EM % DA VIDA ÚTIL</v>
      </c>
      <c r="B189" s="250" t="str">
        <f t="shared" ref="B189:J189" si="5">B118</f>
        <v>ESTADO DE CONSERVAÇÃO</v>
      </c>
      <c r="C189" s="251">
        <f t="shared" si="5"/>
        <v>0</v>
      </c>
      <c r="D189" s="251">
        <f t="shared" si="5"/>
        <v>0</v>
      </c>
      <c r="E189" s="251">
        <f t="shared" si="5"/>
        <v>0</v>
      </c>
      <c r="F189" s="251">
        <f t="shared" si="5"/>
        <v>0</v>
      </c>
      <c r="G189" s="251">
        <f t="shared" si="5"/>
        <v>0</v>
      </c>
      <c r="H189" s="251">
        <f t="shared" si="5"/>
        <v>0</v>
      </c>
      <c r="I189" s="251">
        <f t="shared" si="5"/>
        <v>0</v>
      </c>
      <c r="J189" s="252">
        <f t="shared" si="5"/>
        <v>0</v>
      </c>
    </row>
    <row r="190" spans="1:10" ht="20.100000000000001" customHeight="1" x14ac:dyDescent="0.25">
      <c r="A190" s="245">
        <f t="shared" ref="A190:J205" si="6">A119</f>
        <v>0</v>
      </c>
      <c r="B190" s="247" t="s">
        <v>371</v>
      </c>
      <c r="C190" s="247">
        <f t="shared" si="6"/>
        <v>0</v>
      </c>
      <c r="D190" s="247">
        <f t="shared" si="6"/>
        <v>0</v>
      </c>
      <c r="E190" s="247">
        <f t="shared" si="6"/>
        <v>0</v>
      </c>
      <c r="F190" s="247">
        <f t="shared" si="6"/>
        <v>0</v>
      </c>
      <c r="G190" s="247">
        <f t="shared" si="6"/>
        <v>0</v>
      </c>
      <c r="H190" s="247">
        <f t="shared" si="6"/>
        <v>0</v>
      </c>
      <c r="I190" s="247">
        <f t="shared" si="6"/>
        <v>0</v>
      </c>
      <c r="J190" s="247">
        <f t="shared" si="6"/>
        <v>0</v>
      </c>
    </row>
    <row r="191" spans="1:10" ht="20.100000000000001" customHeight="1" x14ac:dyDescent="0.25">
      <c r="A191" s="245">
        <f t="shared" si="6"/>
        <v>0</v>
      </c>
      <c r="B191" s="245" t="str">
        <f t="shared" si="6"/>
        <v>Classificação do estado de conservação de acordo com a tabela de Heidecke</v>
      </c>
      <c r="C191" s="245">
        <f t="shared" si="6"/>
        <v>0</v>
      </c>
      <c r="D191" s="245">
        <f t="shared" si="6"/>
        <v>0</v>
      </c>
      <c r="E191" s="245">
        <f t="shared" si="6"/>
        <v>0</v>
      </c>
      <c r="F191" s="245">
        <f t="shared" si="6"/>
        <v>0</v>
      </c>
      <c r="G191" s="245">
        <f t="shared" si="6"/>
        <v>0</v>
      </c>
      <c r="H191" s="245">
        <f t="shared" si="6"/>
        <v>0</v>
      </c>
      <c r="I191" s="245">
        <f t="shared" si="6"/>
        <v>0</v>
      </c>
      <c r="J191" s="245">
        <f t="shared" si="6"/>
        <v>0</v>
      </c>
    </row>
    <row r="192" spans="1:10" ht="20.100000000000001" customHeight="1" x14ac:dyDescent="0.25">
      <c r="A192" s="245">
        <f t="shared" si="6"/>
        <v>0</v>
      </c>
      <c r="B192" s="13" t="str">
        <f t="shared" si="6"/>
        <v>A</v>
      </c>
      <c r="C192" s="13" t="str">
        <f t="shared" si="6"/>
        <v>B</v>
      </c>
      <c r="D192" s="13" t="str">
        <f t="shared" si="6"/>
        <v>C</v>
      </c>
      <c r="E192" s="13" t="str">
        <f t="shared" si="6"/>
        <v>D</v>
      </c>
      <c r="F192" s="13" t="str">
        <f t="shared" si="6"/>
        <v>E</v>
      </c>
      <c r="G192" s="13" t="str">
        <f t="shared" si="6"/>
        <v>F</v>
      </c>
      <c r="H192" s="13" t="str">
        <f t="shared" si="6"/>
        <v>G</v>
      </c>
      <c r="I192" s="13" t="str">
        <f t="shared" si="6"/>
        <v>H</v>
      </c>
      <c r="J192" s="13" t="str">
        <f t="shared" si="6"/>
        <v>I</v>
      </c>
    </row>
    <row r="193" spans="1:10" ht="20.100000000000001" customHeight="1" x14ac:dyDescent="0.25">
      <c r="A193" s="19">
        <f t="shared" si="6"/>
        <v>0</v>
      </c>
      <c r="B193" s="20">
        <f>-(B122/100)</f>
        <v>0</v>
      </c>
      <c r="C193" s="20">
        <f t="shared" ref="C193:J193" si="7">-(C122/100)</f>
        <v>-3.2000000000000002E-3</v>
      </c>
      <c r="D193" s="20">
        <f t="shared" si="7"/>
        <v>-2.52E-2</v>
      </c>
      <c r="E193" s="20">
        <f t="shared" si="7"/>
        <v>-8.09E-2</v>
      </c>
      <c r="F193" s="20">
        <f t="shared" si="7"/>
        <v>-0.18100000000000002</v>
      </c>
      <c r="G193" s="20">
        <f t="shared" si="7"/>
        <v>-0.33200000000000002</v>
      </c>
      <c r="H193" s="20">
        <f t="shared" si="7"/>
        <v>-0.52600000000000002</v>
      </c>
      <c r="I193" s="20">
        <f t="shared" si="7"/>
        <v>-0.752</v>
      </c>
      <c r="J193" s="20">
        <f t="shared" si="7"/>
        <v>-1</v>
      </c>
    </row>
    <row r="194" spans="1:10" ht="20.100000000000001" customHeight="1" x14ac:dyDescent="0.25">
      <c r="A194" s="19">
        <f t="shared" si="6"/>
        <v>0.02</v>
      </c>
      <c r="B194" s="20">
        <f t="shared" ref="B194:J209" si="8">-(B123/100)</f>
        <v>-1.0200000000000001E-2</v>
      </c>
      <c r="C194" s="20">
        <f t="shared" si="8"/>
        <v>-1.3367360000000002E-2</v>
      </c>
      <c r="D194" s="20">
        <f t="shared" si="8"/>
        <v>-3.5142960000000001E-2</v>
      </c>
      <c r="E194" s="20">
        <f t="shared" si="8"/>
        <v>-9.0274819999999992E-2</v>
      </c>
      <c r="F194" s="20">
        <f t="shared" si="8"/>
        <v>-0.18935380000000002</v>
      </c>
      <c r="G194" s="20">
        <f t="shared" si="8"/>
        <v>-0.3388136000000001</v>
      </c>
      <c r="H194" s="20">
        <f t="shared" si="8"/>
        <v>-0.53083480000000005</v>
      </c>
      <c r="I194" s="20">
        <f t="shared" si="8"/>
        <v>-0.75452960000000002</v>
      </c>
      <c r="J194" s="20">
        <f t="shared" si="8"/>
        <v>-1</v>
      </c>
    </row>
    <row r="195" spans="1:10" ht="20.100000000000001" customHeight="1" x14ac:dyDescent="0.25">
      <c r="A195" s="19">
        <f t="shared" si="6"/>
        <v>0.04</v>
      </c>
      <c r="B195" s="20">
        <f t="shared" si="8"/>
        <v>-2.0799999999999999E-2</v>
      </c>
      <c r="C195" s="20">
        <f t="shared" si="8"/>
        <v>-2.393344E-2</v>
      </c>
      <c r="D195" s="20">
        <f t="shared" si="8"/>
        <v>-4.5475840000000003E-2</v>
      </c>
      <c r="E195" s="20">
        <f t="shared" si="8"/>
        <v>-0.10001728</v>
      </c>
      <c r="F195" s="20">
        <f t="shared" si="8"/>
        <v>-0.19803519999999999</v>
      </c>
      <c r="G195" s="20">
        <f t="shared" si="8"/>
        <v>-0.34589440000000005</v>
      </c>
      <c r="H195" s="20">
        <f t="shared" si="8"/>
        <v>-0.53585919999999998</v>
      </c>
      <c r="I195" s="20">
        <f t="shared" si="8"/>
        <v>-0.75715840000000001</v>
      </c>
      <c r="J195" s="20">
        <f t="shared" si="8"/>
        <v>-1</v>
      </c>
    </row>
    <row r="196" spans="1:10" ht="20.100000000000001" customHeight="1" x14ac:dyDescent="0.25">
      <c r="A196" s="19">
        <f t="shared" si="6"/>
        <v>0.06</v>
      </c>
      <c r="B196" s="20">
        <f t="shared" si="8"/>
        <v>-3.1800000000000002E-2</v>
      </c>
      <c r="C196" s="20">
        <f t="shared" si="8"/>
        <v>-3.4898239999999997E-2</v>
      </c>
      <c r="D196" s="20">
        <f t="shared" si="8"/>
        <v>-5.6198639999999994E-2</v>
      </c>
      <c r="E196" s="20">
        <f t="shared" si="8"/>
        <v>-0.11012737999999998</v>
      </c>
      <c r="F196" s="20">
        <f t="shared" si="8"/>
        <v>-0.20704419999999998</v>
      </c>
      <c r="G196" s="20">
        <f t="shared" si="8"/>
        <v>-0.35324239999999996</v>
      </c>
      <c r="H196" s="20">
        <f t="shared" si="8"/>
        <v>-0.54107320000000003</v>
      </c>
      <c r="I196" s="20">
        <f t="shared" si="8"/>
        <v>-0.75988640000000007</v>
      </c>
      <c r="J196" s="20">
        <f t="shared" si="8"/>
        <v>-1</v>
      </c>
    </row>
    <row r="197" spans="1:10" ht="20.100000000000001" customHeight="1" x14ac:dyDescent="0.25">
      <c r="A197" s="19">
        <f t="shared" si="6"/>
        <v>0.08</v>
      </c>
      <c r="B197" s="20">
        <f t="shared" si="8"/>
        <v>-4.3200000000000002E-2</v>
      </c>
      <c r="C197" s="20">
        <f t="shared" si="8"/>
        <v>-4.6261759999999999E-2</v>
      </c>
      <c r="D197" s="20">
        <f t="shared" si="8"/>
        <v>-6.7311360000000015E-2</v>
      </c>
      <c r="E197" s="20">
        <f t="shared" si="8"/>
        <v>-0.12060512</v>
      </c>
      <c r="F197" s="20">
        <f t="shared" si="8"/>
        <v>-0.21638080000000001</v>
      </c>
      <c r="G197" s="20">
        <f t="shared" si="8"/>
        <v>-0.36085760000000006</v>
      </c>
      <c r="H197" s="20">
        <f t="shared" si="8"/>
        <v>-0.5464768000000001</v>
      </c>
      <c r="I197" s="20">
        <f t="shared" si="8"/>
        <v>-0.7627136000000001</v>
      </c>
      <c r="J197" s="20">
        <f t="shared" si="8"/>
        <v>-1</v>
      </c>
    </row>
    <row r="198" spans="1:10" ht="20.100000000000001" customHeight="1" x14ac:dyDescent="0.25">
      <c r="A198" s="19">
        <f t="shared" si="6"/>
        <v>0.1</v>
      </c>
      <c r="B198" s="20">
        <f t="shared" si="8"/>
        <v>-5.5000000000000007E-2</v>
      </c>
      <c r="C198" s="20">
        <f t="shared" si="8"/>
        <v>-5.8024000000000006E-2</v>
      </c>
      <c r="D198" s="20">
        <f t="shared" si="8"/>
        <v>-7.8814000000000009E-2</v>
      </c>
      <c r="E198" s="20">
        <f t="shared" si="8"/>
        <v>-0.13145050000000003</v>
      </c>
      <c r="F198" s="20">
        <f t="shared" si="8"/>
        <v>-0.22604500000000002</v>
      </c>
      <c r="G198" s="20">
        <f t="shared" si="8"/>
        <v>-0.36874000000000001</v>
      </c>
      <c r="H198" s="20">
        <f t="shared" si="8"/>
        <v>-0.55207000000000006</v>
      </c>
      <c r="I198" s="20">
        <f t="shared" si="8"/>
        <v>-0.7656400000000001</v>
      </c>
      <c r="J198" s="20">
        <f t="shared" si="8"/>
        <v>-1</v>
      </c>
    </row>
    <row r="199" spans="1:10" ht="20.100000000000001" customHeight="1" x14ac:dyDescent="0.25">
      <c r="A199" s="19">
        <f t="shared" si="6"/>
        <v>0.12000000000000001</v>
      </c>
      <c r="B199" s="20">
        <f t="shared" si="8"/>
        <v>-6.720000000000001E-2</v>
      </c>
      <c r="C199" s="20">
        <f t="shared" si="8"/>
        <v>-7.0184960000000005E-2</v>
      </c>
      <c r="D199" s="20">
        <f t="shared" si="8"/>
        <v>-9.0706560000000019E-2</v>
      </c>
      <c r="E199" s="20">
        <f t="shared" si="8"/>
        <v>-0.14266352000000002</v>
      </c>
      <c r="F199" s="20">
        <f t="shared" si="8"/>
        <v>-0.23603680000000005</v>
      </c>
      <c r="G199" s="20">
        <f t="shared" si="8"/>
        <v>-0.37688959999999999</v>
      </c>
      <c r="H199" s="20">
        <f t="shared" si="8"/>
        <v>-0.55785280000000004</v>
      </c>
      <c r="I199" s="20">
        <f t="shared" si="8"/>
        <v>-0.76866559999999995</v>
      </c>
      <c r="J199" s="20">
        <f t="shared" si="8"/>
        <v>-1</v>
      </c>
    </row>
    <row r="200" spans="1:10" ht="20.100000000000001" customHeight="1" x14ac:dyDescent="0.25">
      <c r="A200" s="19">
        <f t="shared" si="6"/>
        <v>0.14000000000000001</v>
      </c>
      <c r="B200" s="20">
        <f t="shared" si="8"/>
        <v>-7.980000000000001E-2</v>
      </c>
      <c r="C200" s="20">
        <f t="shared" si="8"/>
        <v>-8.2744640000000022E-2</v>
      </c>
      <c r="D200" s="20">
        <f t="shared" si="8"/>
        <v>-0.10298904</v>
      </c>
      <c r="E200" s="20">
        <f t="shared" si="8"/>
        <v>-0.15424418000000001</v>
      </c>
      <c r="F200" s="20">
        <f t="shared" si="8"/>
        <v>-0.24635620000000003</v>
      </c>
      <c r="G200" s="20">
        <f t="shared" si="8"/>
        <v>-0.38530640000000005</v>
      </c>
      <c r="H200" s="20">
        <f t="shared" si="8"/>
        <v>-0.56382520000000003</v>
      </c>
      <c r="I200" s="20">
        <f t="shared" si="8"/>
        <v>-0.77179039999999999</v>
      </c>
      <c r="J200" s="20">
        <f t="shared" si="8"/>
        <v>-1</v>
      </c>
    </row>
    <row r="201" spans="1:10" ht="20.100000000000001" customHeight="1" x14ac:dyDescent="0.25">
      <c r="A201" s="19">
        <f t="shared" si="6"/>
        <v>0.16</v>
      </c>
      <c r="B201" s="20">
        <f t="shared" si="8"/>
        <v>-9.2800000000000007E-2</v>
      </c>
      <c r="C201" s="20">
        <f t="shared" si="8"/>
        <v>-9.5703040000000017E-2</v>
      </c>
      <c r="D201" s="20">
        <f t="shared" si="8"/>
        <v>-0.11566144000000002</v>
      </c>
      <c r="E201" s="20">
        <f t="shared" si="8"/>
        <v>-0.16619248000000003</v>
      </c>
      <c r="F201" s="20">
        <f t="shared" si="8"/>
        <v>-0.25700319999999999</v>
      </c>
      <c r="G201" s="20">
        <f t="shared" si="8"/>
        <v>-0.39399040000000002</v>
      </c>
      <c r="H201" s="20">
        <f t="shared" si="8"/>
        <v>-0.56998720000000003</v>
      </c>
      <c r="I201" s="20">
        <f t="shared" si="8"/>
        <v>-0.77501439999999999</v>
      </c>
      <c r="J201" s="20">
        <f t="shared" si="8"/>
        <v>-1</v>
      </c>
    </row>
    <row r="202" spans="1:10" ht="20.100000000000001" customHeight="1" x14ac:dyDescent="0.25">
      <c r="A202" s="19">
        <f t="shared" si="6"/>
        <v>0.18</v>
      </c>
      <c r="B202" s="20">
        <f t="shared" si="8"/>
        <v>-0.10619999999999999</v>
      </c>
      <c r="C202" s="20">
        <f t="shared" si="8"/>
        <v>-0.10906015999999999</v>
      </c>
      <c r="D202" s="20">
        <f t="shared" si="8"/>
        <v>-0.12872375999999999</v>
      </c>
      <c r="E202" s="20">
        <f t="shared" si="8"/>
        <v>-0.17850842</v>
      </c>
      <c r="F202" s="20">
        <f t="shared" si="8"/>
        <v>-0.26797779999999993</v>
      </c>
      <c r="G202" s="20">
        <f t="shared" si="8"/>
        <v>-0.40294159999999996</v>
      </c>
      <c r="H202" s="20">
        <f t="shared" si="8"/>
        <v>-0.57633879999999993</v>
      </c>
      <c r="I202" s="20">
        <f t="shared" si="8"/>
        <v>-0.77833760000000007</v>
      </c>
      <c r="J202" s="20">
        <f t="shared" si="8"/>
        <v>-1</v>
      </c>
    </row>
    <row r="203" spans="1:10" ht="20.100000000000001" customHeight="1" x14ac:dyDescent="0.25">
      <c r="A203" s="19">
        <f t="shared" si="6"/>
        <v>0.19999999999999998</v>
      </c>
      <c r="B203" s="20">
        <f t="shared" si="8"/>
        <v>-0.12</v>
      </c>
      <c r="C203" s="20">
        <f t="shared" si="8"/>
        <v>-0.12281599999999999</v>
      </c>
      <c r="D203" s="20">
        <f t="shared" si="8"/>
        <v>-0.142176</v>
      </c>
      <c r="E203" s="20">
        <f t="shared" si="8"/>
        <v>-0.191192</v>
      </c>
      <c r="F203" s="20">
        <f t="shared" si="8"/>
        <v>-0.27928000000000003</v>
      </c>
      <c r="G203" s="20">
        <f t="shared" si="8"/>
        <v>-0.41216000000000008</v>
      </c>
      <c r="H203" s="20">
        <f t="shared" si="8"/>
        <v>-0.58288000000000006</v>
      </c>
      <c r="I203" s="20">
        <f t="shared" si="8"/>
        <v>-0.78176000000000001</v>
      </c>
      <c r="J203" s="20">
        <f t="shared" si="8"/>
        <v>-1</v>
      </c>
    </row>
    <row r="204" spans="1:10" ht="20.100000000000001" customHeight="1" x14ac:dyDescent="0.25">
      <c r="A204" s="19">
        <f t="shared" si="6"/>
        <v>0.21999999999999997</v>
      </c>
      <c r="B204" s="20">
        <f t="shared" si="8"/>
        <v>-0.13419999999999999</v>
      </c>
      <c r="C204" s="20">
        <f t="shared" si="8"/>
        <v>-0.13697055999999999</v>
      </c>
      <c r="D204" s="20">
        <f t="shared" si="8"/>
        <v>-0.15601815999999999</v>
      </c>
      <c r="E204" s="20">
        <f t="shared" si="8"/>
        <v>-0.20424321999999998</v>
      </c>
      <c r="F204" s="20">
        <f t="shared" si="8"/>
        <v>-0.2909098</v>
      </c>
      <c r="G204" s="20">
        <f t="shared" si="8"/>
        <v>-0.42164559999999995</v>
      </c>
      <c r="H204" s="20">
        <f t="shared" si="8"/>
        <v>-0.58961079999999999</v>
      </c>
      <c r="I204" s="20">
        <f t="shared" si="8"/>
        <v>-0.78528160000000002</v>
      </c>
      <c r="J204" s="20">
        <f t="shared" si="8"/>
        <v>-1</v>
      </c>
    </row>
    <row r="205" spans="1:10" ht="20.100000000000001" customHeight="1" x14ac:dyDescent="0.25">
      <c r="A205" s="19">
        <f t="shared" si="6"/>
        <v>0.23999999999999996</v>
      </c>
      <c r="B205" s="20">
        <f t="shared" si="8"/>
        <v>-0.14879999999999999</v>
      </c>
      <c r="C205" s="20">
        <f t="shared" si="8"/>
        <v>-0.15152383999999999</v>
      </c>
      <c r="D205" s="20">
        <f t="shared" si="8"/>
        <v>-0.17025024</v>
      </c>
      <c r="E205" s="20">
        <f t="shared" si="8"/>
        <v>-0.21766207999999998</v>
      </c>
      <c r="F205" s="20">
        <f t="shared" si="8"/>
        <v>-0.3028672</v>
      </c>
      <c r="G205" s="20">
        <f t="shared" si="8"/>
        <v>-0.43139840000000007</v>
      </c>
      <c r="H205" s="20">
        <f t="shared" si="8"/>
        <v>-0.59653120000000004</v>
      </c>
      <c r="I205" s="20">
        <f t="shared" si="8"/>
        <v>-0.7889024</v>
      </c>
      <c r="J205" s="20">
        <f t="shared" si="8"/>
        <v>-1</v>
      </c>
    </row>
    <row r="206" spans="1:10" ht="20.100000000000001" customHeight="1" x14ac:dyDescent="0.25">
      <c r="A206" s="19">
        <f t="shared" ref="A206:A209" si="9">A135</f>
        <v>0.25999999999999995</v>
      </c>
      <c r="B206" s="20">
        <f t="shared" si="8"/>
        <v>-0.1638</v>
      </c>
      <c r="C206" s="20">
        <f t="shared" si="8"/>
        <v>-0.16647583999999999</v>
      </c>
      <c r="D206" s="20">
        <f t="shared" si="8"/>
        <v>-0.18487223999999997</v>
      </c>
      <c r="E206" s="20">
        <f t="shared" si="8"/>
        <v>-0.23144857999999999</v>
      </c>
      <c r="F206" s="20">
        <f t="shared" si="8"/>
        <v>-0.31515219999999999</v>
      </c>
      <c r="G206" s="20">
        <f t="shared" si="8"/>
        <v>-0.44141840000000004</v>
      </c>
      <c r="H206" s="20">
        <f t="shared" si="8"/>
        <v>-0.60364119999999999</v>
      </c>
      <c r="I206" s="20">
        <f t="shared" si="8"/>
        <v>-0.79262240000000006</v>
      </c>
      <c r="J206" s="20">
        <f t="shared" si="8"/>
        <v>-1</v>
      </c>
    </row>
    <row r="207" spans="1:10" ht="20.100000000000001" customHeight="1" x14ac:dyDescent="0.25">
      <c r="A207" s="19">
        <f t="shared" si="9"/>
        <v>0.27999999999999997</v>
      </c>
      <c r="B207" s="20">
        <f t="shared" si="8"/>
        <v>-0.17919999999999997</v>
      </c>
      <c r="C207" s="20">
        <f t="shared" si="8"/>
        <v>-0.18182655999999997</v>
      </c>
      <c r="D207" s="20">
        <f t="shared" si="8"/>
        <v>-0.19988415999999998</v>
      </c>
      <c r="E207" s="20">
        <f t="shared" si="8"/>
        <v>-0.24560271999999997</v>
      </c>
      <c r="F207" s="20">
        <f t="shared" si="8"/>
        <v>-0.32776479999999997</v>
      </c>
      <c r="G207" s="20">
        <f t="shared" si="8"/>
        <v>-0.45170559999999993</v>
      </c>
      <c r="H207" s="20">
        <f t="shared" si="8"/>
        <v>-0.61094080000000006</v>
      </c>
      <c r="I207" s="20">
        <f t="shared" si="8"/>
        <v>-0.79644159999999997</v>
      </c>
      <c r="J207" s="20">
        <f t="shared" si="8"/>
        <v>-1</v>
      </c>
    </row>
    <row r="208" spans="1:10" ht="20.100000000000001" customHeight="1" x14ac:dyDescent="0.25">
      <c r="A208" s="19">
        <f t="shared" si="9"/>
        <v>0.3</v>
      </c>
      <c r="B208" s="20">
        <f t="shared" si="8"/>
        <v>-0.19500000000000001</v>
      </c>
      <c r="C208" s="20">
        <f t="shared" si="8"/>
        <v>-0.197576</v>
      </c>
      <c r="D208" s="20">
        <f t="shared" si="8"/>
        <v>-0.21528600000000001</v>
      </c>
      <c r="E208" s="20">
        <f t="shared" si="8"/>
        <v>-0.26012450000000004</v>
      </c>
      <c r="F208" s="20">
        <f t="shared" si="8"/>
        <v>-0.34070500000000004</v>
      </c>
      <c r="G208" s="20">
        <f t="shared" si="8"/>
        <v>-0.46226</v>
      </c>
      <c r="H208" s="20">
        <f t="shared" si="8"/>
        <v>-0.61843000000000004</v>
      </c>
      <c r="I208" s="20">
        <f t="shared" si="8"/>
        <v>-0.80035999999999996</v>
      </c>
      <c r="J208" s="20">
        <f t="shared" si="8"/>
        <v>-1</v>
      </c>
    </row>
    <row r="209" spans="1:10" ht="20.100000000000001" customHeight="1" x14ac:dyDescent="0.25">
      <c r="A209" s="19">
        <f t="shared" si="9"/>
        <v>0.32</v>
      </c>
      <c r="B209" s="20">
        <f t="shared" si="8"/>
        <v>-0.2112</v>
      </c>
      <c r="C209" s="20">
        <f t="shared" si="8"/>
        <v>-0.21372416000000002</v>
      </c>
      <c r="D209" s="20">
        <f t="shared" si="8"/>
        <v>-0.23107776000000002</v>
      </c>
      <c r="E209" s="20">
        <f t="shared" si="8"/>
        <v>-0.27501392000000002</v>
      </c>
      <c r="F209" s="20">
        <f t="shared" si="8"/>
        <v>-0.35397280000000003</v>
      </c>
      <c r="G209" s="20">
        <f t="shared" si="8"/>
        <v>-0.47308159999999999</v>
      </c>
      <c r="H209" s="20">
        <f t="shared" si="8"/>
        <v>-0.62610879999999991</v>
      </c>
      <c r="I209" s="20">
        <f t="shared" si="8"/>
        <v>-0.80437760000000003</v>
      </c>
      <c r="J209" s="20">
        <f t="shared" si="8"/>
        <v>-1</v>
      </c>
    </row>
    <row r="210" spans="1:10" ht="20.100000000000001" customHeight="1" x14ac:dyDescent="0.25">
      <c r="A210" s="19">
        <f>A139</f>
        <v>0.34</v>
      </c>
      <c r="B210" s="20">
        <f t="shared" ref="B210:J225" si="10">-(B139/100)</f>
        <v>-0.22780000000000006</v>
      </c>
      <c r="C210" s="20">
        <f t="shared" si="10"/>
        <v>-0.23027104000000004</v>
      </c>
      <c r="D210" s="20">
        <f t="shared" si="10"/>
        <v>-0.24725944000000005</v>
      </c>
      <c r="E210" s="20">
        <f t="shared" si="10"/>
        <v>-0.29027098000000001</v>
      </c>
      <c r="F210" s="20">
        <f t="shared" si="10"/>
        <v>-0.36756820000000007</v>
      </c>
      <c r="G210" s="20">
        <f t="shared" si="10"/>
        <v>-0.48417040000000006</v>
      </c>
      <c r="H210" s="20">
        <f t="shared" si="10"/>
        <v>-0.63397720000000002</v>
      </c>
      <c r="I210" s="20">
        <f t="shared" si="10"/>
        <v>-0.80849440000000017</v>
      </c>
      <c r="J210" s="20">
        <f t="shared" si="10"/>
        <v>-1</v>
      </c>
    </row>
    <row r="211" spans="1:10" ht="20.100000000000001" customHeight="1" x14ac:dyDescent="0.25">
      <c r="A211" s="19">
        <f t="shared" ref="A211:A225" si="11">A140</f>
        <v>0.36000000000000004</v>
      </c>
      <c r="B211" s="20">
        <f t="shared" si="10"/>
        <v>-0.24480000000000002</v>
      </c>
      <c r="C211" s="20">
        <f t="shared" si="10"/>
        <v>-0.24721664000000002</v>
      </c>
      <c r="D211" s="20">
        <f t="shared" si="10"/>
        <v>-0.26383104000000002</v>
      </c>
      <c r="E211" s="20">
        <f t="shared" si="10"/>
        <v>-0.30589568</v>
      </c>
      <c r="F211" s="20">
        <f t="shared" si="10"/>
        <v>-0.38149119999999997</v>
      </c>
      <c r="G211" s="20">
        <f t="shared" si="10"/>
        <v>-0.49552639999999998</v>
      </c>
      <c r="H211" s="20">
        <f t="shared" si="10"/>
        <v>-0.64203520000000003</v>
      </c>
      <c r="I211" s="20">
        <f t="shared" si="10"/>
        <v>-0.81271039999999994</v>
      </c>
      <c r="J211" s="20">
        <f t="shared" si="10"/>
        <v>-1</v>
      </c>
    </row>
    <row r="212" spans="1:10" ht="20.100000000000001" customHeight="1" x14ac:dyDescent="0.25">
      <c r="A212" s="19">
        <f t="shared" si="11"/>
        <v>0.38000000000000006</v>
      </c>
      <c r="B212" s="20">
        <f t="shared" si="10"/>
        <v>-0.26220000000000004</v>
      </c>
      <c r="C212" s="20">
        <f t="shared" si="10"/>
        <v>-0.26456096000000007</v>
      </c>
      <c r="D212" s="20">
        <f t="shared" si="10"/>
        <v>-0.28079256000000002</v>
      </c>
      <c r="E212" s="20">
        <f t="shared" si="10"/>
        <v>-0.32188802000000005</v>
      </c>
      <c r="F212" s="20">
        <f t="shared" si="10"/>
        <v>-0.39574180000000003</v>
      </c>
      <c r="G212" s="20">
        <f t="shared" si="10"/>
        <v>-0.50714960000000009</v>
      </c>
      <c r="H212" s="20">
        <f t="shared" si="10"/>
        <v>-0.65028279999999994</v>
      </c>
      <c r="I212" s="20">
        <f t="shared" si="10"/>
        <v>-0.81702560000000002</v>
      </c>
      <c r="J212" s="20">
        <f t="shared" si="10"/>
        <v>-1</v>
      </c>
    </row>
    <row r="213" spans="1:10" ht="20.100000000000001" customHeight="1" x14ac:dyDescent="0.25">
      <c r="A213" s="19">
        <f t="shared" si="11"/>
        <v>0.40000000000000008</v>
      </c>
      <c r="B213" s="20">
        <f t="shared" si="10"/>
        <v>-0.28000000000000008</v>
      </c>
      <c r="C213" s="20">
        <f t="shared" si="10"/>
        <v>-0.28230400000000005</v>
      </c>
      <c r="D213" s="20">
        <f t="shared" si="10"/>
        <v>-0.29814400000000008</v>
      </c>
      <c r="E213" s="20">
        <f t="shared" si="10"/>
        <v>-0.3382480000000001</v>
      </c>
      <c r="F213" s="20">
        <f t="shared" si="10"/>
        <v>-0.41032000000000013</v>
      </c>
      <c r="G213" s="20">
        <f t="shared" si="10"/>
        <v>-0.51904000000000006</v>
      </c>
      <c r="H213" s="20">
        <f t="shared" si="10"/>
        <v>-0.65872000000000019</v>
      </c>
      <c r="I213" s="20">
        <f t="shared" si="10"/>
        <v>-0.82144000000000006</v>
      </c>
      <c r="J213" s="20">
        <f t="shared" si="10"/>
        <v>-1</v>
      </c>
    </row>
    <row r="214" spans="1:10" ht="20.100000000000001" customHeight="1" x14ac:dyDescent="0.25">
      <c r="A214" s="19">
        <f t="shared" si="11"/>
        <v>0.4200000000000001</v>
      </c>
      <c r="B214" s="20">
        <f t="shared" si="10"/>
        <v>-0.29820000000000008</v>
      </c>
      <c r="C214" s="20">
        <f t="shared" si="10"/>
        <v>-0.30044576000000006</v>
      </c>
      <c r="D214" s="20">
        <f t="shared" si="10"/>
        <v>-0.31588536000000006</v>
      </c>
      <c r="E214" s="20">
        <f t="shared" si="10"/>
        <v>-0.3549756200000001</v>
      </c>
      <c r="F214" s="20">
        <f t="shared" si="10"/>
        <v>-0.42522580000000004</v>
      </c>
      <c r="G214" s="20">
        <f t="shared" si="10"/>
        <v>-0.53119760000000016</v>
      </c>
      <c r="H214" s="20">
        <f t="shared" si="10"/>
        <v>-0.66734680000000002</v>
      </c>
      <c r="I214" s="20">
        <f t="shared" si="10"/>
        <v>-0.82595359999999995</v>
      </c>
      <c r="J214" s="20">
        <f t="shared" si="10"/>
        <v>-1</v>
      </c>
    </row>
    <row r="215" spans="1:10" ht="20.100000000000001" customHeight="1" x14ac:dyDescent="0.25">
      <c r="A215" s="19">
        <f t="shared" si="11"/>
        <v>0.44000000000000011</v>
      </c>
      <c r="B215" s="20">
        <f t="shared" si="10"/>
        <v>-0.31680000000000008</v>
      </c>
      <c r="C215" s="20">
        <f t="shared" si="10"/>
        <v>-0.31898624000000003</v>
      </c>
      <c r="D215" s="20">
        <f t="shared" si="10"/>
        <v>-0.33401664000000003</v>
      </c>
      <c r="E215" s="20">
        <f t="shared" si="10"/>
        <v>-0.37207088000000005</v>
      </c>
      <c r="F215" s="20">
        <f t="shared" si="10"/>
        <v>-0.44045920000000011</v>
      </c>
      <c r="G215" s="20">
        <f t="shared" si="10"/>
        <v>-0.54362240000000006</v>
      </c>
      <c r="H215" s="20">
        <f t="shared" si="10"/>
        <v>-0.67616319999999996</v>
      </c>
      <c r="I215" s="20">
        <f t="shared" si="10"/>
        <v>-0.83056640000000004</v>
      </c>
      <c r="J215" s="20">
        <f t="shared" si="10"/>
        <v>-1</v>
      </c>
    </row>
    <row r="216" spans="1:10" ht="20.100000000000001" customHeight="1" x14ac:dyDescent="0.25">
      <c r="A216" s="19">
        <f t="shared" si="11"/>
        <v>0.46000000000000013</v>
      </c>
      <c r="B216" s="20">
        <f t="shared" si="10"/>
        <v>-0.3358000000000001</v>
      </c>
      <c r="C216" s="20">
        <f t="shared" si="10"/>
        <v>-0.33792544000000013</v>
      </c>
      <c r="D216" s="20">
        <f t="shared" si="10"/>
        <v>-0.3525378400000001</v>
      </c>
      <c r="E216" s="20">
        <f t="shared" si="10"/>
        <v>-0.38953378000000016</v>
      </c>
      <c r="F216" s="20">
        <f t="shared" si="10"/>
        <v>-0.4560202000000001</v>
      </c>
      <c r="G216" s="20">
        <f t="shared" si="10"/>
        <v>-0.5563144000000001</v>
      </c>
      <c r="H216" s="20">
        <f t="shared" si="10"/>
        <v>-0.68516920000000003</v>
      </c>
      <c r="I216" s="20">
        <f t="shared" si="10"/>
        <v>-0.83527840000000009</v>
      </c>
      <c r="J216" s="20">
        <f t="shared" si="10"/>
        <v>-1</v>
      </c>
    </row>
    <row r="217" spans="1:10" ht="20.100000000000001" customHeight="1" x14ac:dyDescent="0.25">
      <c r="A217" s="19">
        <f t="shared" si="11"/>
        <v>0.48000000000000015</v>
      </c>
      <c r="B217" s="20">
        <f t="shared" si="10"/>
        <v>-0.35520000000000013</v>
      </c>
      <c r="C217" s="20">
        <f t="shared" si="10"/>
        <v>-0.35726336000000009</v>
      </c>
      <c r="D217" s="20">
        <f t="shared" si="10"/>
        <v>-0.37144896000000011</v>
      </c>
      <c r="E217" s="20">
        <f t="shared" si="10"/>
        <v>-0.40736432000000006</v>
      </c>
      <c r="F217" s="20">
        <f t="shared" si="10"/>
        <v>-0.47190880000000007</v>
      </c>
      <c r="G217" s="20">
        <f t="shared" si="10"/>
        <v>-0.56927360000000005</v>
      </c>
      <c r="H217" s="20">
        <f t="shared" si="10"/>
        <v>-0.69436480000000023</v>
      </c>
      <c r="I217" s="20">
        <f t="shared" si="10"/>
        <v>-0.84008959999999999</v>
      </c>
      <c r="J217" s="20">
        <f t="shared" si="10"/>
        <v>-1</v>
      </c>
    </row>
    <row r="218" spans="1:10" ht="20.100000000000001" customHeight="1" x14ac:dyDescent="0.25">
      <c r="A218" s="19">
        <f t="shared" si="11"/>
        <v>0.50000000000000011</v>
      </c>
      <c r="B218" s="20">
        <f t="shared" si="10"/>
        <v>-0.37500000000000017</v>
      </c>
      <c r="C218" s="20">
        <f t="shared" si="10"/>
        <v>-0.37700000000000017</v>
      </c>
      <c r="D218" s="20">
        <f t="shared" si="10"/>
        <v>-0.39075000000000015</v>
      </c>
      <c r="E218" s="20">
        <f t="shared" si="10"/>
        <v>-0.42556250000000012</v>
      </c>
      <c r="F218" s="20">
        <f t="shared" si="10"/>
        <v>-0.48812500000000014</v>
      </c>
      <c r="G218" s="20">
        <f t="shared" si="10"/>
        <v>-0.58250000000000013</v>
      </c>
      <c r="H218" s="20">
        <f t="shared" si="10"/>
        <v>-0.70374999999999999</v>
      </c>
      <c r="I218" s="20">
        <f t="shared" si="10"/>
        <v>-0.84499999999999997</v>
      </c>
      <c r="J218" s="20">
        <f t="shared" si="10"/>
        <v>-1</v>
      </c>
    </row>
    <row r="219" spans="1:10" ht="20.100000000000001" customHeight="1" x14ac:dyDescent="0.25">
      <c r="A219" s="19">
        <f t="shared" si="11"/>
        <v>0.52000000000000013</v>
      </c>
      <c r="B219" s="20">
        <f t="shared" si="10"/>
        <v>-0.39520000000000011</v>
      </c>
      <c r="C219" s="20">
        <f t="shared" si="10"/>
        <v>-0.3971353600000001</v>
      </c>
      <c r="D219" s="20">
        <f t="shared" si="10"/>
        <v>-0.41044096000000008</v>
      </c>
      <c r="E219" s="20">
        <f t="shared" si="10"/>
        <v>-0.44412832000000008</v>
      </c>
      <c r="F219" s="20">
        <f t="shared" si="10"/>
        <v>-0.50466880000000014</v>
      </c>
      <c r="G219" s="20">
        <f t="shared" si="10"/>
        <v>-0.59599360000000001</v>
      </c>
      <c r="H219" s="20">
        <f t="shared" si="10"/>
        <v>-0.71332480000000009</v>
      </c>
      <c r="I219" s="20">
        <f t="shared" si="10"/>
        <v>-0.85000960000000003</v>
      </c>
      <c r="J219" s="20">
        <f t="shared" si="10"/>
        <v>-1</v>
      </c>
    </row>
    <row r="220" spans="1:10" ht="20.100000000000001" customHeight="1" x14ac:dyDescent="0.25">
      <c r="A220" s="19">
        <f t="shared" si="11"/>
        <v>0.54000000000000015</v>
      </c>
      <c r="B220" s="20">
        <f t="shared" si="10"/>
        <v>-0.41580000000000017</v>
      </c>
      <c r="C220" s="20">
        <f t="shared" si="10"/>
        <v>-0.41766944000000017</v>
      </c>
      <c r="D220" s="20">
        <f t="shared" si="10"/>
        <v>-0.43052184000000016</v>
      </c>
      <c r="E220" s="20">
        <f t="shared" si="10"/>
        <v>-0.46306178000000014</v>
      </c>
      <c r="F220" s="20">
        <f t="shared" si="10"/>
        <v>-0.52154020000000012</v>
      </c>
      <c r="G220" s="20">
        <f t="shared" si="10"/>
        <v>-0.60975440000000014</v>
      </c>
      <c r="H220" s="20">
        <f t="shared" si="10"/>
        <v>-0.72308919999999999</v>
      </c>
      <c r="I220" s="20">
        <f t="shared" si="10"/>
        <v>-0.85511840000000006</v>
      </c>
      <c r="J220" s="20">
        <f t="shared" si="10"/>
        <v>-1</v>
      </c>
    </row>
    <row r="221" spans="1:10" ht="20.100000000000001" customHeight="1" x14ac:dyDescent="0.25">
      <c r="A221" s="19">
        <f t="shared" si="11"/>
        <v>0.56000000000000016</v>
      </c>
      <c r="B221" s="20">
        <f t="shared" si="10"/>
        <v>-0.43680000000000019</v>
      </c>
      <c r="C221" s="20">
        <f t="shared" si="10"/>
        <v>-0.43860224000000025</v>
      </c>
      <c r="D221" s="20">
        <f t="shared" si="10"/>
        <v>-0.45099264000000017</v>
      </c>
      <c r="E221" s="20">
        <f t="shared" si="10"/>
        <v>-0.48236288000000016</v>
      </c>
      <c r="F221" s="20">
        <f t="shared" si="10"/>
        <v>-0.5387392000000002</v>
      </c>
      <c r="G221" s="20">
        <f t="shared" si="10"/>
        <v>-0.62378240000000018</v>
      </c>
      <c r="H221" s="20">
        <f t="shared" si="10"/>
        <v>-0.73304320000000023</v>
      </c>
      <c r="I221" s="20">
        <f t="shared" si="10"/>
        <v>-0.86032640000000005</v>
      </c>
      <c r="J221" s="20">
        <f t="shared" si="10"/>
        <v>-1</v>
      </c>
    </row>
    <row r="222" spans="1:10" ht="20.100000000000001" customHeight="1" x14ac:dyDescent="0.25">
      <c r="A222" s="19">
        <f t="shared" si="11"/>
        <v>0.58000000000000018</v>
      </c>
      <c r="B222" s="20">
        <f t="shared" si="10"/>
        <v>-0.45820000000000016</v>
      </c>
      <c r="C222" s="20">
        <f t="shared" si="10"/>
        <v>-0.45993376000000014</v>
      </c>
      <c r="D222" s="20">
        <f t="shared" si="10"/>
        <v>-0.47185336000000011</v>
      </c>
      <c r="E222" s="20">
        <f t="shared" si="10"/>
        <v>-0.50203162000000012</v>
      </c>
      <c r="F222" s="20">
        <f t="shared" si="10"/>
        <v>-0.55626580000000014</v>
      </c>
      <c r="G222" s="20">
        <f t="shared" si="10"/>
        <v>-0.63807760000000013</v>
      </c>
      <c r="H222" s="20">
        <f t="shared" si="10"/>
        <v>-0.74318680000000004</v>
      </c>
      <c r="I222" s="20">
        <f t="shared" si="10"/>
        <v>-0.8656336</v>
      </c>
      <c r="J222" s="20">
        <f t="shared" si="10"/>
        <v>-1</v>
      </c>
    </row>
    <row r="223" spans="1:10" ht="20.100000000000001" customHeight="1" x14ac:dyDescent="0.25">
      <c r="A223" s="19">
        <f t="shared" si="11"/>
        <v>0.6000000000000002</v>
      </c>
      <c r="B223" s="20">
        <f t="shared" si="10"/>
        <v>-0.4800000000000002</v>
      </c>
      <c r="C223" s="20">
        <f t="shared" si="10"/>
        <v>-0.48166400000000026</v>
      </c>
      <c r="D223" s="20">
        <f t="shared" si="10"/>
        <v>-0.49310400000000021</v>
      </c>
      <c r="E223" s="20">
        <f t="shared" si="10"/>
        <v>-0.5220680000000002</v>
      </c>
      <c r="F223" s="20">
        <f t="shared" si="10"/>
        <v>-0.57412000000000019</v>
      </c>
      <c r="G223" s="20">
        <f t="shared" si="10"/>
        <v>-0.65264000000000011</v>
      </c>
      <c r="H223" s="20">
        <f t="shared" si="10"/>
        <v>-0.75352000000000008</v>
      </c>
      <c r="I223" s="20">
        <f t="shared" si="10"/>
        <v>-0.87104000000000015</v>
      </c>
      <c r="J223" s="20">
        <f t="shared" si="10"/>
        <v>-1</v>
      </c>
    </row>
    <row r="224" spans="1:10" ht="20.100000000000001" customHeight="1" x14ac:dyDescent="0.25">
      <c r="A224" s="19">
        <f t="shared" si="11"/>
        <v>0.62000000000000022</v>
      </c>
      <c r="B224" s="20">
        <f t="shared" si="10"/>
        <v>-0.5022000000000002</v>
      </c>
      <c r="C224" s="20">
        <f t="shared" si="10"/>
        <v>-0.50379296000000018</v>
      </c>
      <c r="D224" s="20">
        <f t="shared" si="10"/>
        <v>-0.51474456000000013</v>
      </c>
      <c r="E224" s="20">
        <f t="shared" si="10"/>
        <v>-0.54247202000000017</v>
      </c>
      <c r="F224" s="20">
        <f t="shared" si="10"/>
        <v>-0.59230180000000021</v>
      </c>
      <c r="G224" s="20">
        <f t="shared" si="10"/>
        <v>-0.66746960000000011</v>
      </c>
      <c r="H224" s="20">
        <f t="shared" si="10"/>
        <v>-0.76404280000000013</v>
      </c>
      <c r="I224" s="20">
        <f t="shared" si="10"/>
        <v>-0.87654560000000004</v>
      </c>
      <c r="J224" s="20">
        <f t="shared" si="10"/>
        <v>-1</v>
      </c>
    </row>
    <row r="225" spans="1:10" ht="20.100000000000001" customHeight="1" x14ac:dyDescent="0.25">
      <c r="A225" s="19">
        <f t="shared" si="11"/>
        <v>0.64000000000000024</v>
      </c>
      <c r="B225" s="20">
        <f t="shared" si="10"/>
        <v>-0.52480000000000027</v>
      </c>
      <c r="C225" s="20">
        <f t="shared" si="10"/>
        <v>-0.52632064000000023</v>
      </c>
      <c r="D225" s="20">
        <f t="shared" si="10"/>
        <v>-0.53677504000000031</v>
      </c>
      <c r="E225" s="20">
        <f t="shared" si="10"/>
        <v>-0.56324368000000025</v>
      </c>
      <c r="F225" s="20">
        <f t="shared" si="10"/>
        <v>-0.61081120000000022</v>
      </c>
      <c r="G225" s="20">
        <f t="shared" si="10"/>
        <v>-0.68256640000000024</v>
      </c>
      <c r="H225" s="20">
        <f t="shared" si="10"/>
        <v>-0.7747552000000002</v>
      </c>
      <c r="I225" s="20">
        <f t="shared" si="10"/>
        <v>-0.88215040000000011</v>
      </c>
      <c r="J225" s="20">
        <f t="shared" si="10"/>
        <v>-1</v>
      </c>
    </row>
    <row r="226" spans="1:10" ht="20.100000000000001" customHeight="1" x14ac:dyDescent="0.25">
      <c r="A226" s="19">
        <f>A155</f>
        <v>0.66000000000000025</v>
      </c>
      <c r="B226" s="20">
        <f t="shared" ref="B226:J241" si="12">-(B155/100)</f>
        <v>-0.54780000000000029</v>
      </c>
      <c r="C226" s="20">
        <f t="shared" si="12"/>
        <v>-0.54924704000000024</v>
      </c>
      <c r="D226" s="20">
        <f t="shared" si="12"/>
        <v>-0.55919544000000032</v>
      </c>
      <c r="E226" s="20">
        <f t="shared" si="12"/>
        <v>-0.58438298000000022</v>
      </c>
      <c r="F226" s="20">
        <f t="shared" si="12"/>
        <v>-0.62964820000000021</v>
      </c>
      <c r="G226" s="20">
        <f t="shared" si="12"/>
        <v>-0.69793040000000017</v>
      </c>
      <c r="H226" s="20">
        <f t="shared" si="12"/>
        <v>-0.78565720000000017</v>
      </c>
      <c r="I226" s="20">
        <f t="shared" si="12"/>
        <v>-0.88785440000000004</v>
      </c>
      <c r="J226" s="20">
        <f t="shared" si="12"/>
        <v>-1</v>
      </c>
    </row>
    <row r="227" spans="1:10" ht="20.100000000000001" customHeight="1" x14ac:dyDescent="0.25">
      <c r="A227" s="19">
        <f t="shared" ref="A227:A243" si="13">A156</f>
        <v>0.68000000000000027</v>
      </c>
      <c r="B227" s="20">
        <f t="shared" si="12"/>
        <v>-0.57120000000000037</v>
      </c>
      <c r="C227" s="20">
        <f t="shared" si="12"/>
        <v>-0.57257216000000044</v>
      </c>
      <c r="D227" s="20">
        <f t="shared" si="12"/>
        <v>-0.58200576000000037</v>
      </c>
      <c r="E227" s="20">
        <f t="shared" si="12"/>
        <v>-0.6058899200000003</v>
      </c>
      <c r="F227" s="20">
        <f t="shared" si="12"/>
        <v>-0.6488128000000003</v>
      </c>
      <c r="G227" s="20">
        <f t="shared" si="12"/>
        <v>-0.71356160000000035</v>
      </c>
      <c r="H227" s="20">
        <f t="shared" si="12"/>
        <v>-0.79674880000000015</v>
      </c>
      <c r="I227" s="20">
        <f t="shared" si="12"/>
        <v>-0.89365760000000027</v>
      </c>
      <c r="J227" s="20">
        <f t="shared" si="12"/>
        <v>-1</v>
      </c>
    </row>
    <row r="228" spans="1:10" ht="20.100000000000001" customHeight="1" x14ac:dyDescent="0.25">
      <c r="A228" s="19">
        <f t="shared" si="13"/>
        <v>0.70000000000000029</v>
      </c>
      <c r="B228" s="20">
        <f t="shared" si="12"/>
        <v>-0.59500000000000031</v>
      </c>
      <c r="C228" s="20">
        <f t="shared" si="12"/>
        <v>-0.59629600000000027</v>
      </c>
      <c r="D228" s="20">
        <f t="shared" si="12"/>
        <v>-0.60520600000000035</v>
      </c>
      <c r="E228" s="20">
        <f t="shared" si="12"/>
        <v>-0.62776450000000028</v>
      </c>
      <c r="F228" s="20">
        <f t="shared" si="12"/>
        <v>-0.66830500000000026</v>
      </c>
      <c r="G228" s="20">
        <f t="shared" si="12"/>
        <v>-0.72946000000000022</v>
      </c>
      <c r="H228" s="20">
        <f t="shared" si="12"/>
        <v>-0.80803000000000014</v>
      </c>
      <c r="I228" s="20">
        <f t="shared" si="12"/>
        <v>-0.89956000000000014</v>
      </c>
      <c r="J228" s="20">
        <f t="shared" si="12"/>
        <v>-1</v>
      </c>
    </row>
    <row r="229" spans="1:10" ht="20.100000000000001" customHeight="1" x14ac:dyDescent="0.25">
      <c r="A229" s="19">
        <f t="shared" si="13"/>
        <v>0.72000000000000031</v>
      </c>
      <c r="B229" s="20">
        <f t="shared" si="12"/>
        <v>-0.61920000000000042</v>
      </c>
      <c r="C229" s="20">
        <f t="shared" si="12"/>
        <v>-0.62041856000000051</v>
      </c>
      <c r="D229" s="20">
        <f t="shared" si="12"/>
        <v>-0.62879616000000038</v>
      </c>
      <c r="E229" s="20">
        <f t="shared" si="12"/>
        <v>-0.65000672000000037</v>
      </c>
      <c r="F229" s="20">
        <f t="shared" si="12"/>
        <v>-0.68812480000000031</v>
      </c>
      <c r="G229" s="20">
        <f t="shared" si="12"/>
        <v>-0.74562560000000033</v>
      </c>
      <c r="H229" s="20">
        <f t="shared" si="12"/>
        <v>-0.81950080000000014</v>
      </c>
      <c r="I229" s="20">
        <f t="shared" si="12"/>
        <v>-0.90556160000000008</v>
      </c>
      <c r="J229" s="20">
        <f t="shared" si="12"/>
        <v>-1</v>
      </c>
    </row>
    <row r="230" spans="1:10" ht="20.100000000000001" customHeight="1" x14ac:dyDescent="0.25">
      <c r="A230" s="19">
        <f t="shared" si="13"/>
        <v>0.74000000000000032</v>
      </c>
      <c r="B230" s="20">
        <f t="shared" si="12"/>
        <v>-0.64380000000000037</v>
      </c>
      <c r="C230" s="20">
        <f t="shared" si="12"/>
        <v>-0.64493984000000038</v>
      </c>
      <c r="D230" s="20">
        <f t="shared" si="12"/>
        <v>-0.65277624000000034</v>
      </c>
      <c r="E230" s="20">
        <f t="shared" si="12"/>
        <v>-0.67261658000000035</v>
      </c>
      <c r="F230" s="20">
        <f t="shared" si="12"/>
        <v>-0.70827220000000035</v>
      </c>
      <c r="G230" s="20">
        <f t="shared" si="12"/>
        <v>-0.76205840000000025</v>
      </c>
      <c r="H230" s="20">
        <f t="shared" si="12"/>
        <v>-0.83116120000000027</v>
      </c>
      <c r="I230" s="20">
        <f t="shared" si="12"/>
        <v>-0.91166240000000021</v>
      </c>
      <c r="J230" s="20">
        <f t="shared" si="12"/>
        <v>-1</v>
      </c>
    </row>
    <row r="231" spans="1:10" ht="20.100000000000001" customHeight="1" x14ac:dyDescent="0.25">
      <c r="A231" s="19">
        <f t="shared" si="13"/>
        <v>0.76000000000000034</v>
      </c>
      <c r="B231" s="20">
        <f t="shared" si="12"/>
        <v>-0.66880000000000051</v>
      </c>
      <c r="C231" s="20">
        <f t="shared" si="12"/>
        <v>-0.66985984000000054</v>
      </c>
      <c r="D231" s="20">
        <f t="shared" si="12"/>
        <v>-0.67714624000000057</v>
      </c>
      <c r="E231" s="20">
        <f t="shared" si="12"/>
        <v>-0.69559408000000045</v>
      </c>
      <c r="F231" s="20">
        <f t="shared" si="12"/>
        <v>-0.72874720000000037</v>
      </c>
      <c r="G231" s="20">
        <f t="shared" si="12"/>
        <v>-0.77875840000000041</v>
      </c>
      <c r="H231" s="20">
        <f t="shared" si="12"/>
        <v>-0.84301120000000029</v>
      </c>
      <c r="I231" s="20">
        <f t="shared" si="12"/>
        <v>-0.91786240000000019</v>
      </c>
      <c r="J231" s="20">
        <f t="shared" si="12"/>
        <v>-1</v>
      </c>
    </row>
    <row r="232" spans="1:10" ht="20.100000000000001" customHeight="1" x14ac:dyDescent="0.25">
      <c r="A232" s="19">
        <f t="shared" si="13"/>
        <v>0.78000000000000036</v>
      </c>
      <c r="B232" s="20">
        <f t="shared" si="12"/>
        <v>-0.69420000000000048</v>
      </c>
      <c r="C232" s="20">
        <f t="shared" si="12"/>
        <v>-0.69517856000000033</v>
      </c>
      <c r="D232" s="20">
        <f t="shared" si="12"/>
        <v>-0.7019061600000005</v>
      </c>
      <c r="E232" s="20">
        <f t="shared" si="12"/>
        <v>-0.71893922000000043</v>
      </c>
      <c r="F232" s="20">
        <f t="shared" si="12"/>
        <v>-0.74954980000000038</v>
      </c>
      <c r="G232" s="20">
        <f t="shared" si="12"/>
        <v>-0.79572560000000037</v>
      </c>
      <c r="H232" s="20">
        <f t="shared" si="12"/>
        <v>-0.85505080000000022</v>
      </c>
      <c r="I232" s="20">
        <f t="shared" si="12"/>
        <v>-0.92416160000000014</v>
      </c>
      <c r="J232" s="20">
        <f t="shared" si="12"/>
        <v>-1</v>
      </c>
    </row>
    <row r="233" spans="1:10" ht="20.100000000000001" customHeight="1" x14ac:dyDescent="0.25">
      <c r="A233" s="19">
        <f t="shared" si="13"/>
        <v>0.80000000000000038</v>
      </c>
      <c r="B233" s="20">
        <f t="shared" si="12"/>
        <v>-0.72000000000000042</v>
      </c>
      <c r="C233" s="20">
        <f t="shared" si="12"/>
        <v>-0.72089600000000043</v>
      </c>
      <c r="D233" s="20">
        <f t="shared" si="12"/>
        <v>-0.72705600000000048</v>
      </c>
      <c r="E233" s="20">
        <f t="shared" si="12"/>
        <v>-0.74265200000000031</v>
      </c>
      <c r="F233" s="20">
        <f t="shared" si="12"/>
        <v>-0.77068000000000036</v>
      </c>
      <c r="G233" s="20">
        <f t="shared" si="12"/>
        <v>-0.81296000000000035</v>
      </c>
      <c r="H233" s="20">
        <f t="shared" si="12"/>
        <v>-0.86728000000000027</v>
      </c>
      <c r="I233" s="20">
        <f t="shared" si="12"/>
        <v>-0.93056000000000016</v>
      </c>
      <c r="J233" s="20">
        <f t="shared" si="12"/>
        <v>-1</v>
      </c>
    </row>
    <row r="234" spans="1:10" ht="20.100000000000001" customHeight="1" x14ac:dyDescent="0.25">
      <c r="A234" s="19">
        <f t="shared" si="13"/>
        <v>0.8200000000000004</v>
      </c>
      <c r="B234" s="20">
        <f t="shared" si="12"/>
        <v>-0.74620000000000042</v>
      </c>
      <c r="C234" s="20">
        <f t="shared" si="12"/>
        <v>-0.74701216000000048</v>
      </c>
      <c r="D234" s="20">
        <f t="shared" si="12"/>
        <v>-0.7525957600000005</v>
      </c>
      <c r="E234" s="20">
        <f t="shared" si="12"/>
        <v>-0.76673242000000041</v>
      </c>
      <c r="F234" s="20">
        <f t="shared" si="12"/>
        <v>-0.79213780000000045</v>
      </c>
      <c r="G234" s="20">
        <f t="shared" si="12"/>
        <v>-0.83046160000000024</v>
      </c>
      <c r="H234" s="20">
        <f t="shared" si="12"/>
        <v>-0.87969880000000023</v>
      </c>
      <c r="I234" s="20">
        <f t="shared" si="12"/>
        <v>-0.93705760000000016</v>
      </c>
      <c r="J234" s="20">
        <f t="shared" si="12"/>
        <v>-1</v>
      </c>
    </row>
    <row r="235" spans="1:10" ht="20.100000000000001" customHeight="1" x14ac:dyDescent="0.25">
      <c r="A235" s="19">
        <f t="shared" si="13"/>
        <v>0.84000000000000041</v>
      </c>
      <c r="B235" s="20">
        <f t="shared" si="12"/>
        <v>-0.7728000000000006</v>
      </c>
      <c r="C235" s="20">
        <f t="shared" si="12"/>
        <v>-0.77352704000000061</v>
      </c>
      <c r="D235" s="20">
        <f t="shared" si="12"/>
        <v>-0.77852544000000057</v>
      </c>
      <c r="E235" s="20">
        <f t="shared" si="12"/>
        <v>-0.79118048000000063</v>
      </c>
      <c r="F235" s="20">
        <f t="shared" si="12"/>
        <v>-0.8139232000000004</v>
      </c>
      <c r="G235" s="20">
        <f t="shared" si="12"/>
        <v>-0.84823040000000038</v>
      </c>
      <c r="H235" s="20">
        <f t="shared" si="12"/>
        <v>-0.89230720000000019</v>
      </c>
      <c r="I235" s="20">
        <f t="shared" si="12"/>
        <v>-0.94365440000000023</v>
      </c>
      <c r="J235" s="20">
        <f t="shared" si="12"/>
        <v>-1</v>
      </c>
    </row>
    <row r="236" spans="1:10" ht="20.100000000000001" customHeight="1" x14ac:dyDescent="0.25">
      <c r="A236" s="19">
        <f t="shared" si="13"/>
        <v>0.86000000000000043</v>
      </c>
      <c r="B236" s="20">
        <f t="shared" si="12"/>
        <v>-0.79980000000000051</v>
      </c>
      <c r="C236" s="20">
        <f t="shared" si="12"/>
        <v>-0.80044064000000048</v>
      </c>
      <c r="D236" s="20">
        <f t="shared" si="12"/>
        <v>-0.80484504000000046</v>
      </c>
      <c r="E236" s="20">
        <f t="shared" si="12"/>
        <v>-0.81599618000000051</v>
      </c>
      <c r="F236" s="20">
        <f t="shared" si="12"/>
        <v>-0.83603620000000034</v>
      </c>
      <c r="G236" s="20">
        <f t="shared" si="12"/>
        <v>-0.86626640000000033</v>
      </c>
      <c r="H236" s="20">
        <f t="shared" si="12"/>
        <v>-0.90510520000000028</v>
      </c>
      <c r="I236" s="20">
        <f t="shared" si="12"/>
        <v>-0.95035040000000004</v>
      </c>
      <c r="J236" s="20">
        <f t="shared" si="12"/>
        <v>-1</v>
      </c>
    </row>
    <row r="237" spans="1:10" ht="20.100000000000001" customHeight="1" x14ac:dyDescent="0.25">
      <c r="A237" s="19">
        <f t="shared" si="13"/>
        <v>0.88000000000000045</v>
      </c>
      <c r="B237" s="20">
        <f t="shared" si="12"/>
        <v>-0.8272000000000006</v>
      </c>
      <c r="C237" s="20">
        <f t="shared" si="12"/>
        <v>-0.82775296000000054</v>
      </c>
      <c r="D237" s="20">
        <f t="shared" si="12"/>
        <v>-0.83155456000000061</v>
      </c>
      <c r="E237" s="20">
        <f t="shared" si="12"/>
        <v>-0.8411795200000004</v>
      </c>
      <c r="F237" s="20">
        <f t="shared" si="12"/>
        <v>-0.85847680000000037</v>
      </c>
      <c r="G237" s="20">
        <f t="shared" si="12"/>
        <v>-0.8845696000000004</v>
      </c>
      <c r="H237" s="20">
        <f t="shared" si="12"/>
        <v>-0.91809280000000026</v>
      </c>
      <c r="I237" s="20">
        <f t="shared" si="12"/>
        <v>-0.95714560000000004</v>
      </c>
      <c r="J237" s="20">
        <f t="shared" si="12"/>
        <v>-1</v>
      </c>
    </row>
    <row r="238" spans="1:10" ht="20.100000000000001" customHeight="1" x14ac:dyDescent="0.25">
      <c r="A238" s="19">
        <f t="shared" si="13"/>
        <v>0.90000000000000047</v>
      </c>
      <c r="B238" s="20">
        <f t="shared" si="12"/>
        <v>-0.85500000000000076</v>
      </c>
      <c r="C238" s="20">
        <f t="shared" si="12"/>
        <v>-0.85546400000000078</v>
      </c>
      <c r="D238" s="20">
        <f t="shared" si="12"/>
        <v>-0.85865400000000069</v>
      </c>
      <c r="E238" s="20">
        <f t="shared" si="12"/>
        <v>-0.86673050000000063</v>
      </c>
      <c r="F238" s="20">
        <f t="shared" si="12"/>
        <v>-0.8812450000000005</v>
      </c>
      <c r="G238" s="20">
        <f t="shared" si="12"/>
        <v>-0.9031400000000005</v>
      </c>
      <c r="H238" s="20">
        <f t="shared" si="12"/>
        <v>-0.93127000000000038</v>
      </c>
      <c r="I238" s="20">
        <f t="shared" si="12"/>
        <v>-0.96404000000000023</v>
      </c>
      <c r="J238" s="20">
        <f t="shared" si="12"/>
        <v>-1</v>
      </c>
    </row>
    <row r="239" spans="1:10" ht="20.100000000000001" customHeight="1" x14ac:dyDescent="0.25">
      <c r="A239" s="19">
        <f t="shared" si="13"/>
        <v>0.92000000000000048</v>
      </c>
      <c r="B239" s="20">
        <f t="shared" si="12"/>
        <v>-0.88320000000000065</v>
      </c>
      <c r="C239" s="20">
        <f t="shared" si="12"/>
        <v>-0.88357376000000054</v>
      </c>
      <c r="D239" s="20">
        <f t="shared" si="12"/>
        <v>-0.8861433600000006</v>
      </c>
      <c r="E239" s="20">
        <f t="shared" si="12"/>
        <v>-0.89264912000000052</v>
      </c>
      <c r="F239" s="20">
        <f t="shared" si="12"/>
        <v>-0.9043408000000005</v>
      </c>
      <c r="G239" s="20">
        <f t="shared" si="12"/>
        <v>-0.9219776000000004</v>
      </c>
      <c r="H239" s="20">
        <f t="shared" si="12"/>
        <v>-0.94463680000000028</v>
      </c>
      <c r="I239" s="20">
        <f t="shared" si="12"/>
        <v>-0.97103360000000005</v>
      </c>
      <c r="J239" s="20">
        <f t="shared" si="12"/>
        <v>-1</v>
      </c>
    </row>
    <row r="240" spans="1:10" ht="20.100000000000001" customHeight="1" x14ac:dyDescent="0.25">
      <c r="A240" s="19">
        <f t="shared" si="13"/>
        <v>0.9400000000000005</v>
      </c>
      <c r="B240" s="20">
        <f t="shared" si="12"/>
        <v>-0.91180000000000083</v>
      </c>
      <c r="C240" s="20">
        <f t="shared" si="12"/>
        <v>-0.91208224000000071</v>
      </c>
      <c r="D240" s="20">
        <f t="shared" si="12"/>
        <v>-0.91402264000000077</v>
      </c>
      <c r="E240" s="20">
        <f t="shared" si="12"/>
        <v>-0.91893538000000075</v>
      </c>
      <c r="F240" s="20">
        <f t="shared" si="12"/>
        <v>-0.92776420000000059</v>
      </c>
      <c r="G240" s="20">
        <f t="shared" si="12"/>
        <v>-0.94108240000000054</v>
      </c>
      <c r="H240" s="20">
        <f t="shared" si="12"/>
        <v>-0.9581932000000003</v>
      </c>
      <c r="I240" s="20">
        <f t="shared" si="12"/>
        <v>-0.97812640000000017</v>
      </c>
      <c r="J240" s="20">
        <f t="shared" si="12"/>
        <v>-1</v>
      </c>
    </row>
    <row r="241" spans="1:10" ht="20.100000000000001" customHeight="1" x14ac:dyDescent="0.25">
      <c r="A241" s="19">
        <f t="shared" si="13"/>
        <v>0.96000000000000052</v>
      </c>
      <c r="B241" s="20">
        <f t="shared" si="12"/>
        <v>-0.94080000000000075</v>
      </c>
      <c r="C241" s="20">
        <f t="shared" si="12"/>
        <v>-0.94098944000000073</v>
      </c>
      <c r="D241" s="20">
        <f t="shared" si="12"/>
        <v>-0.94229184000000077</v>
      </c>
      <c r="E241" s="20">
        <f t="shared" si="12"/>
        <v>-0.94558928000000064</v>
      </c>
      <c r="F241" s="20">
        <f t="shared" si="12"/>
        <v>-0.95151520000000067</v>
      </c>
      <c r="G241" s="20">
        <f t="shared" si="12"/>
        <v>-0.96045440000000037</v>
      </c>
      <c r="H241" s="20">
        <f t="shared" si="12"/>
        <v>-0.97193920000000034</v>
      </c>
      <c r="I241" s="20">
        <f t="shared" si="12"/>
        <v>-0.98531840000000015</v>
      </c>
      <c r="J241" s="20">
        <f t="shared" si="12"/>
        <v>-1</v>
      </c>
    </row>
    <row r="242" spans="1:10" ht="20.100000000000001" customHeight="1" x14ac:dyDescent="0.25">
      <c r="A242" s="19">
        <f t="shared" si="13"/>
        <v>0.98000000000000054</v>
      </c>
      <c r="B242" s="20">
        <f t="shared" ref="B242:J243" si="14">-(B171/100)</f>
        <v>-0.97020000000000084</v>
      </c>
      <c r="C242" s="20">
        <f t="shared" si="14"/>
        <v>-0.97029536000000083</v>
      </c>
      <c r="D242" s="20">
        <f t="shared" si="14"/>
        <v>-0.97095096000000081</v>
      </c>
      <c r="E242" s="20">
        <f t="shared" si="14"/>
        <v>-0.97261082000000076</v>
      </c>
      <c r="F242" s="20">
        <f t="shared" si="14"/>
        <v>-0.97559380000000062</v>
      </c>
      <c r="G242" s="20">
        <f t="shared" si="14"/>
        <v>-0.98009360000000056</v>
      </c>
      <c r="H242" s="20">
        <f t="shared" si="14"/>
        <v>-0.98587480000000038</v>
      </c>
      <c r="I242" s="20">
        <f t="shared" si="14"/>
        <v>-0.9926096000000002</v>
      </c>
      <c r="J242" s="20">
        <f t="shared" si="14"/>
        <v>-1</v>
      </c>
    </row>
    <row r="243" spans="1:10" ht="20.100000000000001" customHeight="1" x14ac:dyDescent="0.25">
      <c r="A243" s="19">
        <f t="shared" si="13"/>
        <v>1.0000000000000004</v>
      </c>
      <c r="B243" s="20">
        <f t="shared" si="14"/>
        <v>-1.0000000000000007</v>
      </c>
      <c r="C243" s="20">
        <f t="shared" si="14"/>
        <v>-1.0000000000000007</v>
      </c>
      <c r="D243" s="20">
        <f t="shared" si="14"/>
        <v>-1.0000000000000007</v>
      </c>
      <c r="E243" s="20">
        <f t="shared" si="14"/>
        <v>-1.0000000000000007</v>
      </c>
      <c r="F243" s="20">
        <f t="shared" si="14"/>
        <v>-1.0000000000000007</v>
      </c>
      <c r="G243" s="20">
        <f t="shared" si="14"/>
        <v>-1.0000000000000004</v>
      </c>
      <c r="H243" s="20">
        <f t="shared" si="14"/>
        <v>-1.0000000000000002</v>
      </c>
      <c r="I243" s="20">
        <f t="shared" si="14"/>
        <v>-1.0000000000000002</v>
      </c>
      <c r="J243" s="20">
        <f t="shared" si="14"/>
        <v>-1</v>
      </c>
    </row>
    <row r="245" spans="1:10" ht="20.100000000000001" customHeight="1" x14ac:dyDescent="0.25">
      <c r="A245" s="244" t="s">
        <v>372</v>
      </c>
      <c r="B245" s="244"/>
      <c r="C245" s="244"/>
      <c r="D245" s="244"/>
      <c r="E245" s="244"/>
      <c r="F245" s="244"/>
      <c r="G245" s="244"/>
      <c r="H245" s="244"/>
      <c r="I245" s="244"/>
      <c r="J245" s="244"/>
    </row>
    <row r="246" spans="1:10" ht="20.100000000000001" customHeight="1" x14ac:dyDescent="0.25">
      <c r="A246" s="244"/>
      <c r="B246" s="244"/>
      <c r="C246" s="244"/>
      <c r="D246" s="244"/>
      <c r="E246" s="244"/>
      <c r="F246" s="244"/>
      <c r="G246" s="244"/>
      <c r="H246" s="244"/>
      <c r="I246" s="244"/>
      <c r="J246" s="244"/>
    </row>
    <row r="247" spans="1:10" ht="20.100000000000001" customHeight="1" x14ac:dyDescent="0.25">
      <c r="A247" s="244"/>
      <c r="B247" s="244"/>
      <c r="C247" s="244"/>
      <c r="D247" s="244"/>
      <c r="E247" s="244"/>
      <c r="F247" s="244"/>
      <c r="G247" s="244"/>
      <c r="H247" s="244"/>
      <c r="I247" s="244"/>
      <c r="J247" s="244"/>
    </row>
    <row r="249" spans="1:10" ht="20.100000000000001" customHeight="1" x14ac:dyDescent="0.25">
      <c r="C249" s="21"/>
    </row>
    <row r="256" spans="1:10" ht="20.100000000000001" customHeight="1" x14ac:dyDescent="0.25">
      <c r="A256" s="253" t="s">
        <v>366</v>
      </c>
      <c r="B256" s="256" t="s">
        <v>367</v>
      </c>
      <c r="C256" s="256"/>
      <c r="D256" s="256"/>
      <c r="E256" s="256"/>
      <c r="F256" s="256"/>
      <c r="G256" s="256"/>
      <c r="H256" s="256"/>
      <c r="I256" s="256"/>
      <c r="J256" s="256"/>
    </row>
    <row r="257" spans="1:10" ht="20.100000000000001" customHeight="1" x14ac:dyDescent="0.25">
      <c r="A257" s="254"/>
      <c r="B257" s="247" t="s">
        <v>373</v>
      </c>
      <c r="C257" s="247"/>
      <c r="D257" s="247"/>
      <c r="E257" s="247"/>
      <c r="F257" s="247"/>
      <c r="G257" s="247"/>
      <c r="H257" s="247"/>
      <c r="I257" s="247"/>
      <c r="J257" s="247"/>
    </row>
    <row r="258" spans="1:10" ht="20.100000000000001" customHeight="1" x14ac:dyDescent="0.25">
      <c r="A258" s="254"/>
      <c r="B258" s="257" t="s">
        <v>369</v>
      </c>
      <c r="C258" s="257"/>
      <c r="D258" s="257"/>
      <c r="E258" s="257"/>
      <c r="F258" s="257"/>
      <c r="G258" s="257"/>
      <c r="H258" s="257"/>
      <c r="I258" s="257"/>
      <c r="J258" s="257"/>
    </row>
    <row r="259" spans="1:10" ht="20.100000000000001" customHeight="1" x14ac:dyDescent="0.25">
      <c r="A259" s="255"/>
      <c r="B259" s="13" t="str">
        <f t="shared" ref="B259:J259" si="15">B121</f>
        <v>A</v>
      </c>
      <c r="C259" s="13" t="str">
        <f t="shared" si="15"/>
        <v>B</v>
      </c>
      <c r="D259" s="13" t="str">
        <f t="shared" si="15"/>
        <v>C</v>
      </c>
      <c r="E259" s="13" t="str">
        <f t="shared" si="15"/>
        <v>D</v>
      </c>
      <c r="F259" s="13" t="str">
        <f t="shared" si="15"/>
        <v>E</v>
      </c>
      <c r="G259" s="13" t="str">
        <f t="shared" si="15"/>
        <v>F</v>
      </c>
      <c r="H259" s="13" t="str">
        <f t="shared" si="15"/>
        <v>G</v>
      </c>
      <c r="I259" s="13" t="str">
        <f t="shared" si="15"/>
        <v>H</v>
      </c>
      <c r="J259" s="13" t="str">
        <f t="shared" si="15"/>
        <v>I</v>
      </c>
    </row>
    <row r="260" spans="1:10" ht="20.100000000000001" customHeight="1" x14ac:dyDescent="0.25">
      <c r="A260" s="14">
        <v>0</v>
      </c>
      <c r="B260" s="22">
        <f t="shared" ref="B260:B276" si="16">1+B193</f>
        <v>1</v>
      </c>
      <c r="C260" s="22">
        <f t="shared" ref="C260:J260" si="17">1+C193</f>
        <v>0.99680000000000002</v>
      </c>
      <c r="D260" s="22">
        <f t="shared" si="17"/>
        <v>0.9748</v>
      </c>
      <c r="E260" s="22">
        <f t="shared" si="17"/>
        <v>0.91910000000000003</v>
      </c>
      <c r="F260" s="22">
        <f t="shared" si="17"/>
        <v>0.81899999999999995</v>
      </c>
      <c r="G260" s="22">
        <f t="shared" si="17"/>
        <v>0.66799999999999993</v>
      </c>
      <c r="H260" s="22">
        <f t="shared" si="17"/>
        <v>0.47399999999999998</v>
      </c>
      <c r="I260" s="22">
        <f t="shared" si="17"/>
        <v>0.248</v>
      </c>
      <c r="J260" s="22">
        <f t="shared" si="17"/>
        <v>0</v>
      </c>
    </row>
    <row r="261" spans="1:10" ht="20.100000000000001" customHeight="1" x14ac:dyDescent="0.25">
      <c r="A261" s="14">
        <f>A260+0.02</f>
        <v>0.02</v>
      </c>
      <c r="B261" s="22">
        <f t="shared" si="16"/>
        <v>0.98980000000000001</v>
      </c>
      <c r="C261" s="22">
        <f t="shared" ref="C261:J270" si="18">1+C194</f>
        <v>0.98663263999999995</v>
      </c>
      <c r="D261" s="22">
        <f t="shared" si="18"/>
        <v>0.96485704000000005</v>
      </c>
      <c r="E261" s="22">
        <f t="shared" si="18"/>
        <v>0.90972518000000002</v>
      </c>
      <c r="F261" s="22">
        <f t="shared" si="18"/>
        <v>0.81064619999999998</v>
      </c>
      <c r="G261" s="22">
        <f t="shared" si="18"/>
        <v>0.66118639999999984</v>
      </c>
      <c r="H261" s="22">
        <f t="shared" si="18"/>
        <v>0.46916519999999995</v>
      </c>
      <c r="I261" s="22">
        <f t="shared" si="18"/>
        <v>0.24547039999999998</v>
      </c>
      <c r="J261" s="22">
        <f t="shared" si="18"/>
        <v>0</v>
      </c>
    </row>
    <row r="262" spans="1:10" ht="20.100000000000001" customHeight="1" x14ac:dyDescent="0.25">
      <c r="A262" s="14">
        <f t="shared" ref="A262:A310" si="19">A261+0.02</f>
        <v>0.04</v>
      </c>
      <c r="B262" s="22">
        <f t="shared" si="16"/>
        <v>0.97919999999999996</v>
      </c>
      <c r="C262" s="22">
        <f t="shared" si="18"/>
        <v>0.97606656000000003</v>
      </c>
      <c r="D262" s="22">
        <f t="shared" si="18"/>
        <v>0.95452415999999995</v>
      </c>
      <c r="E262" s="22">
        <f t="shared" si="18"/>
        <v>0.89998272000000001</v>
      </c>
      <c r="F262" s="22">
        <f t="shared" si="18"/>
        <v>0.80196480000000003</v>
      </c>
      <c r="G262" s="22">
        <f t="shared" si="18"/>
        <v>0.65410559999999995</v>
      </c>
      <c r="H262" s="22">
        <f t="shared" si="18"/>
        <v>0.46414080000000002</v>
      </c>
      <c r="I262" s="22">
        <f t="shared" si="18"/>
        <v>0.24284159999999999</v>
      </c>
      <c r="J262" s="22">
        <f t="shared" si="18"/>
        <v>0</v>
      </c>
    </row>
    <row r="263" spans="1:10" ht="20.100000000000001" customHeight="1" x14ac:dyDescent="0.25">
      <c r="A263" s="14">
        <f t="shared" si="19"/>
        <v>0.06</v>
      </c>
      <c r="B263" s="22">
        <f t="shared" si="16"/>
        <v>0.96819999999999995</v>
      </c>
      <c r="C263" s="22">
        <f t="shared" si="18"/>
        <v>0.96510176000000003</v>
      </c>
      <c r="D263" s="22">
        <f t="shared" si="18"/>
        <v>0.94380136000000003</v>
      </c>
      <c r="E263" s="22">
        <f t="shared" si="18"/>
        <v>0.88987262</v>
      </c>
      <c r="F263" s="22">
        <f t="shared" si="18"/>
        <v>0.79295579999999999</v>
      </c>
      <c r="G263" s="22">
        <f t="shared" si="18"/>
        <v>0.64675760000000004</v>
      </c>
      <c r="H263" s="22">
        <f t="shared" si="18"/>
        <v>0.45892679999999997</v>
      </c>
      <c r="I263" s="22">
        <f t="shared" si="18"/>
        <v>0.24011359999999993</v>
      </c>
      <c r="J263" s="22">
        <f t="shared" si="18"/>
        <v>0</v>
      </c>
    </row>
    <row r="264" spans="1:10" ht="20.100000000000001" customHeight="1" x14ac:dyDescent="0.25">
      <c r="A264" s="14">
        <f t="shared" si="19"/>
        <v>0.08</v>
      </c>
      <c r="B264" s="22">
        <f t="shared" si="16"/>
        <v>0.95679999999999998</v>
      </c>
      <c r="C264" s="22">
        <f t="shared" si="18"/>
        <v>0.95373823999999996</v>
      </c>
      <c r="D264" s="22">
        <f t="shared" si="18"/>
        <v>0.93268863999999996</v>
      </c>
      <c r="E264" s="22">
        <f t="shared" si="18"/>
        <v>0.87939487999999999</v>
      </c>
      <c r="F264" s="22">
        <f t="shared" si="18"/>
        <v>0.78361919999999996</v>
      </c>
      <c r="G264" s="22">
        <f t="shared" si="18"/>
        <v>0.63914239999999989</v>
      </c>
      <c r="H264" s="22">
        <f t="shared" si="18"/>
        <v>0.4535231999999999</v>
      </c>
      <c r="I264" s="22">
        <f t="shared" si="18"/>
        <v>0.2372863999999999</v>
      </c>
      <c r="J264" s="22">
        <f t="shared" si="18"/>
        <v>0</v>
      </c>
    </row>
    <row r="265" spans="1:10" ht="20.100000000000001" customHeight="1" x14ac:dyDescent="0.25">
      <c r="A265" s="14">
        <f t="shared" si="19"/>
        <v>0.1</v>
      </c>
      <c r="B265" s="22">
        <f t="shared" si="16"/>
        <v>0.94499999999999995</v>
      </c>
      <c r="C265" s="22">
        <f t="shared" si="18"/>
        <v>0.94197600000000004</v>
      </c>
      <c r="D265" s="22">
        <f t="shared" si="18"/>
        <v>0.92118599999999995</v>
      </c>
      <c r="E265" s="22">
        <f t="shared" si="18"/>
        <v>0.86854949999999997</v>
      </c>
      <c r="F265" s="22">
        <f t="shared" si="18"/>
        <v>0.77395499999999995</v>
      </c>
      <c r="G265" s="22">
        <f t="shared" si="18"/>
        <v>0.63125999999999993</v>
      </c>
      <c r="H265" s="22">
        <f t="shared" si="18"/>
        <v>0.44792999999999994</v>
      </c>
      <c r="I265" s="22">
        <f t="shared" si="18"/>
        <v>0.2343599999999999</v>
      </c>
      <c r="J265" s="22">
        <f t="shared" si="18"/>
        <v>0</v>
      </c>
    </row>
    <row r="266" spans="1:10" ht="20.100000000000001" customHeight="1" x14ac:dyDescent="0.25">
      <c r="A266" s="14">
        <f t="shared" si="19"/>
        <v>0.12000000000000001</v>
      </c>
      <c r="B266" s="22">
        <f t="shared" si="16"/>
        <v>0.93279999999999996</v>
      </c>
      <c r="C266" s="22">
        <f t="shared" si="18"/>
        <v>0.92981504000000004</v>
      </c>
      <c r="D266" s="22">
        <f t="shared" si="18"/>
        <v>0.90929344000000001</v>
      </c>
      <c r="E266" s="22">
        <f t="shared" si="18"/>
        <v>0.85733647999999996</v>
      </c>
      <c r="F266" s="22">
        <f t="shared" si="18"/>
        <v>0.76396319999999995</v>
      </c>
      <c r="G266" s="22">
        <f t="shared" si="18"/>
        <v>0.62311040000000006</v>
      </c>
      <c r="H266" s="22">
        <f t="shared" si="18"/>
        <v>0.44214719999999996</v>
      </c>
      <c r="I266" s="22">
        <f t="shared" si="18"/>
        <v>0.23133440000000005</v>
      </c>
      <c r="J266" s="22">
        <f t="shared" si="18"/>
        <v>0</v>
      </c>
    </row>
    <row r="267" spans="1:10" ht="20.100000000000001" customHeight="1" x14ac:dyDescent="0.25">
      <c r="A267" s="14">
        <f t="shared" si="19"/>
        <v>0.14000000000000001</v>
      </c>
      <c r="B267" s="22">
        <f t="shared" si="16"/>
        <v>0.92020000000000002</v>
      </c>
      <c r="C267" s="22">
        <f t="shared" si="18"/>
        <v>0.91725535999999996</v>
      </c>
      <c r="D267" s="22">
        <f t="shared" si="18"/>
        <v>0.89701096000000002</v>
      </c>
      <c r="E267" s="22">
        <f t="shared" si="18"/>
        <v>0.84575581999999994</v>
      </c>
      <c r="F267" s="22">
        <f t="shared" si="18"/>
        <v>0.75364379999999997</v>
      </c>
      <c r="G267" s="22">
        <f t="shared" si="18"/>
        <v>0.61469359999999995</v>
      </c>
      <c r="H267" s="22">
        <f t="shared" si="18"/>
        <v>0.43617479999999997</v>
      </c>
      <c r="I267" s="22">
        <f t="shared" si="18"/>
        <v>0.22820960000000001</v>
      </c>
      <c r="J267" s="22">
        <f t="shared" si="18"/>
        <v>0</v>
      </c>
    </row>
    <row r="268" spans="1:10" ht="20.100000000000001" customHeight="1" x14ac:dyDescent="0.25">
      <c r="A268" s="14">
        <f t="shared" si="19"/>
        <v>0.16</v>
      </c>
      <c r="B268" s="22">
        <f t="shared" si="16"/>
        <v>0.90720000000000001</v>
      </c>
      <c r="C268" s="22">
        <f t="shared" si="18"/>
        <v>0.90429695999999993</v>
      </c>
      <c r="D268" s="22">
        <f t="shared" si="18"/>
        <v>0.88433856</v>
      </c>
      <c r="E268" s="22">
        <f t="shared" si="18"/>
        <v>0.83380751999999991</v>
      </c>
      <c r="F268" s="22">
        <f t="shared" si="18"/>
        <v>0.74299680000000001</v>
      </c>
      <c r="G268" s="22">
        <f t="shared" si="18"/>
        <v>0.60600959999999993</v>
      </c>
      <c r="H268" s="22">
        <f t="shared" si="18"/>
        <v>0.43001279999999997</v>
      </c>
      <c r="I268" s="22">
        <f t="shared" si="18"/>
        <v>0.22498560000000001</v>
      </c>
      <c r="J268" s="22">
        <f t="shared" si="18"/>
        <v>0</v>
      </c>
    </row>
    <row r="269" spans="1:10" ht="20.100000000000001" customHeight="1" x14ac:dyDescent="0.25">
      <c r="A269" s="14">
        <f t="shared" si="19"/>
        <v>0.18</v>
      </c>
      <c r="B269" s="22">
        <f t="shared" si="16"/>
        <v>0.89380000000000004</v>
      </c>
      <c r="C269" s="22">
        <f t="shared" si="18"/>
        <v>0.89093984000000004</v>
      </c>
      <c r="D269" s="22">
        <f t="shared" si="18"/>
        <v>0.87127624000000004</v>
      </c>
      <c r="E269" s="22">
        <f t="shared" si="18"/>
        <v>0.82149158</v>
      </c>
      <c r="F269" s="22">
        <f t="shared" si="18"/>
        <v>0.73202220000000007</v>
      </c>
      <c r="G269" s="22">
        <f t="shared" si="18"/>
        <v>0.5970584000000001</v>
      </c>
      <c r="H269" s="22">
        <f t="shared" si="18"/>
        <v>0.42366120000000007</v>
      </c>
      <c r="I269" s="22">
        <f t="shared" si="18"/>
        <v>0.22166239999999993</v>
      </c>
      <c r="J269" s="22">
        <f t="shared" si="18"/>
        <v>0</v>
      </c>
    </row>
    <row r="270" spans="1:10" ht="20.100000000000001" customHeight="1" x14ac:dyDescent="0.25">
      <c r="A270" s="14">
        <f t="shared" si="19"/>
        <v>0.19999999999999998</v>
      </c>
      <c r="B270" s="22">
        <f t="shared" si="16"/>
        <v>0.88</v>
      </c>
      <c r="C270" s="22">
        <f t="shared" si="18"/>
        <v>0.87718399999999996</v>
      </c>
      <c r="D270" s="22">
        <f t="shared" si="18"/>
        <v>0.85782400000000003</v>
      </c>
      <c r="E270" s="22">
        <f t="shared" si="18"/>
        <v>0.80880799999999997</v>
      </c>
      <c r="F270" s="22">
        <f t="shared" si="18"/>
        <v>0.72072000000000003</v>
      </c>
      <c r="G270" s="22">
        <f t="shared" si="18"/>
        <v>0.58783999999999992</v>
      </c>
      <c r="H270" s="22">
        <f t="shared" si="18"/>
        <v>0.41711999999999994</v>
      </c>
      <c r="I270" s="22">
        <f t="shared" si="18"/>
        <v>0.21823999999999999</v>
      </c>
      <c r="J270" s="22">
        <f t="shared" si="18"/>
        <v>0</v>
      </c>
    </row>
    <row r="271" spans="1:10" ht="20.100000000000001" customHeight="1" x14ac:dyDescent="0.25">
      <c r="A271" s="14">
        <f t="shared" si="19"/>
        <v>0.21999999999999997</v>
      </c>
      <c r="B271" s="22">
        <f t="shared" si="16"/>
        <v>0.86580000000000001</v>
      </c>
      <c r="C271" s="22">
        <f t="shared" ref="C271:J276" si="20">1+C204</f>
        <v>0.86302944000000004</v>
      </c>
      <c r="D271" s="22">
        <f t="shared" si="20"/>
        <v>0.84398183999999998</v>
      </c>
      <c r="E271" s="22">
        <f t="shared" si="20"/>
        <v>0.79575678000000005</v>
      </c>
      <c r="F271" s="22">
        <f t="shared" si="20"/>
        <v>0.7090902</v>
      </c>
      <c r="G271" s="22">
        <f t="shared" si="20"/>
        <v>0.57835440000000005</v>
      </c>
      <c r="H271" s="22">
        <f t="shared" si="20"/>
        <v>0.41038920000000001</v>
      </c>
      <c r="I271" s="22">
        <f t="shared" si="20"/>
        <v>0.21471839999999998</v>
      </c>
      <c r="J271" s="22">
        <f t="shared" si="20"/>
        <v>0</v>
      </c>
    </row>
    <row r="272" spans="1:10" ht="20.100000000000001" customHeight="1" x14ac:dyDescent="0.25">
      <c r="A272" s="14">
        <f t="shared" si="19"/>
        <v>0.23999999999999996</v>
      </c>
      <c r="B272" s="22">
        <f t="shared" si="16"/>
        <v>0.85119999999999996</v>
      </c>
      <c r="C272" s="22">
        <f t="shared" si="20"/>
        <v>0.84847616000000003</v>
      </c>
      <c r="D272" s="22">
        <f t="shared" si="20"/>
        <v>0.82974976</v>
      </c>
      <c r="E272" s="22">
        <f t="shared" si="20"/>
        <v>0.78233792000000002</v>
      </c>
      <c r="F272" s="22">
        <f t="shared" si="20"/>
        <v>0.6971328</v>
      </c>
      <c r="G272" s="22">
        <f t="shared" si="20"/>
        <v>0.56860159999999993</v>
      </c>
      <c r="H272" s="22">
        <f t="shared" si="20"/>
        <v>0.40346879999999996</v>
      </c>
      <c r="I272" s="22">
        <f t="shared" si="20"/>
        <v>0.2110976</v>
      </c>
      <c r="J272" s="22">
        <f t="shared" si="20"/>
        <v>0</v>
      </c>
    </row>
    <row r="273" spans="1:10" ht="20.100000000000001" customHeight="1" x14ac:dyDescent="0.25">
      <c r="A273" s="14">
        <f t="shared" si="19"/>
        <v>0.25999999999999995</v>
      </c>
      <c r="B273" s="22">
        <f t="shared" si="16"/>
        <v>0.83620000000000005</v>
      </c>
      <c r="C273" s="22">
        <f t="shared" si="20"/>
        <v>0.83352416000000007</v>
      </c>
      <c r="D273" s="22">
        <f t="shared" si="20"/>
        <v>0.81512775999999998</v>
      </c>
      <c r="E273" s="22">
        <f t="shared" si="20"/>
        <v>0.76855141999999999</v>
      </c>
      <c r="F273" s="22">
        <f t="shared" si="20"/>
        <v>0.68484780000000001</v>
      </c>
      <c r="G273" s="22">
        <f t="shared" si="20"/>
        <v>0.5585815999999999</v>
      </c>
      <c r="H273" s="22">
        <f t="shared" si="20"/>
        <v>0.39635880000000001</v>
      </c>
      <c r="I273" s="22">
        <f t="shared" si="20"/>
        <v>0.20737759999999994</v>
      </c>
      <c r="J273" s="22">
        <f t="shared" si="20"/>
        <v>0</v>
      </c>
    </row>
    <row r="274" spans="1:10" ht="20.100000000000001" customHeight="1" x14ac:dyDescent="0.25">
      <c r="A274" s="14">
        <f t="shared" si="19"/>
        <v>0.27999999999999997</v>
      </c>
      <c r="B274" s="22">
        <f t="shared" si="16"/>
        <v>0.82079999999999997</v>
      </c>
      <c r="C274" s="22">
        <f t="shared" si="20"/>
        <v>0.81817344000000003</v>
      </c>
      <c r="D274" s="22">
        <f t="shared" si="20"/>
        <v>0.80011584000000002</v>
      </c>
      <c r="E274" s="22">
        <f t="shared" si="20"/>
        <v>0.75439728000000006</v>
      </c>
      <c r="F274" s="22">
        <f t="shared" si="20"/>
        <v>0.67223520000000003</v>
      </c>
      <c r="G274" s="22">
        <f t="shared" si="20"/>
        <v>0.54829440000000007</v>
      </c>
      <c r="H274" s="22">
        <f t="shared" si="20"/>
        <v>0.38905919999999994</v>
      </c>
      <c r="I274" s="22">
        <f t="shared" si="20"/>
        <v>0.20355840000000003</v>
      </c>
      <c r="J274" s="22">
        <f t="shared" si="20"/>
        <v>0</v>
      </c>
    </row>
    <row r="275" spans="1:10" ht="20.100000000000001" customHeight="1" x14ac:dyDescent="0.25">
      <c r="A275" s="14">
        <f t="shared" si="19"/>
        <v>0.3</v>
      </c>
      <c r="B275" s="22">
        <f t="shared" si="16"/>
        <v>0.80499999999999994</v>
      </c>
      <c r="C275" s="22">
        <f t="shared" si="20"/>
        <v>0.80242400000000003</v>
      </c>
      <c r="D275" s="22">
        <f t="shared" si="20"/>
        <v>0.78471400000000002</v>
      </c>
      <c r="E275" s="22">
        <f t="shared" si="20"/>
        <v>0.73987549999999991</v>
      </c>
      <c r="F275" s="22">
        <f t="shared" si="20"/>
        <v>0.65929499999999996</v>
      </c>
      <c r="G275" s="22">
        <f t="shared" si="20"/>
        <v>0.53774</v>
      </c>
      <c r="H275" s="22">
        <f t="shared" si="20"/>
        <v>0.38156999999999996</v>
      </c>
      <c r="I275" s="22">
        <f t="shared" si="20"/>
        <v>0.19964000000000004</v>
      </c>
      <c r="J275" s="22">
        <f t="shared" si="20"/>
        <v>0</v>
      </c>
    </row>
    <row r="276" spans="1:10" ht="20.100000000000001" customHeight="1" x14ac:dyDescent="0.25">
      <c r="A276" s="14">
        <f t="shared" si="19"/>
        <v>0.32</v>
      </c>
      <c r="B276" s="22">
        <f t="shared" si="16"/>
        <v>0.78879999999999995</v>
      </c>
      <c r="C276" s="22">
        <f t="shared" si="20"/>
        <v>0.78627583999999995</v>
      </c>
      <c r="D276" s="22">
        <f t="shared" si="20"/>
        <v>0.76892223999999998</v>
      </c>
      <c r="E276" s="22">
        <f t="shared" si="20"/>
        <v>0.72498607999999998</v>
      </c>
      <c r="F276" s="22">
        <f t="shared" si="20"/>
        <v>0.64602720000000002</v>
      </c>
      <c r="G276" s="22">
        <f t="shared" si="20"/>
        <v>0.52691840000000001</v>
      </c>
      <c r="H276" s="22">
        <f t="shared" si="20"/>
        <v>0.37389120000000009</v>
      </c>
      <c r="I276" s="22">
        <f t="shared" si="20"/>
        <v>0.19562239999999997</v>
      </c>
      <c r="J276" s="22">
        <f t="shared" si="20"/>
        <v>0</v>
      </c>
    </row>
    <row r="277" spans="1:10" ht="20.100000000000001" customHeight="1" x14ac:dyDescent="0.25">
      <c r="A277" s="14">
        <f t="shared" si="19"/>
        <v>0.34</v>
      </c>
      <c r="B277" s="22">
        <f t="shared" ref="B277:J292" si="21">1+B210</f>
        <v>0.7722</v>
      </c>
      <c r="C277" s="22">
        <f t="shared" si="21"/>
        <v>0.76972895999999991</v>
      </c>
      <c r="D277" s="22">
        <f t="shared" si="21"/>
        <v>0.75274055999999989</v>
      </c>
      <c r="E277" s="22">
        <f t="shared" si="21"/>
        <v>0.70972901999999993</v>
      </c>
      <c r="F277" s="22">
        <f t="shared" si="21"/>
        <v>0.63243179999999999</v>
      </c>
      <c r="G277" s="22">
        <f t="shared" si="21"/>
        <v>0.5158296</v>
      </c>
      <c r="H277" s="22">
        <f t="shared" si="21"/>
        <v>0.36602279999999998</v>
      </c>
      <c r="I277" s="22">
        <f t="shared" si="21"/>
        <v>0.19150559999999983</v>
      </c>
      <c r="J277" s="22">
        <f t="shared" si="21"/>
        <v>0</v>
      </c>
    </row>
    <row r="278" spans="1:10" ht="20.100000000000001" customHeight="1" x14ac:dyDescent="0.25">
      <c r="A278" s="14">
        <f t="shared" si="19"/>
        <v>0.36000000000000004</v>
      </c>
      <c r="B278" s="22">
        <f t="shared" si="21"/>
        <v>0.75519999999999998</v>
      </c>
      <c r="C278" s="22">
        <f t="shared" si="21"/>
        <v>0.75278336000000001</v>
      </c>
      <c r="D278" s="22">
        <f t="shared" si="21"/>
        <v>0.73616895999999998</v>
      </c>
      <c r="E278" s="22">
        <f t="shared" si="21"/>
        <v>0.69410432</v>
      </c>
      <c r="F278" s="22">
        <f t="shared" si="21"/>
        <v>0.61850880000000008</v>
      </c>
      <c r="G278" s="22">
        <f t="shared" si="21"/>
        <v>0.50447360000000008</v>
      </c>
      <c r="H278" s="22">
        <f t="shared" si="21"/>
        <v>0.35796479999999997</v>
      </c>
      <c r="I278" s="22">
        <f t="shared" si="21"/>
        <v>0.18728960000000006</v>
      </c>
      <c r="J278" s="22">
        <f t="shared" si="21"/>
        <v>0</v>
      </c>
    </row>
    <row r="279" spans="1:10" ht="20.100000000000001" customHeight="1" x14ac:dyDescent="0.25">
      <c r="A279" s="14">
        <f t="shared" si="19"/>
        <v>0.38000000000000006</v>
      </c>
      <c r="B279" s="22">
        <f t="shared" si="21"/>
        <v>0.73780000000000001</v>
      </c>
      <c r="C279" s="22">
        <f t="shared" si="21"/>
        <v>0.73543903999999993</v>
      </c>
      <c r="D279" s="22">
        <f t="shared" si="21"/>
        <v>0.71920743999999992</v>
      </c>
      <c r="E279" s="22">
        <f t="shared" si="21"/>
        <v>0.67811197999999995</v>
      </c>
      <c r="F279" s="22">
        <f t="shared" si="21"/>
        <v>0.60425819999999997</v>
      </c>
      <c r="G279" s="22">
        <f t="shared" si="21"/>
        <v>0.49285039999999991</v>
      </c>
      <c r="H279" s="22">
        <f t="shared" si="21"/>
        <v>0.34971720000000006</v>
      </c>
      <c r="I279" s="22">
        <f t="shared" si="21"/>
        <v>0.18297439999999998</v>
      </c>
      <c r="J279" s="22">
        <f t="shared" si="21"/>
        <v>0</v>
      </c>
    </row>
    <row r="280" spans="1:10" ht="20.100000000000001" customHeight="1" x14ac:dyDescent="0.25">
      <c r="A280" s="14">
        <f t="shared" si="19"/>
        <v>0.40000000000000008</v>
      </c>
      <c r="B280" s="22">
        <f t="shared" si="21"/>
        <v>0.72</v>
      </c>
      <c r="C280" s="22">
        <f t="shared" si="21"/>
        <v>0.71769599999999989</v>
      </c>
      <c r="D280" s="22">
        <f t="shared" si="21"/>
        <v>0.70185599999999992</v>
      </c>
      <c r="E280" s="22">
        <f t="shared" si="21"/>
        <v>0.6617519999999999</v>
      </c>
      <c r="F280" s="22">
        <f t="shared" si="21"/>
        <v>0.58967999999999987</v>
      </c>
      <c r="G280" s="22">
        <f t="shared" si="21"/>
        <v>0.48095999999999994</v>
      </c>
      <c r="H280" s="22">
        <f t="shared" si="21"/>
        <v>0.34127999999999981</v>
      </c>
      <c r="I280" s="22">
        <f t="shared" si="21"/>
        <v>0.17855999999999994</v>
      </c>
      <c r="J280" s="22">
        <f t="shared" si="21"/>
        <v>0</v>
      </c>
    </row>
    <row r="281" spans="1:10" ht="20.100000000000001" customHeight="1" x14ac:dyDescent="0.25">
      <c r="A281" s="14">
        <f t="shared" si="19"/>
        <v>0.4200000000000001</v>
      </c>
      <c r="B281" s="22">
        <f t="shared" si="21"/>
        <v>0.70179999999999998</v>
      </c>
      <c r="C281" s="22">
        <f t="shared" si="21"/>
        <v>0.69955423999999988</v>
      </c>
      <c r="D281" s="22">
        <f t="shared" si="21"/>
        <v>0.68411464</v>
      </c>
      <c r="E281" s="22">
        <f t="shared" si="21"/>
        <v>0.64502437999999995</v>
      </c>
      <c r="F281" s="22">
        <f t="shared" si="21"/>
        <v>0.57477420000000001</v>
      </c>
      <c r="G281" s="22">
        <f t="shared" si="21"/>
        <v>0.46880239999999984</v>
      </c>
      <c r="H281" s="22">
        <f t="shared" si="21"/>
        <v>0.33265319999999998</v>
      </c>
      <c r="I281" s="22">
        <f t="shared" si="21"/>
        <v>0.17404640000000005</v>
      </c>
      <c r="J281" s="22">
        <f t="shared" si="21"/>
        <v>0</v>
      </c>
    </row>
    <row r="282" spans="1:10" ht="20.100000000000001" customHeight="1" x14ac:dyDescent="0.25">
      <c r="A282" s="14">
        <f t="shared" si="19"/>
        <v>0.44000000000000011</v>
      </c>
      <c r="B282" s="22">
        <f t="shared" si="21"/>
        <v>0.68319999999999992</v>
      </c>
      <c r="C282" s="22">
        <f t="shared" si="21"/>
        <v>0.68101375999999991</v>
      </c>
      <c r="D282" s="22">
        <f t="shared" si="21"/>
        <v>0.66598336000000002</v>
      </c>
      <c r="E282" s="22">
        <f t="shared" si="21"/>
        <v>0.6279291199999999</v>
      </c>
      <c r="F282" s="22">
        <f t="shared" si="21"/>
        <v>0.55954079999999995</v>
      </c>
      <c r="G282" s="22">
        <f t="shared" si="21"/>
        <v>0.45637759999999994</v>
      </c>
      <c r="H282" s="22">
        <f t="shared" si="21"/>
        <v>0.32383680000000004</v>
      </c>
      <c r="I282" s="22">
        <f t="shared" si="21"/>
        <v>0.16943359999999996</v>
      </c>
      <c r="J282" s="22">
        <f t="shared" si="21"/>
        <v>0</v>
      </c>
    </row>
    <row r="283" spans="1:10" ht="20.100000000000001" customHeight="1" x14ac:dyDescent="0.25">
      <c r="A283" s="14">
        <f t="shared" si="19"/>
        <v>0.46000000000000013</v>
      </c>
      <c r="B283" s="22">
        <f t="shared" si="21"/>
        <v>0.6641999999999999</v>
      </c>
      <c r="C283" s="22">
        <f t="shared" si="21"/>
        <v>0.66207455999999987</v>
      </c>
      <c r="D283" s="22">
        <f t="shared" si="21"/>
        <v>0.6474621599999999</v>
      </c>
      <c r="E283" s="22">
        <f t="shared" si="21"/>
        <v>0.61046621999999984</v>
      </c>
      <c r="F283" s="22">
        <f t="shared" si="21"/>
        <v>0.5439797999999999</v>
      </c>
      <c r="G283" s="22">
        <f t="shared" si="21"/>
        <v>0.4436855999999999</v>
      </c>
      <c r="H283" s="22">
        <f t="shared" si="21"/>
        <v>0.31483079999999997</v>
      </c>
      <c r="I283" s="22">
        <f t="shared" si="21"/>
        <v>0.16472159999999991</v>
      </c>
      <c r="J283" s="22">
        <f t="shared" si="21"/>
        <v>0</v>
      </c>
    </row>
    <row r="284" spans="1:10" ht="20.100000000000001" customHeight="1" x14ac:dyDescent="0.25">
      <c r="A284" s="14">
        <f t="shared" si="19"/>
        <v>0.48000000000000015</v>
      </c>
      <c r="B284" s="22">
        <f t="shared" si="21"/>
        <v>0.64479999999999982</v>
      </c>
      <c r="C284" s="22">
        <f t="shared" si="21"/>
        <v>0.64273663999999986</v>
      </c>
      <c r="D284" s="22">
        <f t="shared" si="21"/>
        <v>0.62855103999999984</v>
      </c>
      <c r="E284" s="22">
        <f t="shared" si="21"/>
        <v>0.59263567999999989</v>
      </c>
      <c r="F284" s="22">
        <f t="shared" si="21"/>
        <v>0.52809119999999998</v>
      </c>
      <c r="G284" s="22">
        <f t="shared" si="21"/>
        <v>0.43072639999999995</v>
      </c>
      <c r="H284" s="22">
        <f t="shared" si="21"/>
        <v>0.30563519999999977</v>
      </c>
      <c r="I284" s="22">
        <f t="shared" si="21"/>
        <v>0.15991040000000001</v>
      </c>
      <c r="J284" s="22">
        <f t="shared" si="21"/>
        <v>0</v>
      </c>
    </row>
    <row r="285" spans="1:10" ht="20.100000000000001" customHeight="1" x14ac:dyDescent="0.25">
      <c r="A285" s="14">
        <f t="shared" si="19"/>
        <v>0.50000000000000011</v>
      </c>
      <c r="B285" s="22">
        <f t="shared" si="21"/>
        <v>0.62499999999999978</v>
      </c>
      <c r="C285" s="22">
        <f t="shared" si="21"/>
        <v>0.62299999999999978</v>
      </c>
      <c r="D285" s="22">
        <f t="shared" si="21"/>
        <v>0.60924999999999985</v>
      </c>
      <c r="E285" s="22">
        <f t="shared" si="21"/>
        <v>0.57443749999999993</v>
      </c>
      <c r="F285" s="22">
        <f t="shared" si="21"/>
        <v>0.51187499999999986</v>
      </c>
      <c r="G285" s="22">
        <f t="shared" si="21"/>
        <v>0.41749999999999987</v>
      </c>
      <c r="H285" s="22">
        <f t="shared" si="21"/>
        <v>0.29625000000000001</v>
      </c>
      <c r="I285" s="22">
        <f t="shared" si="21"/>
        <v>0.15500000000000003</v>
      </c>
      <c r="J285" s="22">
        <f t="shared" si="21"/>
        <v>0</v>
      </c>
    </row>
    <row r="286" spans="1:10" ht="20.100000000000001" customHeight="1" x14ac:dyDescent="0.25">
      <c r="A286" s="14">
        <f t="shared" si="19"/>
        <v>0.52000000000000013</v>
      </c>
      <c r="B286" s="22">
        <f t="shared" si="21"/>
        <v>0.60479999999999989</v>
      </c>
      <c r="C286" s="22">
        <f t="shared" si="21"/>
        <v>0.60286463999999995</v>
      </c>
      <c r="D286" s="22">
        <f t="shared" si="21"/>
        <v>0.58955903999999992</v>
      </c>
      <c r="E286" s="22">
        <f t="shared" si="21"/>
        <v>0.55587167999999987</v>
      </c>
      <c r="F286" s="22">
        <f t="shared" si="21"/>
        <v>0.49533119999999986</v>
      </c>
      <c r="G286" s="22">
        <f t="shared" si="21"/>
        <v>0.40400639999999999</v>
      </c>
      <c r="H286" s="22">
        <f t="shared" si="21"/>
        <v>0.28667519999999991</v>
      </c>
      <c r="I286" s="22">
        <f t="shared" si="21"/>
        <v>0.14999039999999997</v>
      </c>
      <c r="J286" s="22">
        <f t="shared" si="21"/>
        <v>0</v>
      </c>
    </row>
    <row r="287" spans="1:10" ht="20.100000000000001" customHeight="1" x14ac:dyDescent="0.25">
      <c r="A287" s="14">
        <f t="shared" si="19"/>
        <v>0.54000000000000015</v>
      </c>
      <c r="B287" s="22">
        <f t="shared" si="21"/>
        <v>0.58419999999999983</v>
      </c>
      <c r="C287" s="22">
        <f t="shared" si="21"/>
        <v>0.58233055999999983</v>
      </c>
      <c r="D287" s="22">
        <f t="shared" si="21"/>
        <v>0.56947815999999984</v>
      </c>
      <c r="E287" s="22">
        <f t="shared" si="21"/>
        <v>0.53693821999999991</v>
      </c>
      <c r="F287" s="22">
        <f t="shared" si="21"/>
        <v>0.47845979999999988</v>
      </c>
      <c r="G287" s="22">
        <f t="shared" si="21"/>
        <v>0.39024559999999986</v>
      </c>
      <c r="H287" s="22">
        <f t="shared" si="21"/>
        <v>0.27691080000000001</v>
      </c>
      <c r="I287" s="22">
        <f t="shared" si="21"/>
        <v>0.14488159999999994</v>
      </c>
      <c r="J287" s="22">
        <f t="shared" si="21"/>
        <v>0</v>
      </c>
    </row>
    <row r="288" spans="1:10" ht="20.100000000000001" customHeight="1" x14ac:dyDescent="0.25">
      <c r="A288" s="14">
        <f t="shared" si="19"/>
        <v>0.56000000000000016</v>
      </c>
      <c r="B288" s="22">
        <f t="shared" si="21"/>
        <v>0.56319999999999981</v>
      </c>
      <c r="C288" s="22">
        <f t="shared" si="21"/>
        <v>0.56139775999999975</v>
      </c>
      <c r="D288" s="22">
        <f t="shared" si="21"/>
        <v>0.54900735999999983</v>
      </c>
      <c r="E288" s="22">
        <f t="shared" si="21"/>
        <v>0.51763711999999984</v>
      </c>
      <c r="F288" s="22">
        <f t="shared" si="21"/>
        <v>0.4612607999999998</v>
      </c>
      <c r="G288" s="22">
        <f t="shared" si="21"/>
        <v>0.37621759999999982</v>
      </c>
      <c r="H288" s="22">
        <f t="shared" si="21"/>
        <v>0.26695679999999977</v>
      </c>
      <c r="I288" s="22">
        <f t="shared" si="21"/>
        <v>0.13967359999999995</v>
      </c>
      <c r="J288" s="22">
        <f t="shared" si="21"/>
        <v>0</v>
      </c>
    </row>
    <row r="289" spans="1:10" ht="20.100000000000001" customHeight="1" x14ac:dyDescent="0.25">
      <c r="A289" s="14">
        <f t="shared" si="19"/>
        <v>0.58000000000000018</v>
      </c>
      <c r="B289" s="22">
        <f t="shared" si="21"/>
        <v>0.54179999999999984</v>
      </c>
      <c r="C289" s="22">
        <f t="shared" si="21"/>
        <v>0.54006623999999981</v>
      </c>
      <c r="D289" s="22">
        <f t="shared" si="21"/>
        <v>0.52814663999999989</v>
      </c>
      <c r="E289" s="22">
        <f t="shared" si="21"/>
        <v>0.49796837999999988</v>
      </c>
      <c r="F289" s="22">
        <f t="shared" si="21"/>
        <v>0.44373419999999986</v>
      </c>
      <c r="G289" s="22">
        <f t="shared" si="21"/>
        <v>0.36192239999999987</v>
      </c>
      <c r="H289" s="22">
        <f t="shared" si="21"/>
        <v>0.25681319999999996</v>
      </c>
      <c r="I289" s="22">
        <f t="shared" si="21"/>
        <v>0.1343664</v>
      </c>
      <c r="J289" s="22">
        <f t="shared" si="21"/>
        <v>0</v>
      </c>
    </row>
    <row r="290" spans="1:10" ht="20.100000000000001" customHeight="1" x14ac:dyDescent="0.25">
      <c r="A290" s="14">
        <f t="shared" si="19"/>
        <v>0.6000000000000002</v>
      </c>
      <c r="B290" s="22">
        <f t="shared" si="21"/>
        <v>0.5199999999999998</v>
      </c>
      <c r="C290" s="22">
        <f t="shared" si="21"/>
        <v>0.51833599999999969</v>
      </c>
      <c r="D290" s="22">
        <f t="shared" si="21"/>
        <v>0.50689599999999979</v>
      </c>
      <c r="E290" s="22">
        <f t="shared" si="21"/>
        <v>0.4779319999999998</v>
      </c>
      <c r="F290" s="22">
        <f t="shared" si="21"/>
        <v>0.42587999999999981</v>
      </c>
      <c r="G290" s="22">
        <f t="shared" si="21"/>
        <v>0.34735999999999989</v>
      </c>
      <c r="H290" s="22">
        <f t="shared" si="21"/>
        <v>0.24647999999999992</v>
      </c>
      <c r="I290" s="22">
        <f t="shared" si="21"/>
        <v>0.12895999999999985</v>
      </c>
      <c r="J290" s="22">
        <f t="shared" si="21"/>
        <v>0</v>
      </c>
    </row>
    <row r="291" spans="1:10" ht="20.100000000000001" customHeight="1" x14ac:dyDescent="0.25">
      <c r="A291" s="14">
        <f t="shared" si="19"/>
        <v>0.62000000000000022</v>
      </c>
      <c r="B291" s="22">
        <f t="shared" si="21"/>
        <v>0.4977999999999998</v>
      </c>
      <c r="C291" s="22">
        <f t="shared" si="21"/>
        <v>0.49620703999999982</v>
      </c>
      <c r="D291" s="22">
        <f t="shared" si="21"/>
        <v>0.48525543999999987</v>
      </c>
      <c r="E291" s="22">
        <f t="shared" si="21"/>
        <v>0.45752797999999983</v>
      </c>
      <c r="F291" s="22">
        <f t="shared" si="21"/>
        <v>0.40769819999999979</v>
      </c>
      <c r="G291" s="22">
        <f t="shared" si="21"/>
        <v>0.33253039999999989</v>
      </c>
      <c r="H291" s="22">
        <f t="shared" si="21"/>
        <v>0.23595719999999987</v>
      </c>
      <c r="I291" s="22">
        <f t="shared" si="21"/>
        <v>0.12345439999999996</v>
      </c>
      <c r="J291" s="22">
        <f t="shared" si="21"/>
        <v>0</v>
      </c>
    </row>
    <row r="292" spans="1:10" ht="20.100000000000001" customHeight="1" x14ac:dyDescent="0.25">
      <c r="A292" s="14">
        <f t="shared" si="19"/>
        <v>0.64000000000000024</v>
      </c>
      <c r="B292" s="22">
        <f t="shared" si="21"/>
        <v>0.47519999999999973</v>
      </c>
      <c r="C292" s="22">
        <f t="shared" si="21"/>
        <v>0.47367935999999977</v>
      </c>
      <c r="D292" s="22">
        <f t="shared" si="21"/>
        <v>0.46322495999999969</v>
      </c>
      <c r="E292" s="22">
        <f t="shared" si="21"/>
        <v>0.43675631999999975</v>
      </c>
      <c r="F292" s="22">
        <f t="shared" si="21"/>
        <v>0.38918879999999978</v>
      </c>
      <c r="G292" s="22">
        <f t="shared" si="21"/>
        <v>0.31743359999999976</v>
      </c>
      <c r="H292" s="22">
        <f t="shared" si="21"/>
        <v>0.2252447999999998</v>
      </c>
      <c r="I292" s="22">
        <f t="shared" si="21"/>
        <v>0.11784959999999989</v>
      </c>
      <c r="J292" s="22">
        <f t="shared" si="21"/>
        <v>0</v>
      </c>
    </row>
    <row r="293" spans="1:10" ht="20.100000000000001" customHeight="1" x14ac:dyDescent="0.25">
      <c r="A293" s="14">
        <f t="shared" si="19"/>
        <v>0.66000000000000025</v>
      </c>
      <c r="B293" s="22">
        <f t="shared" ref="B293:J308" si="22">1+B226</f>
        <v>0.45219999999999971</v>
      </c>
      <c r="C293" s="22">
        <f t="shared" si="22"/>
        <v>0.45075295999999976</v>
      </c>
      <c r="D293" s="22">
        <f t="shared" si="22"/>
        <v>0.44080455999999968</v>
      </c>
      <c r="E293" s="22">
        <f t="shared" si="22"/>
        <v>0.41561701999999978</v>
      </c>
      <c r="F293" s="22">
        <f t="shared" si="22"/>
        <v>0.37035179999999979</v>
      </c>
      <c r="G293" s="22">
        <f t="shared" si="22"/>
        <v>0.30206959999999983</v>
      </c>
      <c r="H293" s="22">
        <f t="shared" si="22"/>
        <v>0.21434279999999983</v>
      </c>
      <c r="I293" s="22">
        <f t="shared" si="22"/>
        <v>0.11214559999999996</v>
      </c>
      <c r="J293" s="22">
        <f t="shared" si="22"/>
        <v>0</v>
      </c>
    </row>
    <row r="294" spans="1:10" ht="20.100000000000001" customHeight="1" x14ac:dyDescent="0.25">
      <c r="A294" s="14">
        <f t="shared" si="19"/>
        <v>0.68000000000000027</v>
      </c>
      <c r="B294" s="22">
        <f t="shared" si="22"/>
        <v>0.42879999999999963</v>
      </c>
      <c r="C294" s="22">
        <f t="shared" si="22"/>
        <v>0.42742783999999956</v>
      </c>
      <c r="D294" s="22">
        <f t="shared" si="22"/>
        <v>0.41799423999999963</v>
      </c>
      <c r="E294" s="22">
        <f t="shared" si="22"/>
        <v>0.3941100799999997</v>
      </c>
      <c r="F294" s="22">
        <f t="shared" si="22"/>
        <v>0.3511871999999997</v>
      </c>
      <c r="G294" s="22">
        <f t="shared" si="22"/>
        <v>0.28643839999999965</v>
      </c>
      <c r="H294" s="22">
        <f t="shared" si="22"/>
        <v>0.20325119999999985</v>
      </c>
      <c r="I294" s="22">
        <f t="shared" si="22"/>
        <v>0.10634239999999973</v>
      </c>
      <c r="J294" s="22">
        <f t="shared" si="22"/>
        <v>0</v>
      </c>
    </row>
    <row r="295" spans="1:10" ht="20.100000000000001" customHeight="1" x14ac:dyDescent="0.25">
      <c r="A295" s="14">
        <f t="shared" si="19"/>
        <v>0.70000000000000029</v>
      </c>
      <c r="B295" s="22">
        <f t="shared" si="22"/>
        <v>0.40499999999999969</v>
      </c>
      <c r="C295" s="22">
        <f t="shared" si="22"/>
        <v>0.40370399999999973</v>
      </c>
      <c r="D295" s="22">
        <f t="shared" si="22"/>
        <v>0.39479399999999965</v>
      </c>
      <c r="E295" s="22">
        <f t="shared" si="22"/>
        <v>0.37223549999999972</v>
      </c>
      <c r="F295" s="22">
        <f t="shared" si="22"/>
        <v>0.33169499999999974</v>
      </c>
      <c r="G295" s="22">
        <f t="shared" si="22"/>
        <v>0.27053999999999978</v>
      </c>
      <c r="H295" s="22">
        <f t="shared" si="22"/>
        <v>0.19196999999999986</v>
      </c>
      <c r="I295" s="22">
        <f t="shared" si="22"/>
        <v>0.10043999999999986</v>
      </c>
      <c r="J295" s="22">
        <f t="shared" si="22"/>
        <v>0</v>
      </c>
    </row>
    <row r="296" spans="1:10" ht="20.100000000000001" customHeight="1" x14ac:dyDescent="0.25">
      <c r="A296" s="14">
        <f t="shared" si="19"/>
        <v>0.72000000000000031</v>
      </c>
      <c r="B296" s="22">
        <f t="shared" si="22"/>
        <v>0.38079999999999958</v>
      </c>
      <c r="C296" s="22">
        <f t="shared" si="22"/>
        <v>0.37958143999999949</v>
      </c>
      <c r="D296" s="22">
        <f t="shared" si="22"/>
        <v>0.37120383999999962</v>
      </c>
      <c r="E296" s="22">
        <f t="shared" si="22"/>
        <v>0.34999327999999963</v>
      </c>
      <c r="F296" s="22">
        <f t="shared" si="22"/>
        <v>0.31187519999999969</v>
      </c>
      <c r="G296" s="22">
        <f t="shared" si="22"/>
        <v>0.25437439999999967</v>
      </c>
      <c r="H296" s="22">
        <f t="shared" si="22"/>
        <v>0.18049919999999986</v>
      </c>
      <c r="I296" s="22">
        <f t="shared" si="22"/>
        <v>9.4438399999999922E-2</v>
      </c>
      <c r="J296" s="22">
        <f t="shared" si="22"/>
        <v>0</v>
      </c>
    </row>
    <row r="297" spans="1:10" ht="20.100000000000001" customHeight="1" x14ac:dyDescent="0.25">
      <c r="A297" s="14">
        <f t="shared" si="19"/>
        <v>0.74000000000000032</v>
      </c>
      <c r="B297" s="22">
        <f t="shared" si="22"/>
        <v>0.35619999999999963</v>
      </c>
      <c r="C297" s="22">
        <f t="shared" si="22"/>
        <v>0.35506015999999962</v>
      </c>
      <c r="D297" s="22">
        <f t="shared" si="22"/>
        <v>0.34722375999999966</v>
      </c>
      <c r="E297" s="22">
        <f t="shared" si="22"/>
        <v>0.32738341999999965</v>
      </c>
      <c r="F297" s="22">
        <f t="shared" si="22"/>
        <v>0.29172779999999965</v>
      </c>
      <c r="G297" s="22">
        <f t="shared" si="22"/>
        <v>0.23794159999999975</v>
      </c>
      <c r="H297" s="22">
        <f t="shared" si="22"/>
        <v>0.16883879999999973</v>
      </c>
      <c r="I297" s="22">
        <f t="shared" si="22"/>
        <v>8.8337599999999794E-2</v>
      </c>
      <c r="J297" s="22">
        <f t="shared" si="22"/>
        <v>0</v>
      </c>
    </row>
    <row r="298" spans="1:10" ht="20.100000000000001" customHeight="1" x14ac:dyDescent="0.25">
      <c r="A298" s="14">
        <f t="shared" si="19"/>
        <v>0.76000000000000034</v>
      </c>
      <c r="B298" s="22">
        <f t="shared" si="22"/>
        <v>0.33119999999999949</v>
      </c>
      <c r="C298" s="22">
        <f t="shared" si="22"/>
        <v>0.33014015999999946</v>
      </c>
      <c r="D298" s="22">
        <f t="shared" si="22"/>
        <v>0.32285375999999943</v>
      </c>
      <c r="E298" s="22">
        <f t="shared" si="22"/>
        <v>0.30440591999999955</v>
      </c>
      <c r="F298" s="22">
        <f t="shared" si="22"/>
        <v>0.27125279999999963</v>
      </c>
      <c r="G298" s="22">
        <f t="shared" si="22"/>
        <v>0.22124159999999959</v>
      </c>
      <c r="H298" s="22">
        <f t="shared" si="22"/>
        <v>0.15698879999999971</v>
      </c>
      <c r="I298" s="22">
        <f t="shared" si="22"/>
        <v>8.2137599999999811E-2</v>
      </c>
      <c r="J298" s="22">
        <f t="shared" si="22"/>
        <v>0</v>
      </c>
    </row>
    <row r="299" spans="1:10" ht="20.100000000000001" customHeight="1" x14ac:dyDescent="0.25">
      <c r="A299" s="14">
        <f t="shared" si="19"/>
        <v>0.78000000000000036</v>
      </c>
      <c r="B299" s="22">
        <f t="shared" si="22"/>
        <v>0.30579999999999952</v>
      </c>
      <c r="C299" s="22">
        <f t="shared" si="22"/>
        <v>0.30482143999999967</v>
      </c>
      <c r="D299" s="22">
        <f t="shared" si="22"/>
        <v>0.2980938399999995</v>
      </c>
      <c r="E299" s="22">
        <f t="shared" si="22"/>
        <v>0.28106077999999957</v>
      </c>
      <c r="F299" s="22">
        <f t="shared" si="22"/>
        <v>0.25045019999999962</v>
      </c>
      <c r="G299" s="22">
        <f t="shared" si="22"/>
        <v>0.20427439999999963</v>
      </c>
      <c r="H299" s="22">
        <f t="shared" si="22"/>
        <v>0.14494919999999978</v>
      </c>
      <c r="I299" s="22">
        <f t="shared" si="22"/>
        <v>7.5838399999999861E-2</v>
      </c>
      <c r="J299" s="22">
        <f t="shared" si="22"/>
        <v>0</v>
      </c>
    </row>
    <row r="300" spans="1:10" ht="20.100000000000001" customHeight="1" x14ac:dyDescent="0.25">
      <c r="A300" s="14">
        <f t="shared" si="19"/>
        <v>0.80000000000000038</v>
      </c>
      <c r="B300" s="22">
        <f t="shared" si="22"/>
        <v>0.27999999999999958</v>
      </c>
      <c r="C300" s="22">
        <f t="shared" si="22"/>
        <v>0.27910399999999957</v>
      </c>
      <c r="D300" s="22">
        <f t="shared" si="22"/>
        <v>0.27294399999999952</v>
      </c>
      <c r="E300" s="22">
        <f t="shared" si="22"/>
        <v>0.25734799999999969</v>
      </c>
      <c r="F300" s="22">
        <f t="shared" si="22"/>
        <v>0.22931999999999964</v>
      </c>
      <c r="G300" s="22">
        <f t="shared" si="22"/>
        <v>0.18703999999999965</v>
      </c>
      <c r="H300" s="22">
        <f t="shared" si="22"/>
        <v>0.13271999999999973</v>
      </c>
      <c r="I300" s="22">
        <f t="shared" si="22"/>
        <v>6.9439999999999835E-2</v>
      </c>
      <c r="J300" s="22">
        <f t="shared" si="22"/>
        <v>0</v>
      </c>
    </row>
    <row r="301" spans="1:10" ht="20.100000000000001" customHeight="1" x14ac:dyDescent="0.25">
      <c r="A301" s="14">
        <f t="shared" si="19"/>
        <v>0.8200000000000004</v>
      </c>
      <c r="B301" s="22">
        <f t="shared" si="22"/>
        <v>0.25379999999999958</v>
      </c>
      <c r="C301" s="22">
        <f t="shared" si="22"/>
        <v>0.25298783999999952</v>
      </c>
      <c r="D301" s="22">
        <f t="shared" si="22"/>
        <v>0.2474042399999995</v>
      </c>
      <c r="E301" s="22">
        <f t="shared" si="22"/>
        <v>0.23326757999999959</v>
      </c>
      <c r="F301" s="22">
        <f t="shared" si="22"/>
        <v>0.20786219999999955</v>
      </c>
      <c r="G301" s="22">
        <f t="shared" si="22"/>
        <v>0.16953839999999976</v>
      </c>
      <c r="H301" s="22">
        <f t="shared" si="22"/>
        <v>0.12030119999999977</v>
      </c>
      <c r="I301" s="22">
        <f t="shared" si="22"/>
        <v>6.2942399999999843E-2</v>
      </c>
      <c r="J301" s="22">
        <f t="shared" si="22"/>
        <v>0</v>
      </c>
    </row>
    <row r="302" spans="1:10" ht="20.100000000000001" customHeight="1" x14ac:dyDescent="0.25">
      <c r="A302" s="14">
        <f t="shared" si="19"/>
        <v>0.84000000000000041</v>
      </c>
      <c r="B302" s="22">
        <f t="shared" si="22"/>
        <v>0.2271999999999994</v>
      </c>
      <c r="C302" s="22">
        <f t="shared" si="22"/>
        <v>0.22647295999999939</v>
      </c>
      <c r="D302" s="22">
        <f t="shared" si="22"/>
        <v>0.22147455999999943</v>
      </c>
      <c r="E302" s="22">
        <f t="shared" si="22"/>
        <v>0.20881951999999937</v>
      </c>
      <c r="F302" s="22">
        <f t="shared" si="22"/>
        <v>0.1860767999999996</v>
      </c>
      <c r="G302" s="22">
        <f t="shared" si="22"/>
        <v>0.15176959999999962</v>
      </c>
      <c r="H302" s="22">
        <f t="shared" si="22"/>
        <v>0.10769279999999981</v>
      </c>
      <c r="I302" s="22">
        <f t="shared" si="22"/>
        <v>5.6345599999999774E-2</v>
      </c>
      <c r="J302" s="22">
        <f t="shared" si="22"/>
        <v>0</v>
      </c>
    </row>
    <row r="303" spans="1:10" ht="20.100000000000001" customHeight="1" x14ac:dyDescent="0.25">
      <c r="A303" s="14">
        <f t="shared" si="19"/>
        <v>0.86000000000000043</v>
      </c>
      <c r="B303" s="22">
        <f t="shared" si="22"/>
        <v>0.20019999999999949</v>
      </c>
      <c r="C303" s="22">
        <f t="shared" si="22"/>
        <v>0.19955935999999952</v>
      </c>
      <c r="D303" s="22">
        <f t="shared" si="22"/>
        <v>0.19515495999999954</v>
      </c>
      <c r="E303" s="22">
        <f t="shared" si="22"/>
        <v>0.18400381999999949</v>
      </c>
      <c r="F303" s="22">
        <f t="shared" si="22"/>
        <v>0.16396379999999966</v>
      </c>
      <c r="G303" s="22">
        <f t="shared" si="22"/>
        <v>0.13373359999999967</v>
      </c>
      <c r="H303" s="22">
        <f t="shared" si="22"/>
        <v>9.4894799999999724E-2</v>
      </c>
      <c r="I303" s="22">
        <f t="shared" si="22"/>
        <v>4.964959999999996E-2</v>
      </c>
      <c r="J303" s="22">
        <f t="shared" si="22"/>
        <v>0</v>
      </c>
    </row>
    <row r="304" spans="1:10" ht="20.100000000000001" customHeight="1" x14ac:dyDescent="0.25">
      <c r="A304" s="14">
        <f t="shared" si="19"/>
        <v>0.88000000000000045</v>
      </c>
      <c r="B304" s="22">
        <f t="shared" si="22"/>
        <v>0.1727999999999994</v>
      </c>
      <c r="C304" s="22">
        <f t="shared" si="22"/>
        <v>0.17224703999999946</v>
      </c>
      <c r="D304" s="22">
        <f t="shared" si="22"/>
        <v>0.16844543999999939</v>
      </c>
      <c r="E304" s="22">
        <f t="shared" si="22"/>
        <v>0.1588204799999996</v>
      </c>
      <c r="F304" s="22">
        <f t="shared" si="22"/>
        <v>0.14152319999999963</v>
      </c>
      <c r="G304" s="22">
        <f t="shared" si="22"/>
        <v>0.1154303999999996</v>
      </c>
      <c r="H304" s="22">
        <f t="shared" si="22"/>
        <v>8.1907199999999736E-2</v>
      </c>
      <c r="I304" s="22">
        <f t="shared" si="22"/>
        <v>4.2854399999999959E-2</v>
      </c>
      <c r="J304" s="22">
        <f t="shared" si="22"/>
        <v>0</v>
      </c>
    </row>
    <row r="305" spans="1:10" ht="20.100000000000001" customHeight="1" x14ac:dyDescent="0.25">
      <c r="A305" s="14">
        <f t="shared" si="19"/>
        <v>0.90000000000000047</v>
      </c>
      <c r="B305" s="22">
        <f t="shared" si="22"/>
        <v>0.14499999999999924</v>
      </c>
      <c r="C305" s="22">
        <f t="shared" si="22"/>
        <v>0.14453599999999922</v>
      </c>
      <c r="D305" s="22">
        <f t="shared" si="22"/>
        <v>0.14134599999999931</v>
      </c>
      <c r="E305" s="22">
        <f t="shared" si="22"/>
        <v>0.13326949999999937</v>
      </c>
      <c r="F305" s="22">
        <f t="shared" si="22"/>
        <v>0.1187549999999995</v>
      </c>
      <c r="G305" s="22">
        <f t="shared" si="22"/>
        <v>9.6859999999999502E-2</v>
      </c>
      <c r="H305" s="22">
        <f t="shared" si="22"/>
        <v>6.8729999999999625E-2</v>
      </c>
      <c r="I305" s="22">
        <f t="shared" si="22"/>
        <v>3.595999999999977E-2</v>
      </c>
      <c r="J305" s="22">
        <f t="shared" si="22"/>
        <v>0</v>
      </c>
    </row>
    <row r="306" spans="1:10" ht="20.100000000000001" customHeight="1" x14ac:dyDescent="0.25">
      <c r="A306" s="14">
        <f t="shared" si="19"/>
        <v>0.92000000000000048</v>
      </c>
      <c r="B306" s="22">
        <f t="shared" si="22"/>
        <v>0.11679999999999935</v>
      </c>
      <c r="C306" s="22">
        <f t="shared" si="22"/>
        <v>0.11642623999999946</v>
      </c>
      <c r="D306" s="22">
        <f t="shared" si="22"/>
        <v>0.1138566399999994</v>
      </c>
      <c r="E306" s="22">
        <f t="shared" si="22"/>
        <v>0.10735087999999948</v>
      </c>
      <c r="F306" s="22">
        <f t="shared" si="22"/>
        <v>9.56591999999995E-2</v>
      </c>
      <c r="G306" s="22">
        <f t="shared" si="22"/>
        <v>7.8022399999999603E-2</v>
      </c>
      <c r="H306" s="22">
        <f t="shared" si="22"/>
        <v>5.5363199999999724E-2</v>
      </c>
      <c r="I306" s="22">
        <f t="shared" si="22"/>
        <v>2.8966399999999948E-2</v>
      </c>
      <c r="J306" s="22">
        <f t="shared" si="22"/>
        <v>0</v>
      </c>
    </row>
    <row r="307" spans="1:10" ht="20.100000000000001" customHeight="1" x14ac:dyDescent="0.25">
      <c r="A307" s="14">
        <f t="shared" si="19"/>
        <v>0.9400000000000005</v>
      </c>
      <c r="B307" s="22">
        <f t="shared" si="22"/>
        <v>8.8199999999999168E-2</v>
      </c>
      <c r="C307" s="22">
        <f t="shared" si="22"/>
        <v>8.791775999999929E-2</v>
      </c>
      <c r="D307" s="22">
        <f t="shared" si="22"/>
        <v>8.5977359999999226E-2</v>
      </c>
      <c r="E307" s="22">
        <f t="shared" si="22"/>
        <v>8.1064619999999254E-2</v>
      </c>
      <c r="F307" s="22">
        <f t="shared" si="22"/>
        <v>7.2235799999999406E-2</v>
      </c>
      <c r="G307" s="22">
        <f t="shared" si="22"/>
        <v>5.8917599999999459E-2</v>
      </c>
      <c r="H307" s="22">
        <f t="shared" si="22"/>
        <v>4.18067999999997E-2</v>
      </c>
      <c r="I307" s="22">
        <f t="shared" si="22"/>
        <v>2.1873599999999827E-2</v>
      </c>
      <c r="J307" s="22">
        <f t="shared" si="22"/>
        <v>0</v>
      </c>
    </row>
    <row r="308" spans="1:10" ht="20.100000000000001" customHeight="1" x14ac:dyDescent="0.25">
      <c r="A308" s="14">
        <f t="shared" si="19"/>
        <v>0.96000000000000052</v>
      </c>
      <c r="B308" s="22">
        <f t="shared" si="22"/>
        <v>5.9199999999999253E-2</v>
      </c>
      <c r="C308" s="22">
        <f t="shared" si="22"/>
        <v>5.9010559999999268E-2</v>
      </c>
      <c r="D308" s="22">
        <f t="shared" si="22"/>
        <v>5.7708159999999231E-2</v>
      </c>
      <c r="E308" s="22">
        <f t="shared" si="22"/>
        <v>5.4410719999999357E-2</v>
      </c>
      <c r="F308" s="22">
        <f t="shared" si="22"/>
        <v>4.8484799999999328E-2</v>
      </c>
      <c r="G308" s="22">
        <f t="shared" si="22"/>
        <v>3.9545599999999625E-2</v>
      </c>
      <c r="H308" s="22">
        <f t="shared" si="22"/>
        <v>2.8060799999999664E-2</v>
      </c>
      <c r="I308" s="22">
        <f t="shared" si="22"/>
        <v>1.468159999999985E-2</v>
      </c>
      <c r="J308" s="22">
        <f t="shared" si="22"/>
        <v>0</v>
      </c>
    </row>
    <row r="309" spans="1:10" ht="20.100000000000001" customHeight="1" x14ac:dyDescent="0.25">
      <c r="A309" s="14">
        <f t="shared" si="19"/>
        <v>0.98000000000000054</v>
      </c>
      <c r="B309" s="22">
        <f t="shared" ref="B309:J310" si="23">1+B242</f>
        <v>2.979999999999916E-2</v>
      </c>
      <c r="C309" s="22">
        <f t="shared" si="23"/>
        <v>2.9704639999999172E-2</v>
      </c>
      <c r="D309" s="22">
        <f t="shared" si="23"/>
        <v>2.9049039999999193E-2</v>
      </c>
      <c r="E309" s="22">
        <f t="shared" si="23"/>
        <v>2.7389179999999236E-2</v>
      </c>
      <c r="F309" s="22">
        <f t="shared" si="23"/>
        <v>2.4406199999999378E-2</v>
      </c>
      <c r="G309" s="22">
        <f t="shared" si="23"/>
        <v>1.9906399999999436E-2</v>
      </c>
      <c r="H309" s="22">
        <f t="shared" si="23"/>
        <v>1.4125199999999616E-2</v>
      </c>
      <c r="I309" s="22">
        <f t="shared" si="23"/>
        <v>7.3903999999997971E-3</v>
      </c>
      <c r="J309" s="22">
        <f t="shared" si="23"/>
        <v>0</v>
      </c>
    </row>
    <row r="310" spans="1:10" ht="20.100000000000001" customHeight="1" x14ac:dyDescent="0.25">
      <c r="A310" s="14">
        <f t="shared" si="19"/>
        <v>1.0000000000000004</v>
      </c>
      <c r="B310" s="22">
        <f t="shared" si="23"/>
        <v>0</v>
      </c>
      <c r="C310" s="22">
        <f t="shared" si="23"/>
        <v>0</v>
      </c>
      <c r="D310" s="22">
        <f t="shared" si="23"/>
        <v>0</v>
      </c>
      <c r="E310" s="22">
        <f t="shared" si="23"/>
        <v>0</v>
      </c>
      <c r="F310" s="22">
        <f t="shared" si="23"/>
        <v>0</v>
      </c>
      <c r="G310" s="22">
        <f t="shared" si="23"/>
        <v>0</v>
      </c>
      <c r="H310" s="22">
        <f t="shared" si="23"/>
        <v>0</v>
      </c>
      <c r="I310" s="22">
        <f t="shared" si="23"/>
        <v>0</v>
      </c>
      <c r="J310" s="22">
        <f t="shared" si="23"/>
        <v>0</v>
      </c>
    </row>
    <row r="312" spans="1:10" ht="20.100000000000001" customHeight="1" x14ac:dyDescent="0.25">
      <c r="A312" s="244" t="s">
        <v>374</v>
      </c>
      <c r="B312" s="244"/>
      <c r="C312" s="244"/>
      <c r="D312" s="244"/>
      <c r="E312" s="244"/>
      <c r="F312" s="244"/>
      <c r="G312" s="244"/>
      <c r="H312" s="244"/>
      <c r="I312" s="244"/>
      <c r="J312" s="244"/>
    </row>
    <row r="313" spans="1:10" ht="20.100000000000001" customHeight="1" x14ac:dyDescent="0.25">
      <c r="A313" s="244"/>
      <c r="B313" s="244"/>
      <c r="C313" s="244"/>
      <c r="D313" s="244"/>
      <c r="E313" s="244"/>
      <c r="F313" s="244"/>
      <c r="G313" s="244"/>
      <c r="H313" s="244"/>
      <c r="I313" s="244"/>
      <c r="J313" s="244"/>
    </row>
    <row r="315" spans="1:10" ht="20.100000000000001" customHeight="1" x14ac:dyDescent="0.25">
      <c r="C315" s="21"/>
    </row>
    <row r="322" spans="1:21" ht="20.100000000000001" customHeight="1" x14ac:dyDescent="0.25">
      <c r="A322" s="244" t="s">
        <v>80</v>
      </c>
      <c r="B322" s="244"/>
      <c r="C322" s="244"/>
      <c r="D322" s="244"/>
      <c r="E322" s="244"/>
      <c r="F322" s="244"/>
      <c r="G322" s="244"/>
      <c r="H322" s="244"/>
      <c r="I322" s="244"/>
      <c r="J322" s="244"/>
    </row>
    <row r="323" spans="1:21" ht="20.100000000000001" customHeight="1" x14ac:dyDescent="0.25">
      <c r="A323" s="244" t="s">
        <v>81</v>
      </c>
      <c r="B323" s="244"/>
      <c r="C323" s="244"/>
      <c r="D323" s="244"/>
      <c r="E323" s="244"/>
      <c r="F323" s="244"/>
      <c r="G323" s="244"/>
      <c r="H323" s="244"/>
      <c r="I323" s="244"/>
      <c r="J323" s="244"/>
      <c r="K323" s="3"/>
      <c r="L323" s="3"/>
      <c r="M323" s="3"/>
      <c r="N323" s="3"/>
      <c r="O323" s="3"/>
      <c r="P323" s="3"/>
      <c r="Q323" s="3"/>
      <c r="R323" s="3"/>
    </row>
    <row r="324" spans="1:21" ht="39.950000000000003" customHeight="1" x14ac:dyDescent="0.25">
      <c r="A324" s="244" t="s">
        <v>103</v>
      </c>
      <c r="B324" s="244"/>
      <c r="C324" s="244"/>
      <c r="D324" s="244"/>
      <c r="E324" s="244"/>
      <c r="F324" s="244"/>
      <c r="G324" s="244"/>
      <c r="H324" s="244"/>
      <c r="I324" s="244"/>
      <c r="J324" s="244"/>
    </row>
    <row r="325" spans="1:21" ht="20.100000000000001" customHeight="1" x14ac:dyDescent="0.25">
      <c r="A325" s="244" t="s">
        <v>375</v>
      </c>
      <c r="B325" s="244"/>
      <c r="C325" s="244"/>
      <c r="D325" s="244"/>
      <c r="E325" s="244"/>
      <c r="F325" s="244"/>
      <c r="G325" s="244"/>
      <c r="H325" s="244"/>
      <c r="I325" s="244"/>
      <c r="J325" s="244"/>
    </row>
    <row r="326" spans="1:21" ht="20.100000000000001" customHeight="1" x14ac:dyDescent="0.25">
      <c r="A326" s="244" t="s">
        <v>376</v>
      </c>
      <c r="B326" s="244"/>
      <c r="C326" s="244"/>
      <c r="D326" s="244"/>
      <c r="E326" s="244"/>
      <c r="F326" s="244"/>
      <c r="G326" s="244"/>
      <c r="H326" s="244"/>
      <c r="I326" s="244"/>
      <c r="J326" s="244"/>
    </row>
    <row r="327" spans="1:21" ht="39.950000000000003" customHeight="1" x14ac:dyDescent="0.25">
      <c r="A327" s="244" t="s">
        <v>377</v>
      </c>
      <c r="B327" s="244"/>
      <c r="C327" s="244"/>
      <c r="D327" s="244"/>
      <c r="E327" s="244"/>
      <c r="F327" s="244"/>
      <c r="G327" s="244"/>
      <c r="H327" s="244"/>
      <c r="I327" s="244"/>
      <c r="J327" s="244"/>
    </row>
    <row r="328" spans="1:21" ht="39.950000000000003" customHeight="1" x14ac:dyDescent="0.25">
      <c r="A328" s="244" t="s">
        <v>378</v>
      </c>
      <c r="B328" s="244"/>
      <c r="C328" s="244"/>
      <c r="D328" s="244"/>
      <c r="E328" s="244"/>
      <c r="F328" s="244"/>
      <c r="G328" s="244"/>
      <c r="H328" s="244"/>
      <c r="I328" s="244"/>
      <c r="J328" s="244"/>
    </row>
    <row r="329" spans="1:21" ht="20.100000000000001" customHeight="1" x14ac:dyDescent="0.25">
      <c r="A329" s="244" t="s">
        <v>379</v>
      </c>
      <c r="B329" s="244"/>
      <c r="C329" s="244"/>
      <c r="D329" s="244"/>
      <c r="E329" s="244"/>
      <c r="F329" s="244"/>
      <c r="G329" s="244"/>
      <c r="H329" s="244"/>
      <c r="I329" s="244"/>
      <c r="J329" s="244"/>
    </row>
    <row r="330" spans="1:21" ht="20.100000000000001" customHeight="1" x14ac:dyDescent="0.25">
      <c r="A330" s="244" t="s">
        <v>104</v>
      </c>
      <c r="B330" s="244"/>
      <c r="C330" s="244"/>
      <c r="D330" s="244"/>
      <c r="E330" s="244"/>
      <c r="F330" s="244"/>
      <c r="G330" s="244"/>
      <c r="H330" s="244"/>
      <c r="I330" s="244"/>
      <c r="J330" s="244"/>
    </row>
    <row r="331" spans="1:21" ht="39.950000000000003" customHeight="1" x14ac:dyDescent="0.25">
      <c r="A331" s="244" t="s">
        <v>380</v>
      </c>
      <c r="B331" s="244"/>
      <c r="C331" s="244"/>
      <c r="D331" s="244"/>
      <c r="E331" s="244"/>
      <c r="F331" s="244"/>
      <c r="G331" s="244"/>
      <c r="H331" s="244"/>
      <c r="I331" s="244"/>
      <c r="J331" s="244"/>
    </row>
    <row r="332" spans="1:21" ht="39.950000000000003" customHeight="1" x14ac:dyDescent="0.25">
      <c r="A332" s="244" t="s">
        <v>381</v>
      </c>
      <c r="B332" s="244"/>
      <c r="C332" s="244"/>
      <c r="D332" s="244"/>
      <c r="E332" s="244"/>
      <c r="F332" s="244"/>
      <c r="G332" s="244"/>
      <c r="H332" s="244"/>
      <c r="I332" s="244"/>
      <c r="J332" s="244"/>
    </row>
    <row r="333" spans="1:21" ht="39.950000000000003" customHeight="1" x14ac:dyDescent="0.25">
      <c r="A333" s="244" t="s">
        <v>106</v>
      </c>
      <c r="B333" s="244"/>
      <c r="C333" s="244"/>
      <c r="D333" s="244"/>
      <c r="E333" s="244"/>
      <c r="F333" s="244"/>
      <c r="G333" s="244"/>
      <c r="H333" s="244"/>
      <c r="I333" s="244"/>
      <c r="J333" s="244"/>
    </row>
    <row r="334" spans="1:21" ht="39.950000000000003" customHeight="1" x14ac:dyDescent="0.25">
      <c r="A334" s="244" t="s">
        <v>382</v>
      </c>
      <c r="B334" s="244"/>
      <c r="C334" s="244"/>
      <c r="D334" s="244"/>
      <c r="E334" s="244"/>
      <c r="F334" s="244"/>
      <c r="G334" s="244"/>
      <c r="H334" s="244"/>
      <c r="I334" s="244"/>
      <c r="J334" s="244"/>
      <c r="L334" s="6"/>
      <c r="M334" s="6"/>
      <c r="N334" s="6"/>
      <c r="O334" s="6"/>
      <c r="P334" s="6"/>
      <c r="Q334" s="6"/>
      <c r="R334" s="6"/>
      <c r="S334" s="6"/>
      <c r="T334" s="6"/>
      <c r="U334" s="6"/>
    </row>
    <row r="335" spans="1:21" ht="39.950000000000003" customHeight="1" x14ac:dyDescent="0.25">
      <c r="A335" s="244" t="s">
        <v>105</v>
      </c>
      <c r="B335" s="244"/>
      <c r="C335" s="244"/>
      <c r="D335" s="244"/>
      <c r="E335" s="244"/>
      <c r="F335" s="244"/>
      <c r="G335" s="244"/>
      <c r="H335" s="244"/>
      <c r="I335" s="244"/>
      <c r="J335" s="244"/>
      <c r="L335" s="6"/>
      <c r="M335" s="6"/>
      <c r="N335" s="6"/>
      <c r="O335" s="6"/>
      <c r="P335" s="6"/>
      <c r="Q335" s="6"/>
      <c r="R335" s="6"/>
      <c r="S335" s="6"/>
      <c r="T335" s="6"/>
      <c r="U335" s="6"/>
    </row>
    <row r="336" spans="1:21" ht="39.950000000000003" customHeight="1" x14ac:dyDescent="0.25">
      <c r="A336" s="244" t="s">
        <v>383</v>
      </c>
      <c r="B336" s="244"/>
      <c r="C336" s="244"/>
      <c r="D336" s="244"/>
      <c r="E336" s="244"/>
      <c r="F336" s="244"/>
      <c r="G336" s="244"/>
      <c r="H336" s="244"/>
      <c r="I336" s="244"/>
      <c r="J336" s="244"/>
      <c r="L336" s="6"/>
      <c r="M336" s="6"/>
      <c r="N336" s="6"/>
      <c r="O336" s="6"/>
      <c r="P336" s="6"/>
      <c r="Q336" s="6"/>
      <c r="R336" s="6"/>
      <c r="S336" s="6"/>
      <c r="T336" s="6"/>
      <c r="U336" s="6"/>
    </row>
    <row r="337" spans="1:10" ht="20.100000000000001" customHeight="1" x14ac:dyDescent="0.25">
      <c r="A337" s="244" t="s">
        <v>384</v>
      </c>
      <c r="B337" s="244"/>
      <c r="C337" s="244"/>
      <c r="D337" s="244"/>
      <c r="E337" s="244"/>
      <c r="F337" s="244"/>
      <c r="G337" s="244"/>
      <c r="H337" s="244"/>
      <c r="I337" s="244"/>
      <c r="J337" s="244"/>
    </row>
    <row r="338" spans="1:10" ht="20.100000000000001" customHeight="1" x14ac:dyDescent="0.25">
      <c r="A338" s="244" t="s">
        <v>385</v>
      </c>
      <c r="B338" s="244"/>
      <c r="C338" s="244"/>
      <c r="D338" s="244"/>
      <c r="E338" s="244"/>
      <c r="F338" s="244"/>
      <c r="G338" s="244"/>
      <c r="H338" s="244"/>
      <c r="I338" s="244"/>
      <c r="J338" s="244"/>
    </row>
    <row r="339" spans="1:10" ht="39.950000000000003" customHeight="1" x14ac:dyDescent="0.25">
      <c r="A339" s="244" t="s">
        <v>386</v>
      </c>
      <c r="B339" s="244"/>
      <c r="C339" s="244"/>
      <c r="D339" s="244"/>
      <c r="E339" s="244"/>
      <c r="F339" s="244"/>
      <c r="G339" s="244"/>
      <c r="H339" s="244"/>
      <c r="I339" s="244"/>
      <c r="J339" s="244"/>
    </row>
    <row r="340" spans="1:10" ht="20.100000000000001" customHeight="1" x14ac:dyDescent="0.25">
      <c r="A340" s="244" t="s">
        <v>387</v>
      </c>
      <c r="B340" s="244"/>
      <c r="C340" s="244"/>
      <c r="D340" s="244"/>
      <c r="E340" s="244"/>
      <c r="F340" s="244"/>
      <c r="G340" s="244"/>
      <c r="H340" s="244"/>
      <c r="I340" s="244"/>
      <c r="J340" s="244"/>
    </row>
    <row r="341" spans="1:10" ht="20.100000000000001" customHeight="1" x14ac:dyDescent="0.25">
      <c r="A341" s="244"/>
      <c r="B341" s="244"/>
      <c r="C341" s="244"/>
      <c r="D341" s="244"/>
      <c r="E341" s="244"/>
      <c r="F341" s="244"/>
      <c r="G341" s="244"/>
      <c r="H341" s="244"/>
      <c r="I341" s="244"/>
      <c r="J341" s="244"/>
    </row>
  </sheetData>
  <mergeCells count="239">
    <mergeCell ref="A340:J340"/>
    <mergeCell ref="A341:J341"/>
    <mergeCell ref="A334:J334"/>
    <mergeCell ref="A335:J335"/>
    <mergeCell ref="A336:J336"/>
    <mergeCell ref="A337:J337"/>
    <mergeCell ref="A338:J338"/>
    <mergeCell ref="A339:J339"/>
    <mergeCell ref="A328:J328"/>
    <mergeCell ref="A329:J329"/>
    <mergeCell ref="A330:J330"/>
    <mergeCell ref="A331:J331"/>
    <mergeCell ref="A332:J332"/>
    <mergeCell ref="A333:J333"/>
    <mergeCell ref="A322:J322"/>
    <mergeCell ref="A323:J323"/>
    <mergeCell ref="A324:J324"/>
    <mergeCell ref="A325:J325"/>
    <mergeCell ref="A326:J326"/>
    <mergeCell ref="A327:J327"/>
    <mergeCell ref="A245:J247"/>
    <mergeCell ref="A256:A259"/>
    <mergeCell ref="B256:J256"/>
    <mergeCell ref="B257:J257"/>
    <mergeCell ref="B258:J258"/>
    <mergeCell ref="A312:J313"/>
    <mergeCell ref="A118:A121"/>
    <mergeCell ref="B118:J118"/>
    <mergeCell ref="B119:J119"/>
    <mergeCell ref="B120:J120"/>
    <mergeCell ref="A174:J174"/>
    <mergeCell ref="A189:A192"/>
    <mergeCell ref="B189:J189"/>
    <mergeCell ref="B190:J190"/>
    <mergeCell ref="B191:J191"/>
    <mergeCell ref="A114:B114"/>
    <mergeCell ref="C114:D114"/>
    <mergeCell ref="E114:F114"/>
    <mergeCell ref="G114:H114"/>
    <mergeCell ref="I114:J114"/>
    <mergeCell ref="A115:B115"/>
    <mergeCell ref="C115:D115"/>
    <mergeCell ref="E115:F115"/>
    <mergeCell ref="G115:H115"/>
    <mergeCell ref="I115:J115"/>
    <mergeCell ref="A112:B112"/>
    <mergeCell ref="C112:D112"/>
    <mergeCell ref="E112:F112"/>
    <mergeCell ref="G112:H112"/>
    <mergeCell ref="I112:J112"/>
    <mergeCell ref="A113:B113"/>
    <mergeCell ref="C113:D113"/>
    <mergeCell ref="E113:F113"/>
    <mergeCell ref="G113:H113"/>
    <mergeCell ref="I113:J113"/>
    <mergeCell ref="A110:B110"/>
    <mergeCell ref="C110:D110"/>
    <mergeCell ref="E110:F110"/>
    <mergeCell ref="G110:H110"/>
    <mergeCell ref="I110:J110"/>
    <mergeCell ref="A111:B111"/>
    <mergeCell ref="C111:D111"/>
    <mergeCell ref="E111:F111"/>
    <mergeCell ref="G111:H111"/>
    <mergeCell ref="I111:J111"/>
    <mergeCell ref="A108:B108"/>
    <mergeCell ref="C108:D108"/>
    <mergeCell ref="E108:F108"/>
    <mergeCell ref="G108:H108"/>
    <mergeCell ref="I108:J108"/>
    <mergeCell ref="A109:B109"/>
    <mergeCell ref="C109:D109"/>
    <mergeCell ref="E109:F109"/>
    <mergeCell ref="G109:H109"/>
    <mergeCell ref="I109:J109"/>
    <mergeCell ref="I106:J106"/>
    <mergeCell ref="A107:B107"/>
    <mergeCell ref="C107:D107"/>
    <mergeCell ref="E107:F107"/>
    <mergeCell ref="G107:H107"/>
    <mergeCell ref="I107:J107"/>
    <mergeCell ref="A86:J86"/>
    <mergeCell ref="A87:J89"/>
    <mergeCell ref="A92:J92"/>
    <mergeCell ref="A94:J99"/>
    <mergeCell ref="A101:J103"/>
    <mergeCell ref="A104:B106"/>
    <mergeCell ref="C104:D106"/>
    <mergeCell ref="E104:F106"/>
    <mergeCell ref="G104:J105"/>
    <mergeCell ref="G106:H106"/>
    <mergeCell ref="B79:D79"/>
    <mergeCell ref="F79:J79"/>
    <mergeCell ref="A81:J81"/>
    <mergeCell ref="A82:J82"/>
    <mergeCell ref="A83:J83"/>
    <mergeCell ref="A84:J84"/>
    <mergeCell ref="A69:A74"/>
    <mergeCell ref="B69:D74"/>
    <mergeCell ref="E69:E74"/>
    <mergeCell ref="F69:J74"/>
    <mergeCell ref="A75:A78"/>
    <mergeCell ref="B75:D78"/>
    <mergeCell ref="E75:E78"/>
    <mergeCell ref="F75:J78"/>
    <mergeCell ref="A59:A62"/>
    <mergeCell ref="B59:D62"/>
    <mergeCell ref="E59:E62"/>
    <mergeCell ref="F59:J62"/>
    <mergeCell ref="A63:A68"/>
    <mergeCell ref="B63:D68"/>
    <mergeCell ref="E63:E68"/>
    <mergeCell ref="F63:J68"/>
    <mergeCell ref="A53:A55"/>
    <mergeCell ref="B53:D55"/>
    <mergeCell ref="E53:E55"/>
    <mergeCell ref="F53:J55"/>
    <mergeCell ref="A56:A58"/>
    <mergeCell ref="B56:D58"/>
    <mergeCell ref="E56:E58"/>
    <mergeCell ref="F56:J58"/>
    <mergeCell ref="A47:A49"/>
    <mergeCell ref="B47:D49"/>
    <mergeCell ref="E47:E49"/>
    <mergeCell ref="F47:J49"/>
    <mergeCell ref="A50:A52"/>
    <mergeCell ref="B50:D52"/>
    <mergeCell ref="E50:E52"/>
    <mergeCell ref="F50:J52"/>
    <mergeCell ref="A36:J36"/>
    <mergeCell ref="A37:J37"/>
    <mergeCell ref="A38:J39"/>
    <mergeCell ref="A42:J43"/>
    <mergeCell ref="A45:A46"/>
    <mergeCell ref="B45:D46"/>
    <mergeCell ref="E45:E46"/>
    <mergeCell ref="F45:J46"/>
    <mergeCell ref="B32:C34"/>
    <mergeCell ref="D32:F32"/>
    <mergeCell ref="G32:H32"/>
    <mergeCell ref="I32:J32"/>
    <mergeCell ref="D33:F33"/>
    <mergeCell ref="G33:H33"/>
    <mergeCell ref="I33:J33"/>
    <mergeCell ref="D34:F34"/>
    <mergeCell ref="G34:H34"/>
    <mergeCell ref="I34:J34"/>
    <mergeCell ref="G26:H26"/>
    <mergeCell ref="I26:J26"/>
    <mergeCell ref="D30:F30"/>
    <mergeCell ref="G30:H30"/>
    <mergeCell ref="I30:J30"/>
    <mergeCell ref="D31:F31"/>
    <mergeCell ref="G31:H31"/>
    <mergeCell ref="I31:J31"/>
    <mergeCell ref="D27:F27"/>
    <mergeCell ref="G27:H27"/>
    <mergeCell ref="I27:J27"/>
    <mergeCell ref="G19:H19"/>
    <mergeCell ref="I19:J19"/>
    <mergeCell ref="A22:A34"/>
    <mergeCell ref="B22:C27"/>
    <mergeCell ref="D22:F22"/>
    <mergeCell ref="G22:H22"/>
    <mergeCell ref="I22:J22"/>
    <mergeCell ref="D23:F23"/>
    <mergeCell ref="G23:H23"/>
    <mergeCell ref="I23:J23"/>
    <mergeCell ref="D24:F24"/>
    <mergeCell ref="G24:H24"/>
    <mergeCell ref="B28:C31"/>
    <mergeCell ref="D28:F28"/>
    <mergeCell ref="G28:H28"/>
    <mergeCell ref="I28:J28"/>
    <mergeCell ref="D29:F29"/>
    <mergeCell ref="G29:H29"/>
    <mergeCell ref="I29:J29"/>
    <mergeCell ref="I24:J24"/>
    <mergeCell ref="D25:F25"/>
    <mergeCell ref="G25:H25"/>
    <mergeCell ref="I25:J25"/>
    <mergeCell ref="D26:F26"/>
    <mergeCell ref="I11:J11"/>
    <mergeCell ref="D12:F12"/>
    <mergeCell ref="G12:H12"/>
    <mergeCell ref="I12:J12"/>
    <mergeCell ref="D15:F15"/>
    <mergeCell ref="G15:H15"/>
    <mergeCell ref="I15:J15"/>
    <mergeCell ref="B16:C21"/>
    <mergeCell ref="D16:F16"/>
    <mergeCell ref="G16:H16"/>
    <mergeCell ref="I16:J16"/>
    <mergeCell ref="D17:F17"/>
    <mergeCell ref="G17:H17"/>
    <mergeCell ref="I17:J17"/>
    <mergeCell ref="D20:F20"/>
    <mergeCell ref="G20:H20"/>
    <mergeCell ref="I20:J20"/>
    <mergeCell ref="D21:F21"/>
    <mergeCell ref="G21:H21"/>
    <mergeCell ref="I21:J21"/>
    <mergeCell ref="D18:F18"/>
    <mergeCell ref="G18:H18"/>
    <mergeCell ref="I18:J18"/>
    <mergeCell ref="D19:F19"/>
    <mergeCell ref="D9:F9"/>
    <mergeCell ref="G9:H9"/>
    <mergeCell ref="I9:J9"/>
    <mergeCell ref="D10:F10"/>
    <mergeCell ref="G10:H10"/>
    <mergeCell ref="I10:J10"/>
    <mergeCell ref="A6:A21"/>
    <mergeCell ref="B6:C7"/>
    <mergeCell ref="D6:F6"/>
    <mergeCell ref="G6:H6"/>
    <mergeCell ref="I6:J6"/>
    <mergeCell ref="D7:F7"/>
    <mergeCell ref="G7:H7"/>
    <mergeCell ref="I7:J7"/>
    <mergeCell ref="B8:C15"/>
    <mergeCell ref="D8:F8"/>
    <mergeCell ref="D13:F13"/>
    <mergeCell ref="G13:H13"/>
    <mergeCell ref="I13:J13"/>
    <mergeCell ref="D14:F14"/>
    <mergeCell ref="G14:H14"/>
    <mergeCell ref="I14:J14"/>
    <mergeCell ref="D11:F11"/>
    <mergeCell ref="G11:H11"/>
    <mergeCell ref="A1:J1"/>
    <mergeCell ref="A3:A5"/>
    <mergeCell ref="B3:C5"/>
    <mergeCell ref="D3:F5"/>
    <mergeCell ref="G3:H4"/>
    <mergeCell ref="I3:J5"/>
    <mergeCell ref="G5:H5"/>
    <mergeCell ref="G8:H8"/>
    <mergeCell ref="I8:J8"/>
  </mergeCell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C9B16-6CE1-41E3-8928-3191FECE01C8}">
  <dimension ref="A1:AQ143"/>
  <sheetViews>
    <sheetView workbookViewId="0">
      <selection sqref="A1:AM1"/>
    </sheetView>
  </sheetViews>
  <sheetFormatPr defaultColWidth="3.625" defaultRowHeight="20.100000000000001" customHeight="1" x14ac:dyDescent="0.25"/>
  <cols>
    <col min="1" max="41" width="3.625" style="21"/>
    <col min="42" max="43" width="3.625" style="37"/>
    <col min="44" max="16384" width="3.625" style="64"/>
  </cols>
  <sheetData>
    <row r="1" spans="1:39" s="37" customFormat="1" ht="20.100000000000001" customHeight="1" x14ac:dyDescent="0.25">
      <c r="A1" s="276" t="s">
        <v>511</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76"/>
    </row>
    <row r="2" spans="1:39" s="37" customFormat="1" ht="20.100000000000001" customHeight="1" x14ac:dyDescent="0.25">
      <c r="A2" s="276" t="s">
        <v>512</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row>
    <row r="3" spans="1:39" s="37" customFormat="1" ht="20.100000000000001" customHeight="1" x14ac:dyDescent="0.25">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row>
    <row r="4" spans="1:39" s="37" customFormat="1" ht="20.100000000000001" customHeight="1" x14ac:dyDescent="0.25">
      <c r="A4" s="277" t="s">
        <v>107</v>
      </c>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row>
    <row r="5" spans="1:39" s="37" customFormat="1" ht="20.100000000000001" customHeight="1" thickBot="1" x14ac:dyDescent="0.3">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row>
    <row r="6" spans="1:39" s="37" customFormat="1" ht="20.100000000000001" customHeight="1" x14ac:dyDescent="0.25">
      <c r="A6" s="259" t="s">
        <v>108</v>
      </c>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1"/>
    </row>
    <row r="7" spans="1:39" s="37" customFormat="1" ht="20.100000000000001" customHeight="1" x14ac:dyDescent="0.25">
      <c r="A7" s="40"/>
      <c r="B7" s="21"/>
      <c r="C7" s="21"/>
      <c r="D7" s="21"/>
      <c r="E7" s="21"/>
      <c r="F7" s="21"/>
      <c r="G7" s="21"/>
      <c r="H7" s="21"/>
      <c r="I7" s="21"/>
      <c r="J7" s="21"/>
      <c r="K7" s="4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42"/>
    </row>
    <row r="8" spans="1:39" s="37" customFormat="1" ht="20.100000000000001" customHeight="1" x14ac:dyDescent="0.25">
      <c r="A8" s="40"/>
      <c r="B8" s="281" t="s">
        <v>229</v>
      </c>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42"/>
    </row>
    <row r="9" spans="1:39" s="37" customFormat="1" ht="20.100000000000001" customHeight="1" x14ac:dyDescent="0.25">
      <c r="A9" s="40"/>
      <c r="B9" s="278" t="s">
        <v>109</v>
      </c>
      <c r="C9" s="279"/>
      <c r="D9" s="279"/>
      <c r="E9" s="279"/>
      <c r="F9" s="279"/>
      <c r="G9" s="279"/>
      <c r="H9" s="279"/>
      <c r="I9" s="279"/>
      <c r="J9" s="279"/>
      <c r="K9" s="280"/>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42"/>
    </row>
    <row r="10" spans="1:39" s="37" customFormat="1" ht="20.100000000000001" customHeight="1" x14ac:dyDescent="0.25">
      <c r="A10" s="40"/>
      <c r="B10" s="278" t="s">
        <v>110</v>
      </c>
      <c r="C10" s="279"/>
      <c r="D10" s="279"/>
      <c r="E10" s="279"/>
      <c r="F10" s="279"/>
      <c r="G10" s="279"/>
      <c r="H10" s="279"/>
      <c r="I10" s="279"/>
      <c r="J10" s="279"/>
      <c r="K10" s="280"/>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42"/>
    </row>
    <row r="11" spans="1:39" s="37" customFormat="1" ht="20.100000000000001" customHeight="1" x14ac:dyDescent="0.25">
      <c r="A11" s="40"/>
      <c r="B11" s="278" t="s">
        <v>111</v>
      </c>
      <c r="C11" s="279"/>
      <c r="D11" s="279"/>
      <c r="E11" s="279"/>
      <c r="F11" s="279"/>
      <c r="G11" s="279"/>
      <c r="H11" s="279"/>
      <c r="I11" s="279"/>
      <c r="J11" s="279"/>
      <c r="K11" s="280"/>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42"/>
    </row>
    <row r="12" spans="1:39" s="37" customFormat="1" ht="20.100000000000001" customHeight="1" x14ac:dyDescent="0.25">
      <c r="A12" s="40"/>
      <c r="B12" s="278" t="s">
        <v>230</v>
      </c>
      <c r="C12" s="279"/>
      <c r="D12" s="279"/>
      <c r="E12" s="279"/>
      <c r="F12" s="279"/>
      <c r="G12" s="279"/>
      <c r="H12" s="279"/>
      <c r="I12" s="279"/>
      <c r="J12" s="279"/>
      <c r="K12" s="280"/>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42"/>
    </row>
    <row r="13" spans="1:39" s="37" customFormat="1" ht="20.100000000000001" customHeight="1" x14ac:dyDescent="0.25">
      <c r="A13" s="40"/>
      <c r="B13" s="278" t="s">
        <v>231</v>
      </c>
      <c r="C13" s="279"/>
      <c r="D13" s="279"/>
      <c r="E13" s="279"/>
      <c r="F13" s="279"/>
      <c r="G13" s="279"/>
      <c r="H13" s="279"/>
      <c r="I13" s="279"/>
      <c r="J13" s="279"/>
      <c r="K13" s="280"/>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c r="AK13" s="282"/>
      <c r="AL13" s="282"/>
      <c r="AM13" s="42"/>
    </row>
    <row r="14" spans="1:39" s="37" customFormat="1" ht="20.100000000000001" customHeight="1" x14ac:dyDescent="0.25">
      <c r="A14" s="40"/>
      <c r="B14" s="283" t="s">
        <v>112</v>
      </c>
      <c r="C14" s="284"/>
      <c r="D14" s="284"/>
      <c r="E14" s="284"/>
      <c r="F14" s="284"/>
      <c r="G14" s="284"/>
      <c r="H14" s="284"/>
      <c r="I14" s="284"/>
      <c r="J14" s="284"/>
      <c r="K14" s="285"/>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42"/>
    </row>
    <row r="15" spans="1:39" s="37" customFormat="1" ht="20.100000000000001" customHeight="1" x14ac:dyDescent="0.25">
      <c r="A15" s="40"/>
      <c r="B15" s="283" t="s">
        <v>113</v>
      </c>
      <c r="C15" s="284"/>
      <c r="D15" s="284"/>
      <c r="E15" s="284"/>
      <c r="F15" s="284"/>
      <c r="G15" s="284"/>
      <c r="H15" s="284"/>
      <c r="I15" s="284"/>
      <c r="J15" s="284"/>
      <c r="K15" s="285"/>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42"/>
    </row>
    <row r="16" spans="1:39" s="37" customFormat="1" ht="20.100000000000001" customHeight="1" x14ac:dyDescent="0.25">
      <c r="A16" s="40"/>
      <c r="B16" s="283" t="s">
        <v>232</v>
      </c>
      <c r="C16" s="284"/>
      <c r="D16" s="284"/>
      <c r="E16" s="284"/>
      <c r="F16" s="284"/>
      <c r="G16" s="284"/>
      <c r="H16" s="284"/>
      <c r="I16" s="284"/>
      <c r="J16" s="284"/>
      <c r="K16" s="285"/>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42"/>
    </row>
    <row r="17" spans="1:39" s="37" customFormat="1" ht="20.100000000000001" customHeight="1" thickBot="1" x14ac:dyDescent="0.3">
      <c r="A17" s="44"/>
      <c r="B17" s="39"/>
      <c r="C17" s="39"/>
      <c r="D17" s="39"/>
      <c r="E17" s="39"/>
      <c r="F17" s="39"/>
      <c r="G17" s="39"/>
      <c r="H17" s="39"/>
      <c r="I17" s="39"/>
      <c r="J17" s="39"/>
      <c r="K17" s="45"/>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46"/>
    </row>
    <row r="18" spans="1:39" s="37" customFormat="1" ht="20.100000000000001" customHeight="1" thickBot="1" x14ac:dyDescent="0.3">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row>
    <row r="19" spans="1:39" s="37" customFormat="1" ht="20.100000000000001" customHeight="1" x14ac:dyDescent="0.25">
      <c r="A19" s="259" t="s">
        <v>227</v>
      </c>
      <c r="B19" s="260"/>
      <c r="C19" s="260"/>
      <c r="D19" s="260"/>
      <c r="E19" s="26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0"/>
      <c r="AM19" s="261"/>
    </row>
    <row r="20" spans="1:39" s="37" customFormat="1" ht="20.100000000000001" customHeight="1" x14ac:dyDescent="0.25">
      <c r="A20" s="40"/>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42"/>
    </row>
    <row r="21" spans="1:39" s="37" customFormat="1" ht="20.100000000000001" customHeight="1" x14ac:dyDescent="0.25">
      <c r="A21" s="40"/>
      <c r="B21" s="286" t="s">
        <v>114</v>
      </c>
      <c r="C21" s="286"/>
      <c r="D21" s="286"/>
      <c r="E21" s="286"/>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42"/>
    </row>
    <row r="22" spans="1:39" s="37" customFormat="1" ht="20.100000000000001" customHeight="1" x14ac:dyDescent="0.25">
      <c r="A22" s="40"/>
      <c r="B22" s="286" t="s">
        <v>115</v>
      </c>
      <c r="C22" s="286"/>
      <c r="D22" s="286"/>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42"/>
    </row>
    <row r="23" spans="1:39" s="37" customFormat="1" ht="20.100000000000001" customHeight="1" x14ac:dyDescent="0.25">
      <c r="A23" s="40"/>
      <c r="B23" s="286" t="s">
        <v>116</v>
      </c>
      <c r="C23" s="286"/>
      <c r="D23" s="286"/>
      <c r="E23" s="286"/>
      <c r="F23" s="286"/>
      <c r="G23" s="286"/>
      <c r="H23" s="286"/>
      <c r="I23" s="286"/>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6"/>
      <c r="AM23" s="42"/>
    </row>
    <row r="24" spans="1:39" s="37" customFormat="1" ht="20.100000000000001" customHeight="1" thickBot="1" x14ac:dyDescent="0.3">
      <c r="A24" s="44"/>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46"/>
    </row>
    <row r="25" spans="1:39" s="37" customFormat="1" ht="20.100000000000001" customHeight="1" x14ac:dyDescent="0.25">
      <c r="A25" s="290" t="s">
        <v>117</v>
      </c>
      <c r="B25" s="291"/>
      <c r="C25" s="291"/>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2"/>
    </row>
    <row r="26" spans="1:39" s="37" customFormat="1" ht="20.100000000000001" customHeight="1" x14ac:dyDescent="0.25">
      <c r="A26" s="40"/>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42"/>
    </row>
    <row r="27" spans="1:39" s="37" customFormat="1" ht="20.100000000000001" customHeight="1" x14ac:dyDescent="0.25">
      <c r="A27" s="40"/>
      <c r="B27" s="288" t="s">
        <v>118</v>
      </c>
      <c r="C27" s="288"/>
      <c r="D27" s="288"/>
      <c r="E27" s="288"/>
      <c r="F27" s="288"/>
      <c r="G27" s="288"/>
      <c r="H27" s="288"/>
      <c r="I27" s="288"/>
      <c r="J27" s="288"/>
      <c r="K27" s="288"/>
      <c r="L27" s="288"/>
      <c r="M27" s="288"/>
      <c r="N27" s="288"/>
      <c r="O27" s="21"/>
      <c r="P27" s="21"/>
      <c r="Q27" s="21"/>
      <c r="R27" s="21"/>
      <c r="S27" s="21"/>
      <c r="T27" s="21"/>
      <c r="U27" s="21"/>
      <c r="V27" s="289" t="s">
        <v>119</v>
      </c>
      <c r="W27" s="289"/>
      <c r="X27" s="289"/>
      <c r="Y27" s="289"/>
      <c r="Z27" s="289"/>
      <c r="AA27" s="289"/>
      <c r="AB27" s="289"/>
      <c r="AC27" s="289"/>
      <c r="AD27" s="289"/>
      <c r="AE27" s="289"/>
      <c r="AF27" s="289"/>
      <c r="AG27" s="289"/>
      <c r="AH27" s="289"/>
      <c r="AI27" s="289"/>
      <c r="AJ27" s="289"/>
      <c r="AK27" s="289"/>
      <c r="AL27" s="289"/>
      <c r="AM27" s="49"/>
    </row>
    <row r="28" spans="1:39" s="37" customFormat="1" ht="20.100000000000001" customHeight="1" x14ac:dyDescent="0.25">
      <c r="A28" s="40"/>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42"/>
    </row>
    <row r="29" spans="1:39" s="37" customFormat="1" ht="20.100000000000001" customHeight="1" x14ac:dyDescent="0.25">
      <c r="A29" s="40"/>
      <c r="B29" s="43"/>
      <c r="C29" s="50" t="s">
        <v>120</v>
      </c>
      <c r="D29" s="21"/>
      <c r="E29" s="21"/>
      <c r="J29" s="43"/>
      <c r="K29" s="50" t="s">
        <v>121</v>
      </c>
      <c r="L29" s="21"/>
      <c r="M29" s="21"/>
      <c r="N29" s="21"/>
      <c r="O29" s="21"/>
      <c r="P29" s="21"/>
      <c r="Q29" s="21"/>
      <c r="R29" s="21"/>
      <c r="S29" s="21"/>
      <c r="T29" s="21"/>
      <c r="U29" s="21"/>
      <c r="V29" s="43"/>
      <c r="W29" s="51" t="s">
        <v>122</v>
      </c>
      <c r="X29" s="50"/>
      <c r="Y29" s="50"/>
      <c r="Z29" s="50"/>
      <c r="AA29" s="50"/>
      <c r="AB29" s="50"/>
      <c r="AC29" s="50"/>
      <c r="AD29" s="50"/>
      <c r="AE29" s="43"/>
      <c r="AF29" s="51" t="s">
        <v>64</v>
      </c>
      <c r="AH29" s="21"/>
      <c r="AI29" s="21"/>
      <c r="AJ29" s="50"/>
      <c r="AK29" s="50"/>
      <c r="AL29" s="50"/>
      <c r="AM29" s="52"/>
    </row>
    <row r="30" spans="1:39" s="37" customFormat="1" ht="20.100000000000001" customHeight="1" x14ac:dyDescent="0.25">
      <c r="A30" s="21"/>
      <c r="B30" s="21"/>
      <c r="C30" s="21"/>
      <c r="D30" s="21"/>
      <c r="E30" s="21"/>
      <c r="J30" s="21"/>
      <c r="K30" s="50"/>
      <c r="L30" s="21"/>
      <c r="M30" s="21"/>
      <c r="N30" s="21"/>
      <c r="O30" s="21"/>
      <c r="P30" s="21"/>
      <c r="Q30" s="21"/>
      <c r="R30" s="21"/>
      <c r="S30" s="21"/>
      <c r="T30" s="21"/>
      <c r="U30" s="21"/>
      <c r="V30" s="21"/>
      <c r="W30" s="21"/>
      <c r="X30" s="50"/>
      <c r="Y30" s="50"/>
      <c r="Z30" s="50"/>
      <c r="AA30" s="50"/>
      <c r="AB30" s="50"/>
      <c r="AC30" s="50"/>
      <c r="AD30" s="50"/>
      <c r="AE30" s="21"/>
      <c r="AF30" s="21"/>
      <c r="AH30" s="21"/>
      <c r="AI30" s="21"/>
      <c r="AJ30" s="50"/>
      <c r="AK30" s="50"/>
      <c r="AL30" s="50"/>
      <c r="AM30" s="52"/>
    </row>
    <row r="31" spans="1:39" s="37" customFormat="1" ht="20.100000000000001" customHeight="1" x14ac:dyDescent="0.25">
      <c r="A31" s="40"/>
      <c r="B31" s="43"/>
      <c r="C31" s="50" t="s">
        <v>123</v>
      </c>
      <c r="D31" s="21"/>
      <c r="E31" s="21"/>
      <c r="J31" s="43"/>
      <c r="K31" s="50" t="s">
        <v>124</v>
      </c>
      <c r="L31" s="21"/>
      <c r="M31" s="21"/>
      <c r="N31" s="21"/>
      <c r="O31" s="21"/>
      <c r="P31" s="21"/>
      <c r="Q31" s="21"/>
      <c r="R31" s="21"/>
      <c r="S31" s="21"/>
      <c r="T31" s="21"/>
      <c r="U31" s="21"/>
      <c r="V31" s="43"/>
      <c r="W31" s="51" t="s">
        <v>125</v>
      </c>
      <c r="X31" s="50"/>
      <c r="Y31" s="50"/>
      <c r="Z31" s="50"/>
      <c r="AA31" s="50"/>
      <c r="AB31" s="50"/>
      <c r="AC31" s="50"/>
      <c r="AD31" s="50"/>
      <c r="AE31" s="43"/>
      <c r="AF31" s="51" t="s">
        <v>126</v>
      </c>
      <c r="AG31" s="50"/>
      <c r="AH31" s="50"/>
      <c r="AI31" s="50"/>
      <c r="AJ31" s="50"/>
      <c r="AK31" s="50"/>
      <c r="AL31" s="50"/>
      <c r="AM31" s="42"/>
    </row>
    <row r="32" spans="1:39" s="37" customFormat="1" ht="20.100000000000001" customHeight="1" x14ac:dyDescent="0.25">
      <c r="A32" s="40"/>
      <c r="C32" s="50"/>
      <c r="D32" s="21"/>
      <c r="E32" s="21"/>
      <c r="K32" s="50"/>
      <c r="L32" s="21"/>
      <c r="M32" s="21"/>
      <c r="N32" s="21"/>
      <c r="O32" s="21"/>
      <c r="P32" s="21"/>
      <c r="Q32" s="21"/>
      <c r="R32" s="21"/>
      <c r="S32" s="21"/>
      <c r="T32" s="21"/>
      <c r="U32" s="21"/>
      <c r="V32" s="21"/>
      <c r="W32" s="21"/>
      <c r="X32" s="50"/>
      <c r="Y32" s="50"/>
      <c r="Z32" s="50"/>
      <c r="AA32" s="50"/>
      <c r="AB32" s="50"/>
      <c r="AC32" s="50"/>
      <c r="AD32" s="50"/>
      <c r="AF32" s="50"/>
      <c r="AG32" s="50"/>
      <c r="AH32" s="50"/>
      <c r="AI32" s="50"/>
      <c r="AJ32" s="50"/>
      <c r="AK32" s="50"/>
      <c r="AL32" s="50"/>
      <c r="AM32" s="42"/>
    </row>
    <row r="33" spans="1:39" s="37" customFormat="1" ht="20.100000000000001" customHeight="1" x14ac:dyDescent="0.25">
      <c r="A33" s="40"/>
      <c r="B33" s="21"/>
      <c r="C33" s="21"/>
      <c r="D33" s="21"/>
      <c r="E33" s="21"/>
      <c r="F33" s="21"/>
      <c r="G33" s="21"/>
      <c r="H33" s="21"/>
      <c r="I33" s="21"/>
      <c r="J33" s="21"/>
      <c r="K33" s="21"/>
      <c r="L33" s="21"/>
      <c r="M33" s="21"/>
      <c r="N33" s="21"/>
      <c r="O33" s="21"/>
      <c r="P33" s="21"/>
      <c r="Q33" s="21"/>
      <c r="R33" s="21"/>
      <c r="S33" s="21"/>
      <c r="T33" s="21"/>
      <c r="U33" s="21"/>
      <c r="V33" s="43"/>
      <c r="W33" s="51" t="s">
        <v>228</v>
      </c>
      <c r="X33" s="21"/>
      <c r="Y33" s="21"/>
      <c r="Z33" s="21"/>
      <c r="AA33" s="21"/>
      <c r="AB33" s="21"/>
      <c r="AC33" s="21"/>
      <c r="AD33" s="21"/>
      <c r="AE33" s="21"/>
      <c r="AF33" s="21"/>
      <c r="AG33" s="21"/>
      <c r="AH33" s="21"/>
      <c r="AI33" s="21"/>
      <c r="AJ33" s="21"/>
      <c r="AK33" s="21"/>
      <c r="AL33" s="21"/>
      <c r="AM33" s="42"/>
    </row>
    <row r="34" spans="1:39" s="37" customFormat="1" ht="20.100000000000001" customHeight="1" x14ac:dyDescent="0.25">
      <c r="A34" s="40"/>
      <c r="B34" s="21"/>
      <c r="C34" s="21"/>
      <c r="D34" s="21"/>
      <c r="E34" s="21"/>
      <c r="F34" s="21"/>
      <c r="G34" s="21"/>
      <c r="H34" s="21"/>
      <c r="J34" s="21"/>
      <c r="K34" s="21"/>
      <c r="L34" s="21"/>
      <c r="M34" s="21"/>
      <c r="N34" s="21"/>
      <c r="O34" s="21"/>
      <c r="P34" s="21"/>
      <c r="Q34" s="21"/>
      <c r="R34" s="21"/>
      <c r="S34" s="21"/>
      <c r="T34" s="21"/>
      <c r="U34" s="21"/>
      <c r="W34" s="50"/>
      <c r="X34" s="21"/>
      <c r="Y34" s="21"/>
      <c r="Z34" s="21"/>
      <c r="AA34" s="21"/>
      <c r="AB34" s="21"/>
      <c r="AC34" s="21"/>
      <c r="AD34" s="21"/>
      <c r="AE34" s="21"/>
      <c r="AF34" s="21"/>
      <c r="AG34" s="21"/>
      <c r="AH34" s="21"/>
      <c r="AI34" s="21"/>
      <c r="AJ34" s="21"/>
      <c r="AK34" s="21"/>
      <c r="AL34" s="21"/>
      <c r="AM34" s="42"/>
    </row>
    <row r="35" spans="1:39" s="37" customFormat="1" ht="20.100000000000001" customHeight="1" x14ac:dyDescent="0.25">
      <c r="A35" s="40"/>
      <c r="B35" s="293" t="s">
        <v>127</v>
      </c>
      <c r="C35" s="294"/>
      <c r="D35" s="294"/>
      <c r="E35" s="294"/>
      <c r="F35" s="294"/>
      <c r="G35" s="294"/>
      <c r="H35" s="295"/>
      <c r="J35" s="43"/>
      <c r="K35" s="50" t="s">
        <v>65</v>
      </c>
      <c r="L35" s="21"/>
      <c r="M35" s="21"/>
      <c r="O35" s="21"/>
      <c r="P35" s="21"/>
      <c r="Q35" s="21"/>
      <c r="R35" s="21"/>
      <c r="S35" s="21"/>
      <c r="T35" s="21"/>
      <c r="U35" s="21"/>
      <c r="V35" s="43"/>
      <c r="W35" s="50" t="s">
        <v>66</v>
      </c>
      <c r="X35" s="21"/>
      <c r="Y35" s="21"/>
      <c r="AC35" s="21"/>
      <c r="AD35" s="21"/>
      <c r="AE35" s="21"/>
      <c r="AF35" s="21"/>
      <c r="AG35" s="21"/>
      <c r="AH35" s="21"/>
      <c r="AI35" s="21"/>
      <c r="AJ35" s="21"/>
      <c r="AK35" s="21"/>
      <c r="AL35" s="21"/>
      <c r="AM35" s="42"/>
    </row>
    <row r="36" spans="1:39" s="37" customFormat="1" ht="20.100000000000001" customHeight="1" thickBot="1" x14ac:dyDescent="0.3">
      <c r="A36" s="44"/>
      <c r="B36" s="39"/>
      <c r="C36" s="39"/>
      <c r="D36" s="39"/>
      <c r="E36" s="39"/>
      <c r="F36" s="39"/>
      <c r="G36" s="39"/>
      <c r="H36" s="39"/>
      <c r="J36" s="39"/>
      <c r="K36" s="39"/>
      <c r="L36" s="39"/>
      <c r="M36" s="39"/>
      <c r="N36" s="39"/>
      <c r="O36" s="39"/>
      <c r="P36" s="39"/>
      <c r="Q36" s="39"/>
      <c r="R36" s="39"/>
      <c r="S36" s="39"/>
      <c r="T36" s="39"/>
      <c r="U36" s="39"/>
      <c r="V36" s="53"/>
      <c r="W36" s="54"/>
      <c r="X36" s="39"/>
      <c r="Y36" s="39"/>
      <c r="Z36" s="39"/>
      <c r="AA36" s="39"/>
      <c r="AB36" s="39"/>
      <c r="AC36" s="39"/>
      <c r="AD36" s="39"/>
      <c r="AE36" s="39"/>
      <c r="AF36" s="39"/>
      <c r="AG36" s="39"/>
      <c r="AH36" s="39"/>
      <c r="AI36" s="39"/>
      <c r="AJ36" s="39"/>
      <c r="AK36" s="39"/>
      <c r="AL36" s="39"/>
      <c r="AM36" s="46"/>
    </row>
    <row r="37" spans="1:39" s="37" customFormat="1" ht="20.100000000000001" customHeight="1" x14ac:dyDescent="0.25">
      <c r="A37" s="259" t="s">
        <v>128</v>
      </c>
      <c r="B37" s="260"/>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1"/>
    </row>
    <row r="38" spans="1:39" s="37" customFormat="1" ht="20.100000000000001" customHeight="1" x14ac:dyDescent="0.25">
      <c r="A38" s="40"/>
      <c r="B38" s="32"/>
      <c r="C38" s="34"/>
      <c r="D38" s="34"/>
      <c r="E38" s="34"/>
      <c r="F38" s="34"/>
      <c r="G38" s="34"/>
      <c r="H38" s="34"/>
      <c r="I38" s="34"/>
      <c r="J38" s="55"/>
      <c r="K38" s="55"/>
      <c r="L38" s="55"/>
      <c r="M38" s="55"/>
      <c r="N38" s="55"/>
      <c r="O38" s="55"/>
      <c r="P38" s="55"/>
      <c r="Q38" s="55"/>
      <c r="R38" s="55"/>
      <c r="S38" s="55"/>
      <c r="T38" s="55"/>
      <c r="U38" s="55"/>
      <c r="V38" s="34"/>
      <c r="W38" s="34"/>
      <c r="X38" s="34"/>
      <c r="Y38" s="34"/>
      <c r="Z38" s="34"/>
      <c r="AA38" s="34"/>
      <c r="AB38" s="34"/>
      <c r="AC38" s="56"/>
      <c r="AD38" s="56"/>
      <c r="AE38" s="56"/>
      <c r="AF38" s="56"/>
      <c r="AG38" s="56"/>
      <c r="AH38" s="56"/>
      <c r="AI38" s="34"/>
      <c r="AJ38" s="34"/>
      <c r="AK38" s="34"/>
      <c r="AL38" s="34"/>
      <c r="AM38" s="57"/>
    </row>
    <row r="39" spans="1:39" s="37" customFormat="1" ht="20.100000000000001" customHeight="1" x14ac:dyDescent="0.25">
      <c r="A39" s="40"/>
      <c r="B39" s="58"/>
      <c r="C39" s="50" t="s">
        <v>129</v>
      </c>
      <c r="D39" s="34"/>
      <c r="E39" s="34"/>
      <c r="F39" s="34"/>
      <c r="G39" s="34"/>
      <c r="H39" s="34"/>
      <c r="I39" s="34"/>
      <c r="J39" s="48"/>
      <c r="K39" s="58"/>
      <c r="L39" s="50" t="s">
        <v>130</v>
      </c>
      <c r="M39" s="50"/>
      <c r="N39" s="50"/>
      <c r="O39" s="50"/>
      <c r="P39" s="50"/>
      <c r="Q39" s="21"/>
      <c r="R39" s="58"/>
      <c r="S39" s="50" t="s">
        <v>131</v>
      </c>
      <c r="V39" s="21"/>
      <c r="W39" s="21"/>
      <c r="X39" s="50"/>
      <c r="Y39" s="50"/>
      <c r="Z39" s="58"/>
      <c r="AA39" s="50" t="s">
        <v>132</v>
      </c>
      <c r="AD39" s="50"/>
      <c r="AE39" s="50"/>
      <c r="AG39" s="21"/>
      <c r="AH39" s="21"/>
      <c r="AI39" s="59"/>
      <c r="AL39" s="50"/>
      <c r="AM39" s="52"/>
    </row>
    <row r="40" spans="1:39" s="37" customFormat="1" ht="20.100000000000001" customHeight="1" x14ac:dyDescent="0.25">
      <c r="A40" s="40"/>
      <c r="B40" s="48"/>
      <c r="C40" s="50"/>
      <c r="D40" s="34"/>
      <c r="E40" s="34"/>
      <c r="F40" s="34"/>
      <c r="G40" s="34"/>
      <c r="H40" s="34"/>
      <c r="I40" s="34"/>
      <c r="J40" s="48"/>
      <c r="K40" s="50"/>
      <c r="L40" s="50"/>
      <c r="M40" s="50"/>
      <c r="N40" s="50"/>
      <c r="O40" s="50"/>
      <c r="P40" s="50"/>
      <c r="Q40" s="21"/>
      <c r="R40" s="50"/>
      <c r="S40" s="50"/>
      <c r="V40" s="21"/>
      <c r="W40" s="21"/>
      <c r="X40" s="50"/>
      <c r="Y40" s="50"/>
      <c r="Z40" s="50"/>
      <c r="AA40" s="50"/>
      <c r="AD40" s="50"/>
      <c r="AE40" s="50"/>
      <c r="AG40" s="21"/>
      <c r="AH40" s="21"/>
      <c r="AI40" s="50"/>
      <c r="AL40" s="50"/>
      <c r="AM40" s="52"/>
    </row>
    <row r="41" spans="1:39" s="37" customFormat="1" ht="20.100000000000001" customHeight="1" x14ac:dyDescent="0.25">
      <c r="A41" s="40"/>
      <c r="B41" s="58"/>
      <c r="C41" s="50" t="s">
        <v>133</v>
      </c>
      <c r="D41" s="34"/>
      <c r="E41" s="34"/>
      <c r="F41" s="34"/>
      <c r="G41" s="34"/>
      <c r="H41" s="34"/>
      <c r="I41" s="34"/>
      <c r="J41" s="48"/>
      <c r="K41" s="58"/>
      <c r="L41" s="50" t="s">
        <v>134</v>
      </c>
      <c r="M41" s="50"/>
      <c r="N41" s="50"/>
      <c r="O41" s="50"/>
      <c r="P41" s="50"/>
      <c r="Q41" s="21"/>
      <c r="R41" s="58"/>
      <c r="S41" s="50" t="s">
        <v>135</v>
      </c>
      <c r="V41" s="21"/>
      <c r="W41" s="21"/>
      <c r="X41" s="50"/>
      <c r="Y41" s="50"/>
      <c r="Z41" s="58"/>
      <c r="AA41" s="50" t="s">
        <v>136</v>
      </c>
      <c r="AD41" s="50"/>
      <c r="AE41" s="50"/>
      <c r="AG41" s="21"/>
      <c r="AH41" s="21"/>
      <c r="AI41" s="50"/>
      <c r="AL41" s="50"/>
      <c r="AM41" s="52"/>
    </row>
    <row r="42" spans="1:39" s="37" customFormat="1" ht="20.100000000000001" customHeight="1" thickBot="1" x14ac:dyDescent="0.3">
      <c r="A42" s="44"/>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46"/>
    </row>
    <row r="43" spans="1:39" s="37" customFormat="1" ht="20.100000000000001" customHeight="1" x14ac:dyDescent="0.25">
      <c r="A43" s="290" t="s">
        <v>137</v>
      </c>
      <c r="B43" s="291"/>
      <c r="C43" s="291"/>
      <c r="D43" s="291"/>
      <c r="E43" s="291"/>
      <c r="F43" s="291"/>
      <c r="G43" s="291"/>
      <c r="H43" s="291"/>
      <c r="I43" s="291"/>
      <c r="J43" s="291"/>
      <c r="K43" s="291"/>
      <c r="L43" s="291"/>
      <c r="M43" s="291"/>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2"/>
    </row>
    <row r="44" spans="1:39" s="37" customFormat="1" ht="20.100000000000001" customHeight="1" x14ac:dyDescent="0.25">
      <c r="A44" s="40"/>
      <c r="B44" s="32"/>
      <c r="C44" s="34"/>
      <c r="D44" s="34"/>
      <c r="E44" s="34"/>
      <c r="F44" s="34"/>
      <c r="G44" s="34"/>
      <c r="H44" s="34"/>
      <c r="I44" s="34"/>
      <c r="J44" s="55"/>
      <c r="K44" s="55"/>
      <c r="L44" s="55"/>
      <c r="M44" s="55"/>
      <c r="N44" s="55"/>
      <c r="O44" s="55"/>
      <c r="P44" s="55"/>
      <c r="Q44" s="55"/>
      <c r="R44" s="55"/>
      <c r="S44" s="55"/>
      <c r="T44" s="55"/>
      <c r="U44" s="55"/>
      <c r="V44" s="34"/>
      <c r="W44" s="34"/>
      <c r="X44" s="34"/>
      <c r="Y44" s="34"/>
      <c r="Z44" s="34"/>
      <c r="AA44" s="34"/>
      <c r="AB44" s="34"/>
      <c r="AC44" s="56"/>
      <c r="AD44" s="56"/>
      <c r="AE44" s="56"/>
      <c r="AF44" s="56"/>
      <c r="AG44" s="56"/>
      <c r="AH44" s="56"/>
      <c r="AI44" s="34"/>
      <c r="AJ44" s="34"/>
      <c r="AK44" s="34"/>
      <c r="AL44" s="34"/>
      <c r="AM44" s="57"/>
    </row>
    <row r="45" spans="1:39" s="37" customFormat="1" ht="20.100000000000001" customHeight="1" x14ac:dyDescent="0.25">
      <c r="A45" s="40"/>
      <c r="B45" s="58"/>
      <c r="C45" s="50" t="s">
        <v>138</v>
      </c>
      <c r="D45" s="34"/>
      <c r="E45" s="34"/>
      <c r="F45" s="34"/>
      <c r="G45" s="34"/>
      <c r="H45" s="34"/>
      <c r="I45" s="34"/>
      <c r="J45" s="48"/>
      <c r="K45" s="58"/>
      <c r="L45" s="50" t="s">
        <v>139</v>
      </c>
      <c r="M45" s="50"/>
      <c r="N45" s="50"/>
      <c r="O45" s="50"/>
      <c r="P45" s="50"/>
      <c r="Q45" s="21"/>
      <c r="R45" s="58"/>
      <c r="S45" s="50" t="s">
        <v>140</v>
      </c>
      <c r="V45" s="21"/>
      <c r="W45" s="21"/>
      <c r="X45" s="50"/>
      <c r="Y45" s="50"/>
      <c r="Z45" s="58"/>
      <c r="AA45" s="50" t="s">
        <v>141</v>
      </c>
      <c r="AD45" s="50"/>
      <c r="AE45" s="50"/>
      <c r="AG45" s="21"/>
      <c r="AH45" s="21"/>
      <c r="AI45" s="59"/>
      <c r="AL45" s="50"/>
      <c r="AM45" s="52"/>
    </row>
    <row r="46" spans="1:39" s="37" customFormat="1" ht="20.100000000000001" customHeight="1" x14ac:dyDescent="0.25">
      <c r="A46" s="40"/>
      <c r="B46" s="48"/>
      <c r="C46" s="50"/>
      <c r="D46" s="34"/>
      <c r="E46" s="34"/>
      <c r="F46" s="34"/>
      <c r="G46" s="34"/>
      <c r="H46" s="34"/>
      <c r="I46" s="34"/>
      <c r="J46" s="48"/>
      <c r="K46" s="50"/>
      <c r="L46" s="50"/>
      <c r="M46" s="50"/>
      <c r="N46" s="50"/>
      <c r="O46" s="50"/>
      <c r="P46" s="50"/>
      <c r="Q46" s="21"/>
      <c r="R46" s="50"/>
      <c r="S46" s="50"/>
      <c r="V46" s="21"/>
      <c r="W46" s="21"/>
      <c r="X46" s="50"/>
      <c r="Y46" s="50"/>
      <c r="Z46" s="50"/>
      <c r="AA46" s="50"/>
      <c r="AD46" s="50"/>
      <c r="AE46" s="50"/>
      <c r="AG46" s="21"/>
      <c r="AH46" s="21"/>
      <c r="AI46" s="50"/>
      <c r="AL46" s="50"/>
      <c r="AM46" s="52"/>
    </row>
    <row r="47" spans="1:39" s="37" customFormat="1" ht="20.100000000000001" customHeight="1" x14ac:dyDescent="0.25">
      <c r="A47" s="40"/>
      <c r="B47" s="58"/>
      <c r="C47" s="50" t="s">
        <v>142</v>
      </c>
      <c r="D47" s="34"/>
      <c r="E47" s="34"/>
      <c r="F47" s="34"/>
      <c r="G47" s="34"/>
      <c r="H47" s="34"/>
      <c r="I47" s="34"/>
      <c r="J47" s="48"/>
      <c r="K47" s="58"/>
      <c r="L47" s="50" t="s">
        <v>143</v>
      </c>
      <c r="M47" s="50"/>
      <c r="N47" s="50"/>
      <c r="O47" s="50"/>
      <c r="P47" s="50"/>
      <c r="Q47" s="21"/>
      <c r="R47" s="58"/>
      <c r="S47" s="50" t="s">
        <v>144</v>
      </c>
      <c r="V47" s="21"/>
      <c r="W47" s="21"/>
      <c r="X47" s="50"/>
      <c r="Y47" s="50"/>
      <c r="Z47" s="58"/>
      <c r="AA47" s="50" t="s">
        <v>145</v>
      </c>
      <c r="AD47" s="50"/>
      <c r="AE47" s="50"/>
      <c r="AG47" s="21"/>
      <c r="AH47" s="21"/>
      <c r="AI47" s="50"/>
      <c r="AL47" s="50"/>
      <c r="AM47" s="52"/>
    </row>
    <row r="48" spans="1:39" s="37" customFormat="1" ht="20.100000000000001" customHeight="1" thickBot="1" x14ac:dyDescent="0.3">
      <c r="A48" s="44"/>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46"/>
    </row>
    <row r="49" spans="1:39" s="37" customFormat="1" ht="20.100000000000001" customHeight="1" x14ac:dyDescent="0.25">
      <c r="A49" s="259" t="s">
        <v>146</v>
      </c>
      <c r="B49" s="260"/>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1"/>
    </row>
    <row r="50" spans="1:39" s="37" customFormat="1" ht="20.100000000000001" customHeight="1" x14ac:dyDescent="0.25">
      <c r="A50" s="40"/>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42"/>
    </row>
    <row r="51" spans="1:39" s="37" customFormat="1" ht="20.100000000000001" customHeight="1" x14ac:dyDescent="0.25">
      <c r="A51" s="40"/>
      <c r="B51" s="297" t="s">
        <v>233</v>
      </c>
      <c r="C51" s="298"/>
      <c r="D51" s="298"/>
      <c r="E51" s="298"/>
      <c r="F51" s="298"/>
      <c r="G51" s="298"/>
      <c r="H51" s="298"/>
      <c r="I51" s="298"/>
      <c r="J51" s="298"/>
      <c r="K51" s="281"/>
      <c r="L51" s="281"/>
      <c r="M51" s="281"/>
      <c r="N51" s="281"/>
      <c r="O51" s="281"/>
      <c r="P51" s="21"/>
      <c r="Q51" s="297" t="s">
        <v>234</v>
      </c>
      <c r="R51" s="298"/>
      <c r="S51" s="298"/>
      <c r="T51" s="298"/>
      <c r="U51" s="298"/>
      <c r="V51" s="298"/>
      <c r="W51" s="298"/>
      <c r="X51" s="296"/>
      <c r="Y51" s="296"/>
      <c r="Z51" s="296"/>
      <c r="AA51" s="296"/>
      <c r="AB51" s="21"/>
      <c r="AC51" s="297" t="s">
        <v>5</v>
      </c>
      <c r="AD51" s="298"/>
      <c r="AE51" s="298"/>
      <c r="AF51" s="298"/>
      <c r="AG51" s="298"/>
      <c r="AH51" s="298"/>
      <c r="AI51" s="298"/>
      <c r="AJ51" s="296"/>
      <c r="AK51" s="296"/>
      <c r="AL51" s="296"/>
      <c r="AM51" s="42"/>
    </row>
    <row r="52" spans="1:39" s="37" customFormat="1" ht="20.100000000000001" customHeight="1" x14ac:dyDescent="0.25">
      <c r="A52" s="40"/>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42"/>
    </row>
    <row r="53" spans="1:39" s="37" customFormat="1" ht="20.100000000000001" customHeight="1" x14ac:dyDescent="0.25">
      <c r="A53" s="40"/>
      <c r="B53" s="296" t="s">
        <v>3</v>
      </c>
      <c r="C53" s="296"/>
      <c r="D53" s="296"/>
      <c r="E53" s="296"/>
      <c r="F53" s="296"/>
      <c r="G53" s="296"/>
      <c r="H53" s="296"/>
      <c r="I53" s="296"/>
      <c r="J53" s="296"/>
      <c r="K53" s="21"/>
      <c r="L53" s="43"/>
      <c r="M53" s="50" t="s">
        <v>147</v>
      </c>
      <c r="N53" s="21"/>
      <c r="O53" s="21"/>
      <c r="P53" s="21"/>
      <c r="Q53" s="43"/>
      <c r="R53" s="50" t="s">
        <v>148</v>
      </c>
      <c r="S53" s="21"/>
      <c r="T53" s="21"/>
      <c r="U53" s="21"/>
      <c r="V53" s="21"/>
      <c r="W53" s="43"/>
      <c r="X53" s="50" t="s">
        <v>149</v>
      </c>
      <c r="Y53" s="21"/>
      <c r="Z53" s="21"/>
      <c r="AA53" s="21"/>
      <c r="AB53" s="21"/>
      <c r="AE53" s="21"/>
      <c r="AF53" s="21"/>
      <c r="AG53" s="21"/>
      <c r="AH53" s="21"/>
      <c r="AI53" s="21"/>
      <c r="AJ53" s="21"/>
      <c r="AK53" s="21"/>
      <c r="AL53" s="21"/>
      <c r="AM53" s="42"/>
    </row>
    <row r="54" spans="1:39" s="37" customFormat="1" ht="20.100000000000001" customHeight="1" x14ac:dyDescent="0.25">
      <c r="A54" s="40"/>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42"/>
    </row>
    <row r="55" spans="1:39" s="37" customFormat="1" ht="20.100000000000001" customHeight="1" x14ac:dyDescent="0.25">
      <c r="A55" s="40"/>
      <c r="B55" s="296" t="s">
        <v>4</v>
      </c>
      <c r="C55" s="296"/>
      <c r="D55" s="296"/>
      <c r="E55" s="296"/>
      <c r="F55" s="296"/>
      <c r="G55" s="296"/>
      <c r="H55" s="296"/>
      <c r="I55" s="296"/>
      <c r="J55" s="296"/>
      <c r="K55" s="21"/>
      <c r="L55" s="43"/>
      <c r="M55" s="50" t="s">
        <v>67</v>
      </c>
      <c r="N55" s="21"/>
      <c r="O55" s="21"/>
      <c r="P55" s="21"/>
      <c r="Q55" s="43"/>
      <c r="R55" s="50" t="s">
        <v>150</v>
      </c>
      <c r="S55" s="21"/>
      <c r="T55" s="21"/>
      <c r="U55" s="21"/>
      <c r="V55" s="21"/>
      <c r="W55" s="21"/>
      <c r="X55" s="21"/>
      <c r="Y55" s="21"/>
      <c r="Z55" s="21"/>
      <c r="AA55" s="21"/>
      <c r="AB55" s="21"/>
      <c r="AC55" s="21"/>
      <c r="AD55" s="21"/>
      <c r="AE55" s="21"/>
      <c r="AF55" s="21"/>
      <c r="AG55" s="21"/>
      <c r="AH55" s="21"/>
      <c r="AI55" s="21"/>
      <c r="AJ55" s="21"/>
      <c r="AK55" s="21"/>
      <c r="AL55" s="21"/>
      <c r="AM55" s="42"/>
    </row>
    <row r="56" spans="1:39" s="37" customFormat="1" ht="20.100000000000001" customHeight="1" x14ac:dyDescent="0.25">
      <c r="A56" s="40"/>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42"/>
    </row>
    <row r="57" spans="1:39" s="37" customFormat="1" ht="20.100000000000001" customHeight="1" x14ac:dyDescent="0.25">
      <c r="A57" s="40"/>
      <c r="B57" s="296" t="s">
        <v>0</v>
      </c>
      <c r="C57" s="296"/>
      <c r="D57" s="296"/>
      <c r="E57" s="296"/>
      <c r="F57" s="296"/>
      <c r="G57" s="296"/>
      <c r="H57" s="296"/>
      <c r="I57" s="296"/>
      <c r="J57" s="296"/>
      <c r="K57" s="21"/>
      <c r="L57" s="43"/>
      <c r="M57" s="50" t="s">
        <v>151</v>
      </c>
      <c r="N57" s="21"/>
      <c r="O57" s="21"/>
      <c r="P57" s="21"/>
      <c r="Q57" s="43"/>
      <c r="R57" s="50" t="s">
        <v>235</v>
      </c>
      <c r="S57" s="21"/>
      <c r="T57" s="21"/>
      <c r="U57" s="21"/>
      <c r="V57" s="21"/>
      <c r="W57" s="43"/>
      <c r="X57" s="50" t="s">
        <v>236</v>
      </c>
      <c r="Y57" s="21"/>
      <c r="Z57" s="21"/>
      <c r="AA57" s="21"/>
      <c r="AB57" s="21"/>
      <c r="AC57" s="21"/>
      <c r="AD57" s="21"/>
      <c r="AE57" s="21"/>
      <c r="AF57" s="21"/>
      <c r="AG57" s="21"/>
      <c r="AH57" s="21"/>
      <c r="AI57" s="21"/>
      <c r="AJ57" s="21"/>
      <c r="AK57" s="21"/>
      <c r="AL57" s="21"/>
      <c r="AM57" s="42"/>
    </row>
    <row r="58" spans="1:39" s="37" customFormat="1" ht="20.100000000000001" customHeight="1" x14ac:dyDescent="0.25">
      <c r="A58" s="40"/>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42"/>
    </row>
    <row r="59" spans="1:39" s="37" customFormat="1" ht="20.100000000000001" customHeight="1" x14ac:dyDescent="0.25">
      <c r="A59" s="40"/>
      <c r="B59" s="296" t="s">
        <v>152</v>
      </c>
      <c r="C59" s="296"/>
      <c r="D59" s="296"/>
      <c r="E59" s="296"/>
      <c r="F59" s="296"/>
      <c r="G59" s="296"/>
      <c r="H59" s="296"/>
      <c r="I59" s="296"/>
      <c r="J59" s="296"/>
      <c r="K59" s="21"/>
      <c r="L59" s="43"/>
      <c r="M59" s="50" t="s">
        <v>153</v>
      </c>
      <c r="N59" s="21"/>
      <c r="O59" s="21"/>
      <c r="P59" s="21"/>
      <c r="Q59" s="43"/>
      <c r="R59" s="50" t="s">
        <v>154</v>
      </c>
      <c r="S59" s="21"/>
      <c r="T59" s="21"/>
      <c r="U59" s="21"/>
      <c r="V59" s="21"/>
      <c r="W59" s="43"/>
      <c r="X59" s="50" t="s">
        <v>155</v>
      </c>
      <c r="Y59" s="21"/>
      <c r="Z59" s="21"/>
      <c r="AA59" s="21"/>
      <c r="AB59" s="21"/>
      <c r="AC59" s="43"/>
      <c r="AD59" s="50" t="s">
        <v>156</v>
      </c>
      <c r="AE59" s="21"/>
      <c r="AF59" s="21"/>
      <c r="AG59" s="21"/>
      <c r="AH59" s="21"/>
      <c r="AI59" s="21"/>
      <c r="AJ59" s="21"/>
      <c r="AK59" s="21"/>
      <c r="AL59" s="21"/>
      <c r="AM59" s="42"/>
    </row>
    <row r="60" spans="1:39" s="37" customFormat="1" ht="20.100000000000001" customHeight="1" x14ac:dyDescent="0.25">
      <c r="A60" s="40"/>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42"/>
    </row>
    <row r="61" spans="1:39" s="37" customFormat="1" ht="20.100000000000001" customHeight="1" x14ac:dyDescent="0.25">
      <c r="A61" s="40"/>
      <c r="B61" s="296" t="s">
        <v>6</v>
      </c>
      <c r="C61" s="296"/>
      <c r="D61" s="296"/>
      <c r="E61" s="296"/>
      <c r="F61" s="296"/>
      <c r="G61" s="296"/>
      <c r="H61" s="296"/>
      <c r="I61" s="296"/>
      <c r="J61" s="296"/>
      <c r="K61" s="21"/>
      <c r="L61" s="43"/>
      <c r="M61" s="50" t="s">
        <v>157</v>
      </c>
      <c r="N61" s="21"/>
      <c r="O61" s="21"/>
      <c r="P61" s="21"/>
      <c r="Q61" s="43"/>
      <c r="R61" s="50" t="s">
        <v>158</v>
      </c>
      <c r="S61" s="21"/>
      <c r="T61" s="21"/>
      <c r="U61" s="21"/>
      <c r="V61" s="21"/>
      <c r="W61" s="21"/>
      <c r="X61" s="21"/>
      <c r="Y61" s="21"/>
      <c r="Z61" s="21"/>
      <c r="AA61" s="21"/>
      <c r="AB61" s="21"/>
      <c r="AC61" s="21"/>
      <c r="AD61" s="21"/>
      <c r="AE61" s="21"/>
      <c r="AF61" s="21"/>
      <c r="AG61" s="21"/>
      <c r="AH61" s="21"/>
      <c r="AI61" s="21"/>
      <c r="AJ61" s="21"/>
      <c r="AK61" s="21"/>
      <c r="AL61" s="21"/>
      <c r="AM61" s="42"/>
    </row>
    <row r="62" spans="1:39" s="37" customFormat="1" ht="20.100000000000001" customHeight="1" x14ac:dyDescent="0.25">
      <c r="A62" s="40"/>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42"/>
    </row>
    <row r="63" spans="1:39" s="37" customFormat="1" ht="20.100000000000001" customHeight="1" x14ac:dyDescent="0.25">
      <c r="A63" s="40"/>
      <c r="B63" s="296" t="s">
        <v>237</v>
      </c>
      <c r="C63" s="296"/>
      <c r="D63" s="296"/>
      <c r="E63" s="296"/>
      <c r="F63" s="296"/>
      <c r="G63" s="296"/>
      <c r="H63" s="296"/>
      <c r="I63" s="296"/>
      <c r="J63" s="296"/>
      <c r="K63" s="21"/>
      <c r="L63" s="43"/>
      <c r="M63" s="50" t="s">
        <v>159</v>
      </c>
      <c r="N63" s="21"/>
      <c r="O63" s="21"/>
      <c r="P63" s="21"/>
      <c r="Q63" s="43"/>
      <c r="R63" s="50" t="s">
        <v>160</v>
      </c>
      <c r="S63" s="21"/>
      <c r="T63" s="21"/>
      <c r="U63" s="21"/>
      <c r="V63" s="21"/>
      <c r="W63" s="43"/>
      <c r="X63" s="50" t="s">
        <v>161</v>
      </c>
      <c r="Y63" s="21"/>
      <c r="Z63" s="21"/>
      <c r="AA63" s="21"/>
      <c r="AB63" s="21"/>
      <c r="AD63" s="50"/>
      <c r="AE63" s="21"/>
      <c r="AF63" s="21"/>
      <c r="AG63" s="21"/>
      <c r="AH63" s="21"/>
      <c r="AI63" s="21"/>
      <c r="AJ63" s="21"/>
      <c r="AK63" s="21"/>
      <c r="AL63" s="21"/>
      <c r="AM63" s="42"/>
    </row>
    <row r="64" spans="1:39" s="37" customFormat="1" ht="20.100000000000001" customHeight="1" thickBot="1" x14ac:dyDescent="0.3">
      <c r="A64" s="44"/>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46"/>
    </row>
    <row r="65" spans="1:39" s="37" customFormat="1" ht="20.100000000000001" customHeight="1" x14ac:dyDescent="0.25">
      <c r="A65" s="259" t="s">
        <v>162</v>
      </c>
      <c r="B65" s="260"/>
      <c r="C65" s="260"/>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1"/>
    </row>
    <row r="66" spans="1:39" s="37" customFormat="1" ht="20.100000000000001" customHeight="1" x14ac:dyDescent="0.25">
      <c r="A66" s="40"/>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42"/>
    </row>
    <row r="67" spans="1:39" s="37" customFormat="1" ht="20.100000000000001" customHeight="1" x14ac:dyDescent="0.25">
      <c r="A67" s="40"/>
      <c r="B67" s="296" t="s">
        <v>163</v>
      </c>
      <c r="C67" s="296"/>
      <c r="D67" s="296"/>
      <c r="E67" s="296"/>
      <c r="F67" s="296"/>
      <c r="G67" s="296"/>
      <c r="H67" s="296"/>
      <c r="I67" s="296"/>
      <c r="J67" s="296"/>
      <c r="K67" s="21"/>
      <c r="L67" s="43"/>
      <c r="M67" s="50" t="s">
        <v>164</v>
      </c>
      <c r="N67" s="21"/>
      <c r="O67" s="21"/>
      <c r="P67" s="21"/>
      <c r="Q67" s="43"/>
      <c r="R67" s="50" t="s">
        <v>165</v>
      </c>
      <c r="S67" s="21"/>
      <c r="T67" s="21"/>
      <c r="U67" s="21"/>
      <c r="V67" s="21"/>
      <c r="W67" s="43"/>
      <c r="X67" s="50" t="s">
        <v>67</v>
      </c>
      <c r="Y67" s="21"/>
      <c r="Z67" s="21"/>
      <c r="AA67" s="21"/>
      <c r="AB67" s="21"/>
      <c r="AC67" s="43"/>
      <c r="AD67" s="50" t="s">
        <v>166</v>
      </c>
      <c r="AE67" s="21"/>
      <c r="AF67" s="21"/>
      <c r="AG67" s="21"/>
      <c r="AH67" s="21"/>
      <c r="AI67" s="21"/>
      <c r="AJ67" s="21"/>
      <c r="AK67" s="21"/>
      <c r="AL67" s="21"/>
      <c r="AM67" s="42"/>
    </row>
    <row r="68" spans="1:39" s="37" customFormat="1" ht="20.100000000000001" customHeight="1" x14ac:dyDescent="0.25">
      <c r="A68" s="40"/>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42"/>
    </row>
    <row r="69" spans="1:39" s="37" customFormat="1" ht="20.100000000000001" customHeight="1" x14ac:dyDescent="0.25">
      <c r="A69" s="40"/>
      <c r="B69" s="296" t="s">
        <v>8</v>
      </c>
      <c r="C69" s="296"/>
      <c r="D69" s="296"/>
      <c r="E69" s="296"/>
      <c r="F69" s="296"/>
      <c r="G69" s="296"/>
      <c r="H69" s="296"/>
      <c r="I69" s="296"/>
      <c r="J69" s="296"/>
      <c r="K69" s="21"/>
      <c r="L69" s="43"/>
      <c r="M69" s="50" t="s">
        <v>167</v>
      </c>
      <c r="N69" s="21"/>
      <c r="O69" s="21"/>
      <c r="P69" s="21"/>
      <c r="Q69" s="43"/>
      <c r="R69" s="50" t="s">
        <v>168</v>
      </c>
      <c r="S69" s="21"/>
      <c r="T69" s="21"/>
      <c r="U69" s="21"/>
      <c r="V69" s="21"/>
      <c r="W69" s="43"/>
      <c r="X69" s="50" t="s">
        <v>169</v>
      </c>
      <c r="Y69" s="21"/>
      <c r="Z69" s="21"/>
      <c r="AA69" s="21"/>
      <c r="AB69" s="21"/>
      <c r="AC69" s="43"/>
      <c r="AD69" s="50" t="s">
        <v>170</v>
      </c>
      <c r="AE69" s="21"/>
      <c r="AF69" s="21"/>
      <c r="AG69" s="21"/>
      <c r="AH69" s="21"/>
      <c r="AI69" s="21"/>
      <c r="AJ69" s="21"/>
      <c r="AK69" s="21"/>
      <c r="AL69" s="21"/>
      <c r="AM69" s="42"/>
    </row>
    <row r="70" spans="1:39" s="37" customFormat="1" ht="20.100000000000001" customHeight="1" x14ac:dyDescent="0.25">
      <c r="A70" s="40"/>
      <c r="B70" s="34"/>
      <c r="C70" s="34"/>
      <c r="D70" s="34"/>
      <c r="E70" s="34"/>
      <c r="F70" s="34"/>
      <c r="G70" s="34"/>
      <c r="H70" s="34"/>
      <c r="I70" s="34"/>
      <c r="J70" s="34"/>
      <c r="K70" s="21"/>
      <c r="M70" s="50"/>
      <c r="N70" s="21"/>
      <c r="O70" s="21"/>
      <c r="P70" s="21"/>
      <c r="R70" s="50"/>
      <c r="S70" s="21"/>
      <c r="T70" s="21"/>
      <c r="U70" s="21"/>
      <c r="V70" s="21"/>
      <c r="X70" s="50"/>
      <c r="Y70" s="21"/>
      <c r="Z70" s="21"/>
      <c r="AA70" s="21"/>
      <c r="AB70" s="21"/>
      <c r="AD70" s="50"/>
      <c r="AE70" s="21"/>
      <c r="AF70" s="21"/>
      <c r="AG70" s="21"/>
      <c r="AH70" s="21"/>
      <c r="AI70" s="21"/>
      <c r="AJ70" s="21"/>
      <c r="AK70" s="21"/>
      <c r="AL70" s="21"/>
      <c r="AM70" s="42"/>
    </row>
    <row r="71" spans="1:39" s="37" customFormat="1" ht="20.100000000000001" customHeight="1" x14ac:dyDescent="0.25">
      <c r="A71" s="40"/>
      <c r="B71" s="34"/>
      <c r="C71" s="34"/>
      <c r="D71" s="34"/>
      <c r="E71" s="34"/>
      <c r="F71" s="34"/>
      <c r="G71" s="34"/>
      <c r="H71" s="34"/>
      <c r="I71" s="34"/>
      <c r="J71" s="34"/>
      <c r="K71" s="21"/>
      <c r="L71" s="43"/>
      <c r="M71" s="50" t="s">
        <v>171</v>
      </c>
      <c r="N71" s="21"/>
      <c r="O71" s="21"/>
      <c r="P71" s="21"/>
      <c r="Q71" s="43"/>
      <c r="R71" s="50" t="s">
        <v>172</v>
      </c>
      <c r="S71" s="21"/>
      <c r="T71" s="21"/>
      <c r="U71" s="21"/>
      <c r="V71" s="21"/>
      <c r="W71" s="43"/>
      <c r="X71" s="50" t="s">
        <v>173</v>
      </c>
      <c r="Y71" s="21"/>
      <c r="Z71" s="21"/>
      <c r="AA71" s="21"/>
      <c r="AB71" s="21"/>
      <c r="AD71" s="50"/>
      <c r="AE71" s="21"/>
      <c r="AF71" s="21"/>
      <c r="AG71" s="21"/>
      <c r="AH71" s="21"/>
      <c r="AI71" s="21"/>
      <c r="AJ71" s="21"/>
      <c r="AK71" s="21"/>
      <c r="AL71" s="21"/>
      <c r="AM71" s="42"/>
    </row>
    <row r="72" spans="1:39" s="37" customFormat="1" ht="20.100000000000001" customHeight="1" thickBot="1" x14ac:dyDescent="0.3">
      <c r="A72" s="44"/>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46"/>
    </row>
    <row r="73" spans="1:39" s="37" customFormat="1" ht="20.100000000000001" customHeight="1" x14ac:dyDescent="0.25">
      <c r="A73" s="259" t="s">
        <v>174</v>
      </c>
      <c r="B73" s="260"/>
      <c r="C73" s="260"/>
      <c r="D73" s="260"/>
      <c r="E73" s="260"/>
      <c r="F73" s="260"/>
      <c r="G73" s="260"/>
      <c r="H73" s="260"/>
      <c r="I73" s="260"/>
      <c r="J73" s="260"/>
      <c r="K73" s="260"/>
      <c r="L73" s="260"/>
      <c r="M73" s="260"/>
      <c r="N73" s="260"/>
      <c r="O73" s="260"/>
      <c r="P73" s="260"/>
      <c r="Q73" s="260"/>
      <c r="R73" s="260"/>
      <c r="S73" s="260"/>
      <c r="T73" s="260"/>
      <c r="U73" s="260"/>
      <c r="V73" s="260"/>
      <c r="W73" s="260"/>
      <c r="X73" s="260"/>
      <c r="Y73" s="260"/>
      <c r="Z73" s="260"/>
      <c r="AA73" s="260"/>
      <c r="AB73" s="260"/>
      <c r="AC73" s="260"/>
      <c r="AD73" s="260"/>
      <c r="AE73" s="260"/>
      <c r="AF73" s="260"/>
      <c r="AG73" s="260"/>
      <c r="AH73" s="260"/>
      <c r="AI73" s="260"/>
      <c r="AJ73" s="260"/>
      <c r="AK73" s="260"/>
      <c r="AL73" s="260"/>
      <c r="AM73" s="261"/>
    </row>
    <row r="74" spans="1:39" s="37" customFormat="1" ht="20.100000000000001" customHeight="1" x14ac:dyDescent="0.25">
      <c r="A74" s="40"/>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42"/>
    </row>
    <row r="75" spans="1:39" s="37" customFormat="1" ht="20.100000000000001" customHeight="1" x14ac:dyDescent="0.25">
      <c r="A75" s="40"/>
      <c r="B75" s="296" t="s">
        <v>175</v>
      </c>
      <c r="C75" s="296"/>
      <c r="D75" s="296"/>
      <c r="E75" s="296"/>
      <c r="F75" s="296"/>
      <c r="G75" s="296"/>
      <c r="H75" s="296"/>
      <c r="I75" s="296"/>
      <c r="J75" s="296"/>
      <c r="K75" s="21"/>
      <c r="L75" s="43"/>
      <c r="M75" s="50" t="s">
        <v>176</v>
      </c>
      <c r="N75" s="21"/>
      <c r="O75" s="21"/>
      <c r="P75" s="21"/>
      <c r="Q75" s="21"/>
      <c r="R75" s="43"/>
      <c r="S75" s="50" t="s">
        <v>177</v>
      </c>
      <c r="T75" s="21"/>
      <c r="U75" s="21"/>
      <c r="V75" s="21"/>
      <c r="W75" s="21"/>
      <c r="X75" s="21"/>
      <c r="Y75" s="43"/>
      <c r="Z75" s="50" t="s">
        <v>178</v>
      </c>
      <c r="AA75" s="21"/>
      <c r="AB75" s="21"/>
      <c r="AC75" s="21"/>
      <c r="AD75" s="21"/>
      <c r="AF75" s="21"/>
      <c r="AG75" s="21"/>
      <c r="AH75" s="21"/>
      <c r="AI75" s="21"/>
      <c r="AJ75" s="21"/>
      <c r="AK75" s="21"/>
      <c r="AL75" s="21"/>
      <c r="AM75" s="42"/>
    </row>
    <row r="76" spans="1:39" s="37" customFormat="1" ht="20.100000000000001" customHeight="1" x14ac:dyDescent="0.25">
      <c r="A76" s="40"/>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42"/>
    </row>
    <row r="77" spans="1:39" s="37" customFormat="1" ht="20.100000000000001" customHeight="1" x14ac:dyDescent="0.25">
      <c r="A77" s="40"/>
      <c r="B77" s="296" t="s">
        <v>179</v>
      </c>
      <c r="C77" s="296"/>
      <c r="D77" s="296"/>
      <c r="E77" s="296"/>
      <c r="F77" s="296"/>
      <c r="G77" s="296"/>
      <c r="H77" s="296"/>
      <c r="I77" s="296"/>
      <c r="J77" s="296"/>
      <c r="K77" s="21"/>
      <c r="L77" s="43"/>
      <c r="M77" s="50" t="s">
        <v>176</v>
      </c>
      <c r="N77" s="21"/>
      <c r="O77" s="21"/>
      <c r="P77" s="21"/>
      <c r="Q77" s="21"/>
      <c r="R77" s="43"/>
      <c r="S77" s="50" t="s">
        <v>134</v>
      </c>
      <c r="T77" s="21"/>
      <c r="U77" s="21"/>
      <c r="V77" s="21"/>
      <c r="W77" s="21"/>
      <c r="X77" s="21"/>
      <c r="Y77" s="43"/>
      <c r="Z77" s="50" t="s">
        <v>180</v>
      </c>
      <c r="AA77" s="21"/>
      <c r="AC77" s="50"/>
      <c r="AD77" s="21"/>
      <c r="AE77" s="21"/>
      <c r="AF77" s="21"/>
      <c r="AG77" s="21"/>
      <c r="AH77" s="21"/>
      <c r="AI77" s="21"/>
      <c r="AJ77" s="21"/>
      <c r="AK77" s="21"/>
      <c r="AL77" s="21"/>
      <c r="AM77" s="42"/>
    </row>
    <row r="78" spans="1:39" s="37" customFormat="1" ht="20.100000000000001" customHeight="1" thickBot="1" x14ac:dyDescent="0.3">
      <c r="A78" s="60"/>
      <c r="B78" s="61"/>
      <c r="C78" s="61"/>
      <c r="D78" s="61"/>
      <c r="E78" s="61"/>
      <c r="F78" s="61"/>
      <c r="G78" s="61"/>
      <c r="H78" s="61"/>
      <c r="I78" s="61"/>
      <c r="J78" s="39"/>
      <c r="K78" s="53"/>
      <c r="L78" s="54"/>
      <c r="M78" s="39"/>
      <c r="N78" s="39"/>
      <c r="O78" s="39"/>
      <c r="P78" s="53"/>
      <c r="Q78" s="54"/>
      <c r="R78" s="39"/>
      <c r="S78" s="39"/>
      <c r="T78" s="39"/>
      <c r="U78" s="39"/>
      <c r="V78" s="53"/>
      <c r="W78" s="54"/>
      <c r="X78" s="39"/>
      <c r="Y78" s="39"/>
      <c r="Z78" s="39"/>
      <c r="AA78" s="39"/>
      <c r="AB78" s="53"/>
      <c r="AC78" s="54"/>
      <c r="AD78" s="39"/>
      <c r="AE78" s="39"/>
      <c r="AF78" s="39"/>
      <c r="AG78" s="39"/>
      <c r="AH78" s="39"/>
      <c r="AI78" s="39"/>
      <c r="AJ78" s="39"/>
      <c r="AK78" s="39"/>
      <c r="AL78" s="39"/>
      <c r="AM78" s="46"/>
    </row>
    <row r="79" spans="1:39" s="37" customFormat="1" ht="20.100000000000001" customHeight="1" x14ac:dyDescent="0.25">
      <c r="A79" s="259" t="s">
        <v>181</v>
      </c>
      <c r="B79" s="260"/>
      <c r="C79" s="260"/>
      <c r="D79" s="260"/>
      <c r="E79" s="260"/>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1"/>
    </row>
    <row r="80" spans="1:39" s="37" customFormat="1" ht="20.100000000000001" customHeight="1" x14ac:dyDescent="0.25">
      <c r="A80" s="4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42"/>
    </row>
    <row r="81" spans="1:39" s="37" customFormat="1" ht="20.100000000000001" customHeight="1" x14ac:dyDescent="0.25">
      <c r="A81" s="40"/>
      <c r="B81" s="34"/>
      <c r="C81" s="58"/>
      <c r="D81" s="50" t="s">
        <v>182</v>
      </c>
      <c r="E81" s="34"/>
      <c r="F81" s="34"/>
      <c r="G81" s="34"/>
      <c r="H81" s="34"/>
      <c r="I81" s="58"/>
      <c r="J81" s="50" t="s">
        <v>183</v>
      </c>
      <c r="K81" s="21"/>
      <c r="M81" s="50"/>
      <c r="N81" s="21"/>
      <c r="O81" s="58"/>
      <c r="P81" s="50" t="s">
        <v>184</v>
      </c>
      <c r="Q81" s="21"/>
      <c r="S81" s="50"/>
      <c r="T81" s="21"/>
      <c r="U81" s="21"/>
      <c r="V81" s="21"/>
      <c r="X81" s="58"/>
      <c r="Y81" s="50" t="s">
        <v>185</v>
      </c>
      <c r="Z81" s="21"/>
      <c r="AA81" s="21"/>
      <c r="AB81" s="21"/>
      <c r="AD81" s="58"/>
      <c r="AE81" s="50" t="s">
        <v>186</v>
      </c>
      <c r="AF81" s="21"/>
      <c r="AG81" s="21"/>
      <c r="AH81" s="21"/>
      <c r="AI81" s="21"/>
      <c r="AJ81" s="21"/>
      <c r="AK81" s="21"/>
      <c r="AL81" s="21"/>
      <c r="AM81" s="42"/>
    </row>
    <row r="82" spans="1:39" s="37" customFormat="1" ht="20.100000000000001" customHeight="1" x14ac:dyDescent="0.25">
      <c r="A82" s="40"/>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42"/>
    </row>
    <row r="83" spans="1:39" s="37" customFormat="1" ht="20.100000000000001" customHeight="1" x14ac:dyDescent="0.25">
      <c r="A83" s="40"/>
      <c r="B83" s="34"/>
      <c r="C83" s="58"/>
      <c r="D83" s="50" t="s">
        <v>187</v>
      </c>
      <c r="E83" s="34"/>
      <c r="F83" s="34"/>
      <c r="G83" s="34"/>
      <c r="H83" s="34"/>
      <c r="I83" s="34"/>
      <c r="J83" s="34"/>
      <c r="K83" s="21"/>
      <c r="L83" s="58"/>
      <c r="M83" s="50" t="s">
        <v>188</v>
      </c>
      <c r="N83" s="21"/>
      <c r="O83" s="21"/>
      <c r="P83" s="21"/>
      <c r="Q83" s="21"/>
      <c r="S83" s="50"/>
      <c r="T83" s="21"/>
      <c r="U83" s="21"/>
      <c r="V83" s="21"/>
      <c r="W83" s="21"/>
      <c r="X83" s="21"/>
      <c r="Z83" s="50"/>
      <c r="AA83" s="21"/>
      <c r="AC83" s="50"/>
      <c r="AD83" s="21"/>
      <c r="AE83" s="21"/>
      <c r="AF83" s="21"/>
      <c r="AG83" s="21"/>
      <c r="AH83" s="21"/>
      <c r="AI83" s="21"/>
      <c r="AJ83" s="21"/>
      <c r="AK83" s="21"/>
      <c r="AL83" s="21"/>
      <c r="AM83" s="42"/>
    </row>
    <row r="84" spans="1:39" s="37" customFormat="1" ht="20.100000000000001" customHeight="1" thickBot="1" x14ac:dyDescent="0.3">
      <c r="A84" s="60"/>
      <c r="B84" s="61"/>
      <c r="C84" s="61"/>
      <c r="D84" s="61"/>
      <c r="E84" s="61"/>
      <c r="F84" s="61"/>
      <c r="G84" s="61"/>
      <c r="H84" s="61"/>
      <c r="I84" s="61"/>
      <c r="J84" s="39"/>
      <c r="K84" s="53"/>
      <c r="L84" s="54"/>
      <c r="M84" s="39"/>
      <c r="N84" s="39"/>
      <c r="O84" s="39"/>
      <c r="P84" s="53"/>
      <c r="Q84" s="54"/>
      <c r="R84" s="39"/>
      <c r="S84" s="39"/>
      <c r="T84" s="39"/>
      <c r="U84" s="39"/>
      <c r="V84" s="53"/>
      <c r="W84" s="54"/>
      <c r="X84" s="39"/>
      <c r="Y84" s="39"/>
      <c r="Z84" s="39"/>
      <c r="AA84" s="39"/>
      <c r="AB84" s="53"/>
      <c r="AC84" s="54"/>
      <c r="AD84" s="39"/>
      <c r="AE84" s="39"/>
      <c r="AF84" s="39"/>
      <c r="AG84" s="39"/>
      <c r="AH84" s="39"/>
      <c r="AI84" s="39"/>
      <c r="AJ84" s="39"/>
      <c r="AK84" s="39"/>
      <c r="AL84" s="39"/>
      <c r="AM84" s="46"/>
    </row>
    <row r="85" spans="1:39" s="37" customFormat="1" ht="20.100000000000001" customHeight="1" x14ac:dyDescent="0.25">
      <c r="A85" s="259" t="s">
        <v>224</v>
      </c>
      <c r="B85" s="260"/>
      <c r="C85" s="260"/>
      <c r="D85" s="260"/>
      <c r="E85" s="260"/>
      <c r="F85" s="260"/>
      <c r="G85" s="260"/>
      <c r="H85" s="260"/>
      <c r="I85" s="260"/>
      <c r="J85" s="260"/>
      <c r="K85" s="260"/>
      <c r="L85" s="260"/>
      <c r="M85" s="260"/>
      <c r="N85" s="260"/>
      <c r="O85" s="260"/>
      <c r="P85" s="260"/>
      <c r="Q85" s="260"/>
      <c r="R85" s="260"/>
      <c r="S85" s="260"/>
      <c r="T85" s="260"/>
      <c r="U85" s="260"/>
      <c r="V85" s="260"/>
      <c r="W85" s="260"/>
      <c r="X85" s="260"/>
      <c r="Y85" s="260"/>
      <c r="Z85" s="260"/>
      <c r="AA85" s="260"/>
      <c r="AB85" s="260"/>
      <c r="AC85" s="260"/>
      <c r="AD85" s="260"/>
      <c r="AE85" s="260"/>
      <c r="AF85" s="260"/>
      <c r="AG85" s="260"/>
      <c r="AH85" s="260"/>
      <c r="AI85" s="260"/>
      <c r="AJ85" s="260"/>
      <c r="AK85" s="260"/>
      <c r="AL85" s="260"/>
      <c r="AM85" s="261"/>
    </row>
    <row r="86" spans="1:39" s="37" customFormat="1" ht="20.100000000000001" customHeight="1" x14ac:dyDescent="0.25">
      <c r="A86" s="40"/>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42"/>
    </row>
    <row r="87" spans="1:39" s="37" customFormat="1" ht="20.100000000000001" customHeight="1" x14ac:dyDescent="0.25">
      <c r="A87" s="40"/>
      <c r="B87" s="296" t="s">
        <v>189</v>
      </c>
      <c r="C87" s="296"/>
      <c r="D87" s="296"/>
      <c r="E87" s="296"/>
      <c r="F87" s="296"/>
      <c r="G87" s="296"/>
      <c r="H87" s="296"/>
      <c r="I87" s="296"/>
      <c r="J87" s="296"/>
      <c r="K87" s="296"/>
      <c r="L87" s="296"/>
      <c r="M87" s="296"/>
      <c r="N87" s="296"/>
      <c r="O87" s="296"/>
      <c r="P87" s="296"/>
      <c r="Q87" s="34"/>
      <c r="R87" s="34"/>
      <c r="S87" s="34"/>
      <c r="T87" s="296" t="s">
        <v>190</v>
      </c>
      <c r="U87" s="296"/>
      <c r="V87" s="296"/>
      <c r="W87" s="296"/>
      <c r="X87" s="296"/>
      <c r="Y87" s="296"/>
      <c r="Z87" s="296"/>
      <c r="AA87" s="296"/>
      <c r="AB87" s="296"/>
      <c r="AC87" s="296"/>
      <c r="AD87" s="296"/>
      <c r="AE87" s="296"/>
      <c r="AF87" s="296"/>
      <c r="AG87" s="296"/>
      <c r="AH87" s="296"/>
      <c r="AI87" s="34"/>
      <c r="AJ87" s="34"/>
      <c r="AK87" s="34"/>
      <c r="AL87" s="34"/>
      <c r="AM87" s="42"/>
    </row>
    <row r="88" spans="1:39" s="37" customFormat="1" ht="20.100000000000001" customHeight="1" x14ac:dyDescent="0.25">
      <c r="A88" s="40"/>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42"/>
    </row>
    <row r="89" spans="1:39" s="37" customFormat="1" ht="20.100000000000001" customHeight="1" x14ac:dyDescent="0.25">
      <c r="A89" s="40"/>
      <c r="B89" s="296" t="s">
        <v>191</v>
      </c>
      <c r="C89" s="296"/>
      <c r="D89" s="296"/>
      <c r="E89" s="296"/>
      <c r="F89" s="296"/>
      <c r="G89" s="296"/>
      <c r="H89" s="296"/>
      <c r="I89" s="296"/>
      <c r="J89" s="296"/>
      <c r="K89" s="21"/>
      <c r="L89" s="281"/>
      <c r="M89" s="281"/>
      <c r="N89" s="281"/>
      <c r="O89" s="281"/>
      <c r="P89" s="281"/>
      <c r="R89" s="50"/>
      <c r="S89" s="21"/>
      <c r="T89" s="296" t="s">
        <v>191</v>
      </c>
      <c r="U89" s="296"/>
      <c r="V89" s="296"/>
      <c r="W89" s="296"/>
      <c r="X89" s="296"/>
      <c r="Y89" s="296"/>
      <c r="Z89" s="296"/>
      <c r="AA89" s="296"/>
      <c r="AB89" s="296"/>
      <c r="AC89" s="21"/>
      <c r="AD89" s="281"/>
      <c r="AE89" s="281"/>
      <c r="AF89" s="281"/>
      <c r="AG89" s="281"/>
      <c r="AH89" s="281"/>
      <c r="AI89" s="21"/>
      <c r="AJ89" s="21"/>
      <c r="AK89" s="21"/>
      <c r="AL89" s="21"/>
      <c r="AM89" s="42"/>
    </row>
    <row r="90" spans="1:39" s="37" customFormat="1" ht="20.100000000000001" customHeight="1" x14ac:dyDescent="0.25">
      <c r="A90" s="40"/>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42"/>
    </row>
    <row r="91" spans="1:39" s="37" customFormat="1" ht="20.100000000000001" customHeight="1" x14ac:dyDescent="0.25">
      <c r="A91" s="40"/>
      <c r="B91" s="296" t="s">
        <v>192</v>
      </c>
      <c r="C91" s="296"/>
      <c r="D91" s="296"/>
      <c r="E91" s="296"/>
      <c r="F91" s="296"/>
      <c r="G91" s="296"/>
      <c r="H91" s="296"/>
      <c r="I91" s="296"/>
      <c r="J91" s="296"/>
      <c r="K91" s="21"/>
      <c r="L91" s="281"/>
      <c r="M91" s="281"/>
      <c r="N91" s="281"/>
      <c r="O91" s="281"/>
      <c r="P91" s="281"/>
      <c r="R91" s="50"/>
      <c r="S91" s="21"/>
      <c r="T91" s="296" t="s">
        <v>225</v>
      </c>
      <c r="U91" s="296"/>
      <c r="V91" s="296"/>
      <c r="W91" s="296"/>
      <c r="X91" s="296"/>
      <c r="Y91" s="296"/>
      <c r="Z91" s="296"/>
      <c r="AA91" s="296"/>
      <c r="AB91" s="296"/>
      <c r="AC91" s="34"/>
      <c r="AD91" s="296"/>
      <c r="AE91" s="296"/>
      <c r="AF91" s="296"/>
      <c r="AG91" s="296"/>
      <c r="AH91" s="296"/>
      <c r="AI91" s="21"/>
      <c r="AJ91" s="21"/>
      <c r="AK91" s="21"/>
      <c r="AL91" s="21"/>
      <c r="AM91" s="42"/>
    </row>
    <row r="92" spans="1:39" s="37" customFormat="1" ht="20.100000000000001" customHeight="1" x14ac:dyDescent="0.25">
      <c r="A92" s="40"/>
      <c r="B92" s="21"/>
      <c r="C92" s="21"/>
      <c r="D92" s="21"/>
      <c r="E92" s="21"/>
      <c r="F92" s="21"/>
      <c r="G92" s="21"/>
      <c r="H92" s="21"/>
      <c r="I92" s="21"/>
      <c r="J92" s="21"/>
      <c r="K92" s="21"/>
      <c r="L92" s="21"/>
      <c r="M92" s="21"/>
      <c r="N92" s="21"/>
      <c r="O92" s="21"/>
      <c r="P92" s="21"/>
      <c r="Q92" s="21"/>
      <c r="R92" s="21"/>
      <c r="S92" s="21"/>
      <c r="T92" s="296"/>
      <c r="U92" s="296"/>
      <c r="V92" s="296"/>
      <c r="W92" s="296"/>
      <c r="X92" s="296"/>
      <c r="Y92" s="296"/>
      <c r="Z92" s="296"/>
      <c r="AA92" s="296"/>
      <c r="AB92" s="296"/>
      <c r="AC92" s="21"/>
      <c r="AD92" s="296"/>
      <c r="AE92" s="296"/>
      <c r="AF92" s="296"/>
      <c r="AG92" s="296"/>
      <c r="AH92" s="296"/>
      <c r="AI92" s="21"/>
      <c r="AJ92" s="21"/>
      <c r="AK92" s="21"/>
      <c r="AL92" s="21"/>
      <c r="AM92" s="42"/>
    </row>
    <row r="93" spans="1:39" s="37" customFormat="1" ht="20.100000000000001" customHeight="1" x14ac:dyDescent="0.25">
      <c r="A93" s="40"/>
      <c r="B93" s="296" t="s">
        <v>193</v>
      </c>
      <c r="C93" s="296"/>
      <c r="D93" s="296"/>
      <c r="E93" s="296"/>
      <c r="F93" s="296"/>
      <c r="G93" s="296"/>
      <c r="H93" s="296"/>
      <c r="I93" s="296"/>
      <c r="J93" s="296"/>
      <c r="K93" s="21"/>
      <c r="L93" s="281"/>
      <c r="M93" s="281"/>
      <c r="N93" s="281"/>
      <c r="O93" s="281"/>
      <c r="P93" s="281"/>
      <c r="R93" s="50"/>
      <c r="S93" s="21"/>
      <c r="T93" s="296"/>
      <c r="U93" s="296"/>
      <c r="V93" s="296"/>
      <c r="W93" s="296"/>
      <c r="X93" s="296"/>
      <c r="Y93" s="296"/>
      <c r="Z93" s="296"/>
      <c r="AA93" s="296"/>
      <c r="AB93" s="296"/>
      <c r="AC93" s="21"/>
      <c r="AD93" s="296"/>
      <c r="AE93" s="296"/>
      <c r="AF93" s="296"/>
      <c r="AG93" s="296"/>
      <c r="AH93" s="296"/>
      <c r="AI93" s="21"/>
      <c r="AJ93" s="21"/>
      <c r="AK93" s="21"/>
      <c r="AL93" s="21"/>
      <c r="AM93" s="42"/>
    </row>
    <row r="94" spans="1:39" s="37" customFormat="1" ht="20.100000000000001" customHeight="1" thickBot="1" x14ac:dyDescent="0.3">
      <c r="A94" s="44"/>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46"/>
    </row>
    <row r="95" spans="1:39" s="37" customFormat="1" ht="20.100000000000001" customHeight="1" x14ac:dyDescent="0.25">
      <c r="A95" s="259" t="s">
        <v>196</v>
      </c>
      <c r="B95" s="260"/>
      <c r="C95" s="260"/>
      <c r="D95" s="260"/>
      <c r="E95" s="260"/>
      <c r="F95" s="260"/>
      <c r="G95" s="260"/>
      <c r="H95" s="260"/>
      <c r="I95" s="260"/>
      <c r="J95" s="260"/>
      <c r="K95" s="260"/>
      <c r="L95" s="260"/>
      <c r="M95" s="260"/>
      <c r="N95" s="260"/>
      <c r="O95" s="260"/>
      <c r="P95" s="260"/>
      <c r="Q95" s="260"/>
      <c r="R95" s="260"/>
      <c r="S95" s="260"/>
      <c r="T95" s="260"/>
      <c r="U95" s="260"/>
      <c r="V95" s="260"/>
      <c r="W95" s="260"/>
      <c r="X95" s="260"/>
      <c r="Y95" s="260"/>
      <c r="Z95" s="260"/>
      <c r="AA95" s="260"/>
      <c r="AB95" s="260"/>
      <c r="AC95" s="260"/>
      <c r="AD95" s="260"/>
      <c r="AE95" s="260"/>
      <c r="AF95" s="260"/>
      <c r="AG95" s="260"/>
      <c r="AH95" s="260"/>
      <c r="AI95" s="260"/>
      <c r="AJ95" s="260"/>
      <c r="AK95" s="260"/>
      <c r="AL95" s="260"/>
      <c r="AM95" s="261"/>
    </row>
    <row r="96" spans="1:39" s="37" customFormat="1" ht="20.100000000000001" customHeight="1" x14ac:dyDescent="0.25">
      <c r="A96" s="40"/>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42"/>
    </row>
    <row r="97" spans="1:39" s="37" customFormat="1" ht="20.100000000000001" customHeight="1" x14ac:dyDescent="0.25">
      <c r="A97" s="40"/>
      <c r="B97" s="296" t="s">
        <v>197</v>
      </c>
      <c r="C97" s="296"/>
      <c r="D97" s="296"/>
      <c r="E97" s="296"/>
      <c r="F97" s="296"/>
      <c r="G97" s="296"/>
      <c r="H97" s="296"/>
      <c r="I97" s="296"/>
      <c r="J97" s="296"/>
      <c r="K97" s="21"/>
      <c r="L97" s="43"/>
      <c r="M97" s="50" t="s">
        <v>68</v>
      </c>
      <c r="Q97" s="43"/>
      <c r="R97" s="50" t="s">
        <v>7</v>
      </c>
      <c r="T97" s="23"/>
      <c r="U97" s="23"/>
      <c r="V97" s="23"/>
      <c r="W97" s="43"/>
      <c r="X97" s="21" t="s">
        <v>194</v>
      </c>
      <c r="Y97" s="23"/>
      <c r="Z97" s="23"/>
      <c r="AA97" s="23"/>
      <c r="AB97" s="21"/>
      <c r="AC97" s="43"/>
      <c r="AD97" s="21" t="s">
        <v>198</v>
      </c>
      <c r="AE97" s="21"/>
      <c r="AF97" s="21"/>
      <c r="AG97" s="21"/>
      <c r="AH97" s="21"/>
      <c r="AI97" s="21"/>
      <c r="AJ97" s="21"/>
      <c r="AK97" s="21"/>
      <c r="AL97" s="21"/>
      <c r="AM97" s="42"/>
    </row>
    <row r="98" spans="1:39" s="37" customFormat="1" ht="20.100000000000001" customHeight="1" x14ac:dyDescent="0.25">
      <c r="A98" s="40"/>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42"/>
    </row>
    <row r="99" spans="1:39" s="37" customFormat="1" ht="20.100000000000001" customHeight="1" x14ac:dyDescent="0.25">
      <c r="A99" s="40"/>
      <c r="B99" s="296"/>
      <c r="C99" s="296"/>
      <c r="D99" s="296"/>
      <c r="E99" s="296"/>
      <c r="F99" s="296"/>
      <c r="G99" s="296"/>
      <c r="H99" s="296"/>
      <c r="I99" s="296"/>
      <c r="J99" s="296"/>
      <c r="K99" s="21"/>
      <c r="L99" s="43"/>
      <c r="M99" s="50" t="s">
        <v>9</v>
      </c>
      <c r="Q99" s="43"/>
      <c r="R99" s="50" t="s">
        <v>199</v>
      </c>
      <c r="T99" s="23"/>
      <c r="U99" s="23"/>
      <c r="V99" s="23"/>
      <c r="W99" s="43"/>
      <c r="X99" s="50" t="s">
        <v>11</v>
      </c>
      <c r="Y99" s="23"/>
      <c r="Z99" s="23"/>
      <c r="AA99" s="23"/>
      <c r="AB99" s="21"/>
      <c r="AC99" s="43"/>
      <c r="AD99" s="37" t="s">
        <v>195</v>
      </c>
      <c r="AE99" s="21"/>
      <c r="AF99" s="21"/>
      <c r="AG99" s="21"/>
      <c r="AH99" s="21"/>
      <c r="AI99" s="21"/>
      <c r="AJ99" s="21"/>
      <c r="AK99" s="21"/>
      <c r="AL99" s="21"/>
      <c r="AM99" s="42"/>
    </row>
    <row r="100" spans="1:39" s="37" customFormat="1" ht="20.100000000000001" customHeight="1" x14ac:dyDescent="0.25">
      <c r="A100" s="40"/>
      <c r="B100" s="296"/>
      <c r="C100" s="296"/>
      <c r="D100" s="296"/>
      <c r="E100" s="296"/>
      <c r="F100" s="296"/>
      <c r="G100" s="296"/>
      <c r="H100" s="296"/>
      <c r="I100" s="296"/>
      <c r="J100" s="296"/>
      <c r="K100" s="21"/>
      <c r="P100" s="21"/>
      <c r="R100" s="50"/>
      <c r="S100" s="21"/>
      <c r="T100" s="21"/>
      <c r="U100" s="21"/>
      <c r="V100" s="21"/>
      <c r="X100" s="50"/>
      <c r="Y100" s="21"/>
      <c r="Z100" s="21"/>
      <c r="AA100" s="21"/>
      <c r="AB100" s="21"/>
      <c r="AC100" s="21"/>
      <c r="AE100" s="21"/>
      <c r="AF100" s="21"/>
      <c r="AG100" s="21"/>
      <c r="AH100" s="21"/>
      <c r="AI100" s="21"/>
      <c r="AJ100" s="21"/>
      <c r="AK100" s="21"/>
      <c r="AL100" s="21"/>
      <c r="AM100" s="42"/>
    </row>
    <row r="101" spans="1:39" s="37" customFormat="1" ht="20.100000000000001" customHeight="1" x14ac:dyDescent="0.25">
      <c r="A101" s="40"/>
      <c r="B101" s="296"/>
      <c r="C101" s="296"/>
      <c r="D101" s="296"/>
      <c r="E101" s="296"/>
      <c r="F101" s="296"/>
      <c r="G101" s="296"/>
      <c r="H101" s="296"/>
      <c r="I101" s="296"/>
      <c r="J101" s="296"/>
      <c r="K101" s="21"/>
      <c r="L101" s="43"/>
      <c r="M101" s="50" t="s">
        <v>12</v>
      </c>
      <c r="Q101" s="43"/>
      <c r="R101" s="50" t="s">
        <v>10</v>
      </c>
      <c r="T101" s="23"/>
      <c r="U101" s="23"/>
      <c r="V101" s="23"/>
      <c r="W101" s="43"/>
      <c r="X101" s="50" t="s">
        <v>13</v>
      </c>
      <c r="Y101" s="23"/>
      <c r="Z101" s="23"/>
      <c r="AA101" s="23"/>
      <c r="AB101" s="21"/>
      <c r="AC101" s="43"/>
      <c r="AD101" s="37" t="s">
        <v>200</v>
      </c>
      <c r="AE101" s="21"/>
      <c r="AF101" s="21"/>
      <c r="AG101" s="21"/>
      <c r="AH101" s="21"/>
      <c r="AI101" s="21"/>
      <c r="AJ101" s="21"/>
      <c r="AK101" s="21"/>
      <c r="AL101" s="21"/>
      <c r="AM101" s="42"/>
    </row>
    <row r="102" spans="1:39" s="37" customFormat="1" ht="20.100000000000001" customHeight="1" x14ac:dyDescent="0.25">
      <c r="A102" s="40"/>
      <c r="B102" s="296"/>
      <c r="C102" s="296"/>
      <c r="D102" s="296"/>
      <c r="E102" s="296"/>
      <c r="F102" s="296"/>
      <c r="G102" s="296"/>
      <c r="H102" s="296"/>
      <c r="I102" s="296"/>
      <c r="J102" s="296"/>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42"/>
    </row>
    <row r="103" spans="1:39" s="37" customFormat="1" ht="20.100000000000001" customHeight="1" x14ac:dyDescent="0.25">
      <c r="A103" s="40"/>
      <c r="B103" s="296"/>
      <c r="C103" s="296"/>
      <c r="D103" s="296"/>
      <c r="E103" s="296"/>
      <c r="F103" s="296"/>
      <c r="G103" s="296"/>
      <c r="H103" s="296"/>
      <c r="I103" s="296"/>
      <c r="J103" s="296"/>
      <c r="K103" s="21"/>
      <c r="L103" s="43"/>
      <c r="M103" s="50" t="s">
        <v>201</v>
      </c>
      <c r="R103" s="50"/>
      <c r="T103" s="23"/>
      <c r="U103" s="23"/>
      <c r="V103" s="23"/>
      <c r="W103" s="43"/>
      <c r="X103" s="50" t="s">
        <v>202</v>
      </c>
      <c r="Y103" s="23"/>
      <c r="Z103" s="23"/>
      <c r="AA103" s="23"/>
      <c r="AB103" s="21"/>
      <c r="AC103" s="43"/>
      <c r="AD103" s="50" t="s">
        <v>203</v>
      </c>
      <c r="AE103" s="21"/>
      <c r="AF103" s="21"/>
      <c r="AG103" s="21"/>
      <c r="AH103" s="21"/>
      <c r="AI103" s="21"/>
      <c r="AJ103" s="21"/>
      <c r="AK103" s="21"/>
      <c r="AL103" s="21"/>
      <c r="AM103" s="42"/>
    </row>
    <row r="104" spans="1:39" s="37" customFormat="1" ht="20.100000000000001" customHeight="1" x14ac:dyDescent="0.25">
      <c r="A104" s="40"/>
      <c r="B104" s="296"/>
      <c r="C104" s="296"/>
      <c r="D104" s="296"/>
      <c r="E104" s="296"/>
      <c r="F104" s="296"/>
      <c r="G104" s="296"/>
      <c r="H104" s="296"/>
      <c r="I104" s="296"/>
      <c r="J104" s="296"/>
      <c r="K104" s="21"/>
      <c r="M104" s="50"/>
      <c r="R104" s="50"/>
      <c r="T104" s="23"/>
      <c r="U104" s="23"/>
      <c r="V104" s="23"/>
      <c r="X104" s="50"/>
      <c r="Y104" s="23"/>
      <c r="Z104" s="23"/>
      <c r="AA104" s="23"/>
      <c r="AB104" s="21"/>
      <c r="AD104" s="21"/>
      <c r="AE104" s="21"/>
      <c r="AF104" s="21"/>
      <c r="AG104" s="21"/>
      <c r="AH104" s="21"/>
      <c r="AI104" s="21"/>
      <c r="AJ104" s="21"/>
      <c r="AK104" s="21"/>
      <c r="AL104" s="21"/>
      <c r="AM104" s="42"/>
    </row>
    <row r="105" spans="1:39" s="37" customFormat="1" ht="20.100000000000001" customHeight="1" x14ac:dyDescent="0.25">
      <c r="A105" s="40"/>
      <c r="B105" s="296"/>
      <c r="C105" s="296"/>
      <c r="D105" s="296"/>
      <c r="E105" s="296"/>
      <c r="F105" s="296"/>
      <c r="G105" s="296"/>
      <c r="H105" s="296"/>
      <c r="I105" s="296"/>
      <c r="J105" s="296"/>
      <c r="K105" s="21"/>
      <c r="L105" s="43"/>
      <c r="M105" s="50" t="s">
        <v>204</v>
      </c>
      <c r="P105" s="21"/>
      <c r="R105" s="50"/>
      <c r="S105" s="21"/>
      <c r="T105" s="21"/>
      <c r="U105" s="21"/>
      <c r="V105" s="21"/>
      <c r="X105" s="50"/>
      <c r="Y105" s="21"/>
      <c r="Z105" s="21"/>
      <c r="AA105" s="21"/>
      <c r="AB105" s="21"/>
      <c r="AD105" s="50"/>
      <c r="AE105" s="21"/>
      <c r="AF105" s="21"/>
      <c r="AG105" s="21"/>
      <c r="AH105" s="21"/>
      <c r="AI105" s="21"/>
      <c r="AJ105" s="21"/>
      <c r="AK105" s="21"/>
      <c r="AL105" s="21"/>
      <c r="AM105" s="42"/>
    </row>
    <row r="106" spans="1:39" s="37" customFormat="1" ht="20.100000000000001" customHeight="1" thickBot="1" x14ac:dyDescent="0.3">
      <c r="A106" s="44"/>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46"/>
    </row>
    <row r="107" spans="1:39" s="37" customFormat="1" ht="20.100000000000001" customHeight="1" x14ac:dyDescent="0.25">
      <c r="A107" s="259" t="s">
        <v>226</v>
      </c>
      <c r="B107" s="260"/>
      <c r="C107" s="260"/>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0"/>
      <c r="AD107" s="260"/>
      <c r="AE107" s="260"/>
      <c r="AF107" s="260"/>
      <c r="AG107" s="260"/>
      <c r="AH107" s="260"/>
      <c r="AI107" s="260"/>
      <c r="AJ107" s="260"/>
      <c r="AK107" s="260"/>
      <c r="AL107" s="260"/>
      <c r="AM107" s="261"/>
    </row>
    <row r="108" spans="1:39" s="37" customFormat="1" ht="20.100000000000001" customHeight="1" x14ac:dyDescent="0.25">
      <c r="A108" s="40"/>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42"/>
    </row>
    <row r="109" spans="1:39" s="37" customFormat="1" ht="20.100000000000001" customHeight="1" x14ac:dyDescent="0.25">
      <c r="A109" s="40"/>
      <c r="B109" s="21"/>
      <c r="C109" s="58"/>
      <c r="D109" s="62" t="s">
        <v>205</v>
      </c>
      <c r="E109" s="48"/>
      <c r="F109" s="48"/>
      <c r="G109" s="48"/>
      <c r="H109" s="58"/>
      <c r="I109" s="50" t="s">
        <v>206</v>
      </c>
      <c r="J109" s="48"/>
      <c r="K109" s="48"/>
      <c r="L109" s="48"/>
      <c r="M109" s="48"/>
      <c r="N109" s="48"/>
      <c r="O109" s="48"/>
      <c r="P109" s="63"/>
      <c r="Q109" s="50" t="s">
        <v>207</v>
      </c>
      <c r="R109" s="48"/>
      <c r="S109" s="50"/>
      <c r="T109" s="50"/>
      <c r="U109" s="50"/>
      <c r="V109" s="50"/>
      <c r="W109" s="21"/>
      <c r="X109" s="21"/>
      <c r="Y109" s="21"/>
      <c r="Z109" s="21"/>
      <c r="AA109" s="21"/>
      <c r="AB109" s="21"/>
      <c r="AC109" s="21"/>
      <c r="AD109" s="21"/>
      <c r="AE109" s="21"/>
      <c r="AF109" s="21"/>
      <c r="AG109" s="21"/>
      <c r="AH109" s="21"/>
      <c r="AI109" s="21"/>
      <c r="AJ109" s="21"/>
      <c r="AK109" s="21"/>
      <c r="AL109" s="21"/>
      <c r="AM109" s="42"/>
    </row>
    <row r="110" spans="1:39" s="37" customFormat="1" ht="20.100000000000001" customHeight="1" x14ac:dyDescent="0.25">
      <c r="A110" s="40"/>
      <c r="B110" s="21"/>
      <c r="C110" s="23"/>
      <c r="D110" s="48"/>
      <c r="E110" s="48"/>
      <c r="F110" s="48"/>
      <c r="G110" s="48"/>
      <c r="H110" s="48"/>
      <c r="I110" s="48"/>
      <c r="J110" s="48"/>
      <c r="K110" s="48"/>
      <c r="L110" s="48"/>
      <c r="M110" s="48"/>
      <c r="N110" s="48"/>
      <c r="O110" s="48"/>
      <c r="P110" s="48"/>
      <c r="Q110" s="48"/>
      <c r="R110" s="48"/>
      <c r="S110" s="50"/>
      <c r="T110" s="50"/>
      <c r="U110" s="50"/>
      <c r="V110" s="50"/>
      <c r="W110" s="21"/>
      <c r="X110" s="21"/>
      <c r="Y110" s="21"/>
      <c r="Z110" s="21"/>
      <c r="AA110" s="21"/>
      <c r="AB110" s="21"/>
      <c r="AC110" s="21"/>
      <c r="AD110" s="21"/>
      <c r="AE110" s="21"/>
      <c r="AF110" s="21"/>
      <c r="AG110" s="21"/>
      <c r="AH110" s="21"/>
      <c r="AI110" s="21"/>
      <c r="AJ110" s="21"/>
      <c r="AK110" s="21"/>
      <c r="AL110" s="21"/>
      <c r="AM110" s="42"/>
    </row>
    <row r="111" spans="1:39" s="37" customFormat="1" ht="20.100000000000001" customHeight="1" x14ac:dyDescent="0.25">
      <c r="A111" s="40"/>
      <c r="B111" s="21"/>
      <c r="C111" s="43"/>
      <c r="D111" s="50" t="s">
        <v>208</v>
      </c>
      <c r="I111" s="50"/>
      <c r="J111" s="50"/>
      <c r="K111" s="50"/>
      <c r="L111" s="50"/>
      <c r="P111" s="43"/>
      <c r="Q111" s="50" t="s">
        <v>2</v>
      </c>
      <c r="R111" s="50"/>
      <c r="T111" s="50"/>
      <c r="U111" s="21"/>
      <c r="V111" s="21"/>
      <c r="W111" s="21"/>
      <c r="X111" s="21"/>
      <c r="Y111" s="21"/>
      <c r="Z111" s="21"/>
      <c r="AA111" s="21"/>
      <c r="AB111" s="21"/>
      <c r="AC111" s="21"/>
      <c r="AD111" s="21"/>
      <c r="AE111" s="21"/>
      <c r="AF111" s="21"/>
      <c r="AG111" s="21"/>
      <c r="AH111" s="21"/>
      <c r="AI111" s="21"/>
      <c r="AJ111" s="21"/>
      <c r="AK111" s="21"/>
      <c r="AL111" s="21"/>
      <c r="AM111" s="42"/>
    </row>
    <row r="112" spans="1:39" s="37" customFormat="1" ht="20.100000000000001" customHeight="1" x14ac:dyDescent="0.25">
      <c r="A112" s="40"/>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42"/>
    </row>
    <row r="113" spans="1:39" s="37" customFormat="1" ht="20.100000000000001" customHeight="1" x14ac:dyDescent="0.25">
      <c r="A113" s="40"/>
      <c r="B113" s="21"/>
      <c r="C113" s="43"/>
      <c r="D113" s="50" t="s">
        <v>209</v>
      </c>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42"/>
    </row>
    <row r="114" spans="1:39" s="37" customFormat="1" ht="20.100000000000001" customHeight="1" thickBot="1" x14ac:dyDescent="0.3">
      <c r="A114" s="44"/>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46"/>
    </row>
    <row r="115" spans="1:39" s="37" customFormat="1" ht="20.100000000000001" customHeight="1" x14ac:dyDescent="0.25">
      <c r="A115" s="259" t="s">
        <v>238</v>
      </c>
      <c r="B115" s="260"/>
      <c r="C115" s="260"/>
      <c r="D115" s="260"/>
      <c r="E115" s="260"/>
      <c r="F115" s="260"/>
      <c r="G115" s="260"/>
      <c r="H115" s="260"/>
      <c r="I115" s="260"/>
      <c r="J115" s="260"/>
      <c r="K115" s="260"/>
      <c r="L115" s="260"/>
      <c r="M115" s="260"/>
      <c r="N115" s="260"/>
      <c r="O115" s="260"/>
      <c r="P115" s="260"/>
      <c r="Q115" s="260"/>
      <c r="R115" s="260"/>
      <c r="S115" s="260"/>
      <c r="T115" s="260"/>
      <c r="U115" s="260"/>
      <c r="V115" s="260"/>
      <c r="W115" s="260"/>
      <c r="X115" s="260"/>
      <c r="Y115" s="260"/>
      <c r="Z115" s="260"/>
      <c r="AA115" s="260"/>
      <c r="AB115" s="260"/>
      <c r="AC115" s="260"/>
      <c r="AD115" s="260"/>
      <c r="AE115" s="260"/>
      <c r="AF115" s="260"/>
      <c r="AG115" s="260"/>
      <c r="AH115" s="260"/>
      <c r="AI115" s="260"/>
      <c r="AJ115" s="260"/>
      <c r="AK115" s="260"/>
      <c r="AL115" s="260"/>
      <c r="AM115" s="261"/>
    </row>
    <row r="116" spans="1:39" s="37" customFormat="1" ht="20.100000000000001" customHeight="1" x14ac:dyDescent="0.25">
      <c r="A116" s="40"/>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42"/>
    </row>
    <row r="117" spans="1:39" s="37" customFormat="1" ht="20.100000000000001" customHeight="1" x14ac:dyDescent="0.25">
      <c r="A117" s="40"/>
      <c r="B117" s="21"/>
      <c r="C117" s="58"/>
      <c r="D117" s="62" t="s">
        <v>205</v>
      </c>
      <c r="E117" s="48"/>
      <c r="F117" s="48"/>
      <c r="G117" s="48"/>
      <c r="H117" s="58"/>
      <c r="I117" s="50" t="s">
        <v>210</v>
      </c>
      <c r="J117" s="48"/>
      <c r="K117" s="48"/>
      <c r="L117" s="48"/>
      <c r="M117" s="48"/>
      <c r="N117" s="48"/>
      <c r="O117" s="48"/>
      <c r="P117" s="63"/>
      <c r="Q117" s="50" t="s">
        <v>211</v>
      </c>
      <c r="R117" s="48"/>
      <c r="S117" s="50"/>
      <c r="T117" s="50"/>
      <c r="U117" s="50"/>
      <c r="V117" s="50"/>
      <c r="W117" s="43"/>
      <c r="X117" s="50" t="s">
        <v>212</v>
      </c>
      <c r="Y117" s="21"/>
      <c r="Z117" s="21"/>
      <c r="AA117" s="21"/>
      <c r="AB117" s="21"/>
      <c r="AC117" s="43"/>
      <c r="AD117" s="50" t="s">
        <v>213</v>
      </c>
      <c r="AE117" s="21"/>
      <c r="AF117" s="21"/>
      <c r="AG117" s="21"/>
      <c r="AH117" s="21"/>
      <c r="AI117" s="21"/>
      <c r="AJ117" s="21"/>
      <c r="AK117" s="21"/>
      <c r="AL117" s="21"/>
      <c r="AM117" s="42"/>
    </row>
    <row r="118" spans="1:39" s="37" customFormat="1" ht="20.100000000000001" customHeight="1" x14ac:dyDescent="0.25">
      <c r="A118" s="40"/>
      <c r="B118" s="21"/>
      <c r="C118" s="23"/>
      <c r="D118" s="48"/>
      <c r="E118" s="48"/>
      <c r="F118" s="48"/>
      <c r="G118" s="48"/>
      <c r="H118" s="48"/>
      <c r="I118" s="48"/>
      <c r="J118" s="48"/>
      <c r="K118" s="48"/>
      <c r="L118" s="48"/>
      <c r="M118" s="48"/>
      <c r="N118" s="48"/>
      <c r="O118" s="48"/>
      <c r="P118" s="48"/>
      <c r="Q118" s="48"/>
      <c r="R118" s="48"/>
      <c r="S118" s="50"/>
      <c r="T118" s="50"/>
      <c r="U118" s="50"/>
      <c r="V118" s="50"/>
      <c r="W118" s="21"/>
      <c r="X118" s="21"/>
      <c r="Y118" s="21"/>
      <c r="Z118" s="21"/>
      <c r="AA118" s="21"/>
      <c r="AB118" s="21"/>
      <c r="AC118" s="21"/>
      <c r="AD118" s="21"/>
      <c r="AE118" s="21"/>
      <c r="AF118" s="21"/>
      <c r="AG118" s="21"/>
      <c r="AH118" s="21"/>
      <c r="AI118" s="21"/>
      <c r="AJ118" s="21"/>
      <c r="AK118" s="21"/>
      <c r="AL118" s="21"/>
      <c r="AM118" s="42"/>
    </row>
    <row r="119" spans="1:39" s="37" customFormat="1" ht="20.100000000000001" customHeight="1" x14ac:dyDescent="0.25">
      <c r="A119" s="40"/>
      <c r="B119" s="21"/>
      <c r="C119" s="43"/>
      <c r="D119" s="50" t="s">
        <v>214</v>
      </c>
      <c r="H119" s="43"/>
      <c r="I119" s="50" t="s">
        <v>209</v>
      </c>
      <c r="J119" s="50"/>
      <c r="K119" s="50"/>
      <c r="L119" s="50"/>
      <c r="P119" s="21"/>
      <c r="Q119" s="21"/>
      <c r="R119" s="21"/>
      <c r="T119" s="50"/>
      <c r="U119" s="21"/>
      <c r="V119" s="21"/>
      <c r="W119" s="21"/>
      <c r="X119" s="21"/>
      <c r="Y119" s="21"/>
      <c r="Z119" s="21"/>
      <c r="AA119" s="21"/>
      <c r="AB119" s="21"/>
      <c r="AC119" s="21"/>
      <c r="AD119" s="21"/>
      <c r="AE119" s="21"/>
      <c r="AF119" s="21"/>
      <c r="AG119" s="21"/>
      <c r="AH119" s="21"/>
      <c r="AI119" s="21"/>
      <c r="AJ119" s="21"/>
      <c r="AK119" s="21"/>
      <c r="AL119" s="21"/>
      <c r="AM119" s="42"/>
    </row>
    <row r="120" spans="1:39" s="37" customFormat="1" ht="20.100000000000001" customHeight="1" thickBot="1" x14ac:dyDescent="0.3">
      <c r="A120" s="44"/>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46"/>
    </row>
    <row r="121" spans="1:39" s="37" customFormat="1" ht="20.100000000000001" customHeight="1" x14ac:dyDescent="0.25">
      <c r="A121" s="259" t="s">
        <v>239</v>
      </c>
      <c r="B121" s="260"/>
      <c r="C121" s="260"/>
      <c r="D121" s="260"/>
      <c r="E121" s="260"/>
      <c r="F121" s="260"/>
      <c r="G121" s="260"/>
      <c r="H121" s="260"/>
      <c r="I121" s="260"/>
      <c r="J121" s="260"/>
      <c r="K121" s="260"/>
      <c r="L121" s="260"/>
      <c r="M121" s="260"/>
      <c r="N121" s="260"/>
      <c r="O121" s="260"/>
      <c r="P121" s="260"/>
      <c r="Q121" s="260"/>
      <c r="R121" s="260"/>
      <c r="S121" s="260"/>
      <c r="T121" s="260"/>
      <c r="U121" s="260"/>
      <c r="V121" s="260"/>
      <c r="W121" s="260"/>
      <c r="X121" s="260"/>
      <c r="Y121" s="260"/>
      <c r="Z121" s="260"/>
      <c r="AA121" s="260"/>
      <c r="AB121" s="260"/>
      <c r="AC121" s="260"/>
      <c r="AD121" s="260"/>
      <c r="AE121" s="260"/>
      <c r="AF121" s="260"/>
      <c r="AG121" s="260"/>
      <c r="AH121" s="260"/>
      <c r="AI121" s="260"/>
      <c r="AJ121" s="260"/>
      <c r="AK121" s="260"/>
      <c r="AL121" s="260"/>
      <c r="AM121" s="261"/>
    </row>
    <row r="122" spans="1:39" s="37" customFormat="1" ht="20.100000000000001" customHeight="1" x14ac:dyDescent="0.25">
      <c r="A122" s="40"/>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42"/>
    </row>
    <row r="123" spans="1:39" s="37" customFormat="1" ht="20.100000000000001" customHeight="1" x14ac:dyDescent="0.25">
      <c r="A123" s="40"/>
      <c r="B123" s="138" t="s">
        <v>215</v>
      </c>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21"/>
      <c r="AG123" s="58"/>
      <c r="AH123" s="50" t="s">
        <v>216</v>
      </c>
      <c r="AI123" s="21"/>
      <c r="AJ123" s="58"/>
      <c r="AK123" s="50" t="s">
        <v>217</v>
      </c>
      <c r="AL123" s="21"/>
      <c r="AM123" s="42"/>
    </row>
    <row r="124" spans="1:39" s="37" customFormat="1" ht="20.100000000000001" customHeight="1" x14ac:dyDescent="0.25">
      <c r="A124" s="40"/>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1"/>
      <c r="AD124" s="21"/>
      <c r="AE124" s="21"/>
      <c r="AF124" s="21"/>
      <c r="AG124" s="23"/>
      <c r="AH124" s="23"/>
      <c r="AI124" s="21"/>
      <c r="AJ124" s="23"/>
      <c r="AK124" s="23"/>
      <c r="AL124" s="21"/>
      <c r="AM124" s="42"/>
    </row>
    <row r="125" spans="1:39" s="21" customFormat="1" ht="20.100000000000001" customHeight="1" x14ac:dyDescent="0.25">
      <c r="A125" s="40"/>
      <c r="B125" s="262" t="s">
        <v>218</v>
      </c>
      <c r="C125" s="262"/>
      <c r="D125" s="262"/>
      <c r="E125" s="262"/>
      <c r="F125" s="262"/>
      <c r="G125" s="262"/>
      <c r="H125" s="262"/>
      <c r="I125" s="262"/>
      <c r="J125" s="262"/>
      <c r="K125" s="262"/>
      <c r="L125" s="262"/>
      <c r="M125" s="262"/>
      <c r="N125" s="262"/>
      <c r="O125" s="262"/>
      <c r="P125" s="262"/>
      <c r="Q125" s="262"/>
      <c r="R125" s="262"/>
      <c r="S125" s="262"/>
      <c r="T125" s="262"/>
      <c r="U125" s="262"/>
      <c r="V125" s="262"/>
      <c r="W125" s="262"/>
      <c r="X125" s="262"/>
      <c r="Y125" s="262"/>
      <c r="Z125" s="262"/>
      <c r="AA125" s="262"/>
      <c r="AB125" s="262"/>
      <c r="AG125" s="58"/>
      <c r="AH125" s="50" t="s">
        <v>216</v>
      </c>
      <c r="AJ125" s="58"/>
      <c r="AK125" s="50" t="s">
        <v>217</v>
      </c>
      <c r="AM125" s="42"/>
    </row>
    <row r="126" spans="1:39" s="21" customFormat="1" ht="20.100000000000001" customHeight="1" x14ac:dyDescent="0.25">
      <c r="A126" s="40"/>
      <c r="B126" s="262"/>
      <c r="C126" s="262"/>
      <c r="D126" s="262"/>
      <c r="E126" s="262"/>
      <c r="F126" s="50"/>
      <c r="G126" s="23"/>
      <c r="H126" s="23"/>
      <c r="I126" s="23"/>
      <c r="J126" s="23"/>
      <c r="K126" s="23"/>
      <c r="L126" s="23"/>
      <c r="M126" s="23"/>
      <c r="N126" s="23"/>
      <c r="O126" s="23"/>
      <c r="P126" s="23"/>
      <c r="Q126" s="23"/>
      <c r="R126" s="23"/>
      <c r="S126" s="23"/>
      <c r="T126" s="23"/>
      <c r="U126" s="23"/>
      <c r="V126" s="23"/>
      <c r="W126" s="23"/>
      <c r="X126" s="23"/>
      <c r="Y126" s="23"/>
      <c r="Z126" s="23"/>
      <c r="AA126" s="23"/>
      <c r="AB126" s="23"/>
      <c r="AG126" s="23"/>
      <c r="AH126" s="23"/>
      <c r="AJ126" s="23"/>
      <c r="AK126" s="23"/>
      <c r="AM126" s="42"/>
    </row>
    <row r="127" spans="1:39" s="21" customFormat="1" ht="20.100000000000001" customHeight="1" x14ac:dyDescent="0.25">
      <c r="A127" s="40"/>
      <c r="B127" s="262" t="s">
        <v>219</v>
      </c>
      <c r="C127" s="262"/>
      <c r="D127" s="262"/>
      <c r="E127" s="262"/>
      <c r="F127" s="262"/>
      <c r="G127" s="262"/>
      <c r="H127" s="262"/>
      <c r="I127" s="262"/>
      <c r="J127" s="262"/>
      <c r="K127" s="262"/>
      <c r="L127" s="262"/>
      <c r="M127" s="262"/>
      <c r="N127" s="262"/>
      <c r="O127" s="262"/>
      <c r="P127" s="262"/>
      <c r="Q127" s="262"/>
      <c r="R127" s="262"/>
      <c r="S127" s="262"/>
      <c r="T127" s="262"/>
      <c r="U127" s="262"/>
      <c r="V127" s="262"/>
      <c r="W127" s="262"/>
      <c r="X127" s="262"/>
      <c r="Y127" s="262"/>
      <c r="Z127" s="262"/>
      <c r="AA127" s="262"/>
      <c r="AB127" s="262"/>
      <c r="AG127" s="58"/>
      <c r="AH127" s="50" t="s">
        <v>216</v>
      </c>
      <c r="AJ127" s="58"/>
      <c r="AK127" s="50" t="s">
        <v>217</v>
      </c>
      <c r="AM127" s="42"/>
    </row>
    <row r="128" spans="1:39" s="21" customFormat="1" ht="20.100000000000001" customHeight="1" x14ac:dyDescent="0.25">
      <c r="A128" s="40"/>
      <c r="B128" s="262"/>
      <c r="C128" s="262"/>
      <c r="D128" s="262"/>
      <c r="E128" s="262"/>
      <c r="F128" s="50"/>
      <c r="G128" s="23"/>
      <c r="H128" s="23"/>
      <c r="I128" s="23"/>
      <c r="J128" s="23"/>
      <c r="K128" s="23"/>
      <c r="L128" s="23"/>
      <c r="M128" s="23"/>
      <c r="N128" s="23"/>
      <c r="O128" s="23"/>
      <c r="P128" s="23"/>
      <c r="Q128" s="23"/>
      <c r="R128" s="23"/>
      <c r="S128" s="23"/>
      <c r="T128" s="23"/>
      <c r="U128" s="23"/>
      <c r="V128" s="23"/>
      <c r="W128" s="23"/>
      <c r="X128" s="23"/>
      <c r="Y128" s="23"/>
      <c r="Z128" s="23"/>
      <c r="AA128" s="23"/>
      <c r="AB128" s="23"/>
      <c r="AG128" s="23"/>
      <c r="AH128" s="23"/>
      <c r="AJ128" s="23"/>
      <c r="AK128" s="23"/>
      <c r="AM128" s="42"/>
    </row>
    <row r="129" spans="1:39" s="21" customFormat="1" ht="20.100000000000001" customHeight="1" x14ac:dyDescent="0.25">
      <c r="A129" s="40"/>
      <c r="B129" s="262" t="s">
        <v>220</v>
      </c>
      <c r="C129" s="262"/>
      <c r="D129" s="262"/>
      <c r="E129" s="262"/>
      <c r="F129" s="262"/>
      <c r="G129" s="262"/>
      <c r="H129" s="262"/>
      <c r="I129" s="262"/>
      <c r="J129" s="262"/>
      <c r="K129" s="262"/>
      <c r="L129" s="262"/>
      <c r="M129" s="262"/>
      <c r="N129" s="262"/>
      <c r="O129" s="262"/>
      <c r="P129" s="262"/>
      <c r="Q129" s="262"/>
      <c r="R129" s="262"/>
      <c r="S129" s="262"/>
      <c r="T129" s="262"/>
      <c r="U129" s="262"/>
      <c r="V129" s="262"/>
      <c r="W129" s="262"/>
      <c r="X129" s="262"/>
      <c r="Y129" s="262"/>
      <c r="Z129" s="262"/>
      <c r="AA129" s="262"/>
      <c r="AB129" s="262"/>
      <c r="AG129" s="58"/>
      <c r="AH129" s="50" t="s">
        <v>216</v>
      </c>
      <c r="AJ129" s="58"/>
      <c r="AK129" s="50" t="s">
        <v>217</v>
      </c>
      <c r="AM129" s="42"/>
    </row>
    <row r="130" spans="1:39" s="21" customFormat="1" ht="20.100000000000001" customHeight="1" x14ac:dyDescent="0.25">
      <c r="A130" s="40"/>
      <c r="B130" s="262"/>
      <c r="C130" s="262"/>
      <c r="D130" s="262"/>
      <c r="E130" s="262"/>
      <c r="F130" s="50"/>
      <c r="G130" s="23"/>
      <c r="H130" s="23"/>
      <c r="I130" s="23"/>
      <c r="J130" s="23"/>
      <c r="K130" s="23"/>
      <c r="L130" s="23"/>
      <c r="M130" s="23"/>
      <c r="N130" s="23"/>
      <c r="O130" s="23"/>
      <c r="P130" s="23"/>
      <c r="Q130" s="23"/>
      <c r="R130" s="23"/>
      <c r="S130" s="23"/>
      <c r="T130" s="23"/>
      <c r="U130" s="23"/>
      <c r="V130" s="23"/>
      <c r="W130" s="23"/>
      <c r="X130" s="23"/>
      <c r="Y130" s="23"/>
      <c r="Z130" s="23"/>
      <c r="AA130" s="23"/>
      <c r="AB130" s="23"/>
      <c r="AG130" s="23"/>
      <c r="AH130" s="23"/>
      <c r="AJ130" s="23"/>
      <c r="AK130" s="23"/>
      <c r="AM130" s="42"/>
    </row>
    <row r="131" spans="1:39" s="21" customFormat="1" ht="20.100000000000001" customHeight="1" x14ac:dyDescent="0.25">
      <c r="A131" s="40"/>
      <c r="B131" s="138" t="s">
        <v>221</v>
      </c>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G131" s="58"/>
      <c r="AH131" s="50" t="s">
        <v>216</v>
      </c>
      <c r="AJ131" s="58"/>
      <c r="AK131" s="50" t="s">
        <v>217</v>
      </c>
      <c r="AM131" s="42"/>
    </row>
    <row r="132" spans="1:39" s="21" customFormat="1" ht="20.100000000000001" customHeight="1" x14ac:dyDescent="0.25">
      <c r="A132" s="40"/>
      <c r="AM132" s="42"/>
    </row>
    <row r="133" spans="1:39" s="21" customFormat="1" ht="20.100000000000001" customHeight="1" x14ac:dyDescent="0.25">
      <c r="A133" s="40"/>
      <c r="B133" s="138" t="s">
        <v>222</v>
      </c>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M133" s="42"/>
    </row>
    <row r="134" spans="1:39" s="21" customFormat="1" ht="20.100000000000001" customHeight="1" x14ac:dyDescent="0.25">
      <c r="A134" s="40"/>
      <c r="B134" s="258"/>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M134" s="42"/>
    </row>
    <row r="135" spans="1:39" s="21" customFormat="1" ht="20.100000000000001" customHeight="1" x14ac:dyDescent="0.25">
      <c r="A135" s="40"/>
      <c r="B135" s="258"/>
      <c r="C135" s="258"/>
      <c r="D135" s="258"/>
      <c r="E135" s="258"/>
      <c r="F135" s="258"/>
      <c r="G135" s="258"/>
      <c r="H135" s="258"/>
      <c r="I135" s="258"/>
      <c r="J135" s="258"/>
      <c r="K135" s="258"/>
      <c r="L135" s="258"/>
      <c r="M135" s="258"/>
      <c r="N135" s="258"/>
      <c r="O135" s="258"/>
      <c r="P135" s="258"/>
      <c r="Q135" s="258"/>
      <c r="R135" s="258"/>
      <c r="S135" s="258"/>
      <c r="T135" s="258"/>
      <c r="U135" s="258"/>
      <c r="V135" s="258"/>
      <c r="W135" s="258"/>
      <c r="X135" s="258"/>
      <c r="Y135" s="258"/>
      <c r="Z135" s="258"/>
      <c r="AA135" s="258"/>
      <c r="AB135" s="258"/>
      <c r="AC135" s="258"/>
      <c r="AD135" s="258"/>
      <c r="AE135" s="258"/>
      <c r="AF135" s="258"/>
      <c r="AG135" s="258"/>
      <c r="AH135" s="258"/>
      <c r="AI135" s="258"/>
      <c r="AJ135" s="258"/>
      <c r="AK135" s="258"/>
      <c r="AM135" s="42"/>
    </row>
    <row r="136" spans="1:39" s="37" customFormat="1" ht="20.100000000000001" customHeight="1" x14ac:dyDescent="0.25">
      <c r="A136" s="40"/>
      <c r="B136" s="275"/>
      <c r="C136" s="275"/>
      <c r="D136" s="275"/>
      <c r="E136" s="275"/>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c r="AI136" s="275"/>
      <c r="AJ136" s="275"/>
      <c r="AK136" s="275"/>
      <c r="AL136" s="21"/>
      <c r="AM136" s="42"/>
    </row>
    <row r="137" spans="1:39" s="37" customFormat="1" ht="20.100000000000001" customHeight="1" thickBot="1" x14ac:dyDescent="0.3">
      <c r="A137" s="44"/>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46"/>
    </row>
    <row r="138" spans="1:39" s="37" customFormat="1" ht="20.100000000000001" customHeight="1" thickBot="1" x14ac:dyDescent="0.3">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row>
    <row r="139" spans="1:39" s="37" customFormat="1" ht="20.100000000000001" customHeight="1" thickBot="1" x14ac:dyDescent="0.3">
      <c r="A139" s="263" t="s">
        <v>223</v>
      </c>
      <c r="B139" s="264"/>
      <c r="C139" s="264"/>
      <c r="D139" s="264"/>
      <c r="E139" s="264"/>
      <c r="F139" s="264"/>
      <c r="G139" s="264"/>
      <c r="H139" s="264"/>
      <c r="I139" s="264"/>
      <c r="J139" s="264"/>
      <c r="K139" s="265"/>
      <c r="L139" s="266"/>
      <c r="M139" s="267"/>
      <c r="N139" s="267"/>
      <c r="O139" s="267"/>
      <c r="P139" s="267"/>
      <c r="Q139" s="267"/>
      <c r="R139" s="267"/>
      <c r="S139" s="267"/>
      <c r="T139" s="267"/>
      <c r="U139" s="267"/>
      <c r="V139" s="267"/>
      <c r="W139" s="267"/>
      <c r="X139" s="267"/>
      <c r="Y139" s="267"/>
      <c r="Z139" s="267"/>
      <c r="AA139" s="267"/>
      <c r="AB139" s="267"/>
      <c r="AC139" s="267"/>
      <c r="AD139" s="267"/>
      <c r="AE139" s="267"/>
      <c r="AF139" s="267"/>
      <c r="AG139" s="267"/>
      <c r="AH139" s="267"/>
      <c r="AI139" s="267"/>
      <c r="AJ139" s="267"/>
      <c r="AK139" s="267"/>
      <c r="AL139" s="267"/>
      <c r="AM139" s="268"/>
    </row>
    <row r="140" spans="1:39" s="37" customFormat="1" ht="20.100000000000001" customHeight="1" thickBot="1" x14ac:dyDescent="0.3">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row>
    <row r="141" spans="1:39" s="37" customFormat="1" ht="20.100000000000001" customHeight="1" thickBot="1" x14ac:dyDescent="0.3">
      <c r="A141" s="269" t="s">
        <v>240</v>
      </c>
      <c r="B141" s="270"/>
      <c r="C141" s="270"/>
      <c r="D141" s="270"/>
      <c r="E141" s="270"/>
      <c r="F141" s="270"/>
      <c r="G141" s="270"/>
      <c r="H141" s="270"/>
      <c r="I141" s="270"/>
      <c r="J141" s="270"/>
      <c r="K141" s="270"/>
      <c r="L141" s="270"/>
      <c r="M141" s="270"/>
      <c r="N141" s="270"/>
      <c r="O141" s="270"/>
      <c r="P141" s="270"/>
      <c r="Q141" s="271"/>
      <c r="R141" s="272" t="s">
        <v>241</v>
      </c>
      <c r="S141" s="273"/>
      <c r="T141" s="273"/>
      <c r="U141" s="273"/>
      <c r="V141" s="273"/>
      <c r="W141" s="273"/>
      <c r="X141" s="273"/>
      <c r="Y141" s="273"/>
      <c r="Z141" s="273"/>
      <c r="AA141" s="273"/>
      <c r="AB141" s="273"/>
      <c r="AC141" s="273"/>
      <c r="AD141" s="273"/>
      <c r="AE141" s="273"/>
      <c r="AF141" s="273"/>
      <c r="AG141" s="273"/>
      <c r="AH141" s="273"/>
      <c r="AI141" s="273"/>
      <c r="AJ141" s="273"/>
      <c r="AK141" s="273"/>
      <c r="AL141" s="273"/>
      <c r="AM141" s="274"/>
    </row>
    <row r="143" spans="1:39" ht="20.100000000000001" customHeight="1" x14ac:dyDescent="0.25">
      <c r="A143" s="258" t="s">
        <v>513</v>
      </c>
      <c r="B143" s="258"/>
      <c r="C143" s="258"/>
      <c r="D143" s="258"/>
      <c r="E143" s="258"/>
      <c r="F143" s="258"/>
      <c r="G143" s="258"/>
      <c r="H143" s="258"/>
      <c r="I143" s="258"/>
      <c r="J143" s="258"/>
      <c r="K143" s="258"/>
      <c r="L143" s="258"/>
      <c r="M143" s="258"/>
      <c r="N143" s="258"/>
      <c r="O143" s="258"/>
      <c r="P143" s="258"/>
      <c r="Q143" s="258"/>
      <c r="R143" s="258"/>
      <c r="S143" s="258"/>
      <c r="T143" s="258"/>
      <c r="U143" s="258"/>
      <c r="V143" s="258"/>
      <c r="W143" s="258"/>
      <c r="X143" s="258"/>
      <c r="Y143" s="258"/>
      <c r="Z143" s="258"/>
      <c r="AA143" s="258"/>
      <c r="AB143" s="258"/>
      <c r="AC143" s="258"/>
      <c r="AD143" s="258"/>
      <c r="AE143" s="258"/>
      <c r="AF143" s="258"/>
      <c r="AG143" s="258"/>
      <c r="AH143" s="258"/>
      <c r="AI143" s="258"/>
      <c r="AJ143" s="258"/>
      <c r="AK143" s="258"/>
      <c r="AL143" s="258"/>
      <c r="AM143" s="258"/>
    </row>
  </sheetData>
  <mergeCells count="89">
    <mergeCell ref="A95:AM95"/>
    <mergeCell ref="B97:J97"/>
    <mergeCell ref="B99:J105"/>
    <mergeCell ref="A107:AM107"/>
    <mergeCell ref="A115:AM115"/>
    <mergeCell ref="B91:J91"/>
    <mergeCell ref="L91:P91"/>
    <mergeCell ref="A79:AM79"/>
    <mergeCell ref="A85:AM85"/>
    <mergeCell ref="B87:P87"/>
    <mergeCell ref="T87:AH87"/>
    <mergeCell ref="B89:J89"/>
    <mergeCell ref="L89:P89"/>
    <mergeCell ref="T89:AB89"/>
    <mergeCell ref="AD89:AH89"/>
    <mergeCell ref="T91:AB93"/>
    <mergeCell ref="B93:J93"/>
    <mergeCell ref="L93:P93"/>
    <mergeCell ref="AD91:AH93"/>
    <mergeCell ref="B77:J77"/>
    <mergeCell ref="B69:J69"/>
    <mergeCell ref="A65:AM65"/>
    <mergeCell ref="B67:J67"/>
    <mergeCell ref="A73:AM73"/>
    <mergeCell ref="B75:J75"/>
    <mergeCell ref="B63:J63"/>
    <mergeCell ref="B51:J51"/>
    <mergeCell ref="B53:J53"/>
    <mergeCell ref="K51:O51"/>
    <mergeCell ref="Q51:W51"/>
    <mergeCell ref="B55:J55"/>
    <mergeCell ref="B57:J57"/>
    <mergeCell ref="B59:J59"/>
    <mergeCell ref="B35:H35"/>
    <mergeCell ref="A37:AM37"/>
    <mergeCell ref="A43:AM43"/>
    <mergeCell ref="A49:AM49"/>
    <mergeCell ref="B61:J61"/>
    <mergeCell ref="X51:AA51"/>
    <mergeCell ref="AC51:AI51"/>
    <mergeCell ref="AJ51:AL51"/>
    <mergeCell ref="B27:N27"/>
    <mergeCell ref="V27:AL27"/>
    <mergeCell ref="B22:K22"/>
    <mergeCell ref="B23:K23"/>
    <mergeCell ref="L22:AL22"/>
    <mergeCell ref="L23:AL23"/>
    <mergeCell ref="A25:AM25"/>
    <mergeCell ref="L11:AL11"/>
    <mergeCell ref="B12:K12"/>
    <mergeCell ref="L12:AL12"/>
    <mergeCell ref="B21:K21"/>
    <mergeCell ref="L21:AL21"/>
    <mergeCell ref="B15:K15"/>
    <mergeCell ref="L15:AL15"/>
    <mergeCell ref="B16:K16"/>
    <mergeCell ref="L16:AL16"/>
    <mergeCell ref="A1:AM1"/>
    <mergeCell ref="A2:AM2"/>
    <mergeCell ref="A4:AM4"/>
    <mergeCell ref="A6:AM6"/>
    <mergeCell ref="A19:AM19"/>
    <mergeCell ref="B9:K9"/>
    <mergeCell ref="L9:AL9"/>
    <mergeCell ref="B10:K10"/>
    <mergeCell ref="L10:AL10"/>
    <mergeCell ref="B8:K8"/>
    <mergeCell ref="L8:AL8"/>
    <mergeCell ref="B13:K13"/>
    <mergeCell ref="L13:AL13"/>
    <mergeCell ref="B14:K14"/>
    <mergeCell ref="L14:AL14"/>
    <mergeCell ref="B11:K11"/>
    <mergeCell ref="A143:AM143"/>
    <mergeCell ref="A121:AM121"/>
    <mergeCell ref="B123:AE123"/>
    <mergeCell ref="B125:AB125"/>
    <mergeCell ref="B126:E126"/>
    <mergeCell ref="B127:AB127"/>
    <mergeCell ref="A139:K139"/>
    <mergeCell ref="L139:AM139"/>
    <mergeCell ref="A141:Q141"/>
    <mergeCell ref="R141:AM141"/>
    <mergeCell ref="B128:E128"/>
    <mergeCell ref="B129:AB129"/>
    <mergeCell ref="B130:E130"/>
    <mergeCell ref="B131:AE131"/>
    <mergeCell ref="B133:AE133"/>
    <mergeCell ref="B134:AK136"/>
  </mergeCells>
  <conditionalFormatting sqref="G128:AB128 AG128:AH128 AJ128:AK128">
    <cfRule type="expression" dxfId="1" priority="2" stopIfTrue="1">
      <formula>IF(AND(#REF!="",#REF!="SIM"),TRUE,FALSE)</formula>
    </cfRule>
  </conditionalFormatting>
  <conditionalFormatting sqref="AG124:AH124 AJ124:AK124 G126:AB126 AG126:AH126 AJ126:AK126 G130:AB130 AG130:AH130 AJ130:AK130">
    <cfRule type="expression" dxfId="0" priority="1" stopIfTrue="1">
      <formula>IF(AND(#REF!="",#REF!="NÃO"),TRUE,FALSE)</formula>
    </cfRule>
  </conditionalFormatting>
  <dataValidations disablePrompts="1" count="2">
    <dataValidation type="date" allowBlank="1" showInputMessage="1" showErrorMessage="1" errorTitle="ATENÇÃO" error="Este campo aceita somente datas no formato DD/MM/AAAA._x000a_Não são aceitas datas futuras e datas anteriores a 180 dias." sqref="J38 J44" xr:uid="{FC63ADD1-BC37-496C-8333-8740A5422D90}">
      <formula1>TODAY()-180</formula1>
      <formula2>TODAY()+7</formula2>
    </dataValidation>
    <dataValidation type="whole" operator="greaterThanOrEqual" allowBlank="1" showInputMessage="1" showErrorMessage="1" errorTitle="ATENÇÃO" error="Campo aceita somente números." sqref="AC97 AC99 AC101 AC104" xr:uid="{AD5293D9-A107-4469-81FF-5F87D33C0615}">
      <formula1>0</formula1>
    </dataValidation>
  </dataValidations>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TERRENO E BENFEITORIAS</vt:lpstr>
      <vt:lpstr>VANTAGEM DA COISA FEITA</vt:lpstr>
      <vt:lpstr>DEPRECIAÇÃO</vt:lpstr>
      <vt:lpstr>LAUDO DE VISTORIA</vt:lpstr>
      <vt:lpstr>'LAUDO DE VISTORIA'!Area_de_impressao</vt:lpstr>
      <vt:lpstr>'TERRENO E BENFEITORIAS'!Area_de_impressao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Jesus de Oliveira</dc:creator>
  <cp:lastModifiedBy>Samuel Jesus de Oliveira</cp:lastModifiedBy>
  <cp:lastPrinted>2024-06-30T21:48:58Z</cp:lastPrinted>
  <dcterms:created xsi:type="dcterms:W3CDTF">2024-06-02T16:00:59Z</dcterms:created>
  <dcterms:modified xsi:type="dcterms:W3CDTF">2025-10-23T23:43:16Z</dcterms:modified>
</cp:coreProperties>
</file>