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
    </mc:Choice>
  </mc:AlternateContent>
  <xr:revisionPtr revIDLastSave="524" documentId="8_{CD677D20-23C7-466E-AEB4-6F24833564E2}" xr6:coauthVersionLast="47" xr6:coauthVersionMax="47" xr10:uidLastSave="{9D5163A2-361A-4031-B914-7A4C8D0750A3}"/>
  <bookViews>
    <workbookView xWindow="-28920" yWindow="-120" windowWidth="29040" windowHeight="15720" tabRatio="901" xr2:uid="{C3A22E73-4D52-4DA0-A647-BA53DE8F5818}"/>
  </bookViews>
  <sheets>
    <sheet name="TERRENO E BENFEITORIAS" sheetId="4" r:id="rId1"/>
    <sheet name="VANTAGEM DA COISA FEITA" sheetId="26" r:id="rId2"/>
    <sheet name="DEPRECIAÇÃO" sheetId="27" r:id="rId3"/>
    <sheet name="LAUDO DE VISTORIA" sheetId="24" r:id="rId4"/>
  </sheets>
  <definedNames>
    <definedName name="_xlnm._FilterDatabase" localSheetId="0" hidden="1">'TERRENO E BENFEITORIAS'!$C$22:$S$25</definedName>
    <definedName name="_xlnm.Print_Area" localSheetId="2">DEPRECIAÇÃO!$A$1:$J$340</definedName>
    <definedName name="_xlnm.Print_Area" localSheetId="3">'LAUDO DE VISTORIA'!$A$1:$AM$143</definedName>
    <definedName name="_xlnm.Print_Area" localSheetId="0">'TERRENO E BENFEITORIAS'!$A$1:$S$351</definedName>
    <definedName name="_xlnm.Print_Area" localSheetId="1">'VANTAGEM DA COISA FEITA'!$A$1:$R$20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6" i="4" l="1"/>
  <c r="N146" i="4" s="1"/>
  <c r="P154" i="4" l="1"/>
  <c r="O154" i="4"/>
  <c r="N154" i="4"/>
  <c r="M154" i="4"/>
  <c r="L154" i="4"/>
  <c r="K154" i="4"/>
  <c r="J154" i="4"/>
  <c r="P153" i="4"/>
  <c r="O153" i="4"/>
  <c r="N153" i="4"/>
  <c r="M153" i="4"/>
  <c r="L153" i="4"/>
  <c r="K153" i="4"/>
  <c r="J153" i="4"/>
  <c r="P152" i="4"/>
  <c r="O152" i="4"/>
  <c r="N152" i="4"/>
  <c r="M152" i="4"/>
  <c r="L152" i="4"/>
  <c r="K152" i="4"/>
  <c r="J152" i="4"/>
  <c r="N133" i="4"/>
  <c r="K146" i="4" s="1"/>
  <c r="N134" i="4"/>
  <c r="L146" i="4" s="1"/>
  <c r="N135" i="4"/>
  <c r="M146" i="4" s="1"/>
  <c r="N137" i="4"/>
  <c r="O146" i="4" s="1"/>
  <c r="N138" i="4"/>
  <c r="P146" i="4" s="1"/>
  <c r="N132" i="4"/>
  <c r="N140" i="4" l="1"/>
  <c r="J146" i="4"/>
  <c r="H203" i="4"/>
  <c r="H204" i="4"/>
  <c r="H202" i="4"/>
  <c r="H239" i="4"/>
  <c r="H240" i="4"/>
  <c r="H238" i="4"/>
  <c r="L378" i="4" l="1"/>
  <c r="X377" i="4"/>
  <c r="X378" i="4" l="1"/>
  <c r="X379" i="4" s="1" a="1"/>
  <c r="X379" i="4" s="1"/>
  <c r="M384" i="4" s="1"/>
  <c r="G362" i="4"/>
  <c r="G361" i="4"/>
  <c r="AA352" i="4"/>
  <c r="F340" i="4"/>
  <c r="M334" i="4"/>
  <c r="M369" i="4" s="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AN81" i="26"/>
  <c r="AQ80" i="26"/>
  <c r="AP80" i="26"/>
  <c r="AN78" i="26"/>
  <c r="AQ77" i="26"/>
  <c r="AN76" i="26"/>
  <c r="AN74" i="26"/>
  <c r="AQ73" i="26"/>
  <c r="AP73" i="26"/>
  <c r="AN73" i="26"/>
  <c r="AN71" i="26"/>
  <c r="AQ70" i="26"/>
  <c r="AP70" i="26"/>
  <c r="AN70" i="26"/>
  <c r="AN69" i="26"/>
  <c r="AN68" i="26"/>
  <c r="AQ66" i="26"/>
  <c r="AP66" i="26"/>
  <c r="AQ65" i="26"/>
  <c r="AN64" i="26"/>
  <c r="AQ63" i="26"/>
  <c r="AP63" i="26"/>
  <c r="AO63" i="26"/>
  <c r="AN63" i="26"/>
  <c r="AN62" i="26"/>
  <c r="AN61" i="26"/>
  <c r="AQ60" i="26"/>
  <c r="AP60" i="26"/>
  <c r="AQ59" i="26"/>
  <c r="AP59" i="26"/>
  <c r="AN59" i="26"/>
  <c r="AN58" i="26"/>
  <c r="AN57" i="26"/>
  <c r="AQ56" i="26"/>
  <c r="AP56" i="26"/>
  <c r="AN56" i="26"/>
  <c r="AN54" i="26"/>
  <c r="AQ53" i="26"/>
  <c r="AP53" i="26"/>
  <c r="AN51" i="26"/>
  <c r="AN50" i="26"/>
  <c r="AP49" i="26"/>
  <c r="AN47" i="26"/>
  <c r="AP46" i="26"/>
  <c r="AN44" i="26"/>
  <c r="AM44" i="26"/>
  <c r="AM45" i="26" s="1"/>
  <c r="AM46" i="26" s="1"/>
  <c r="AM47" i="26" s="1"/>
  <c r="AM48" i="26" s="1"/>
  <c r="AM49" i="26" s="1"/>
  <c r="AM50" i="26" s="1"/>
  <c r="AM51" i="26" s="1"/>
  <c r="AM52" i="26" s="1"/>
  <c r="AM53" i="26" s="1"/>
  <c r="AM54" i="26" s="1"/>
  <c r="AM55" i="26" s="1"/>
  <c r="AM56" i="26" s="1"/>
  <c r="AM57" i="26" s="1"/>
  <c r="AM58" i="26" s="1"/>
  <c r="AM59" i="26" s="1"/>
  <c r="AM60" i="26" s="1"/>
  <c r="AM61" i="26" s="1"/>
  <c r="AM62" i="26" s="1"/>
  <c r="AM63" i="26" s="1"/>
  <c r="AM64" i="26" s="1"/>
  <c r="AM65" i="26" s="1"/>
  <c r="AM66" i="26" s="1"/>
  <c r="AM67" i="26" s="1"/>
  <c r="AM68" i="26" s="1"/>
  <c r="AM69" i="26" s="1"/>
  <c r="AM70" i="26" s="1"/>
  <c r="AM71" i="26" s="1"/>
  <c r="AM72" i="26" s="1"/>
  <c r="AM73" i="26" s="1"/>
  <c r="AM74" i="26" s="1"/>
  <c r="AM75" i="26" s="1"/>
  <c r="AM76" i="26" s="1"/>
  <c r="AM77" i="26" s="1"/>
  <c r="AM78" i="26" s="1"/>
  <c r="AM79" i="26" s="1"/>
  <c r="AM80" i="26" s="1"/>
  <c r="AM81" i="26" s="1"/>
  <c r="AQ42" i="26"/>
  <c r="BB41" i="26"/>
  <c r="AQ41" i="26" s="1"/>
  <c r="AZ41" i="26"/>
  <c r="AP41" i="26" s="1"/>
  <c r="AX41" i="26"/>
  <c r="AV41" i="26"/>
  <c r="AO41" i="26"/>
  <c r="AN41" i="26"/>
  <c r="AN52" i="26" s="1"/>
  <c r="AM41" i="26"/>
  <c r="AM42" i="26" s="1"/>
  <c r="AM43" i="26" s="1"/>
  <c r="BB40" i="26"/>
  <c r="AQ40" i="26" s="1"/>
  <c r="AZ40" i="26"/>
  <c r="AX40" i="26"/>
  <c r="AO40" i="26" s="1"/>
  <c r="AV40" i="26"/>
  <c r="AN40" i="26" s="1"/>
  <c r="AP40" i="26"/>
  <c r="AM40" i="26"/>
  <c r="BB39" i="26"/>
  <c r="AQ39" i="26" s="1"/>
  <c r="AZ39" i="26"/>
  <c r="AP39" i="26" s="1"/>
  <c r="AX39" i="26"/>
  <c r="AO39" i="26" s="1"/>
  <c r="AV39" i="26"/>
  <c r="AN39" i="26" s="1"/>
  <c r="AM39" i="26"/>
  <c r="BB38" i="26"/>
  <c r="AZ38" i="26"/>
  <c r="AX38" i="26"/>
  <c r="AV38" i="26"/>
  <c r="AN38" i="26" s="1"/>
  <c r="AQ38" i="26"/>
  <c r="AP38" i="26"/>
  <c r="AO38" i="26"/>
  <c r="AM38" i="26"/>
  <c r="BB37" i="26"/>
  <c r="AQ37" i="26" s="1"/>
  <c r="AZ37" i="26"/>
  <c r="AP37" i="26" s="1"/>
  <c r="AX37" i="26"/>
  <c r="AV37" i="26"/>
  <c r="AO37" i="26"/>
  <c r="AN37" i="26"/>
  <c r="AM37" i="26"/>
  <c r="BB36" i="26"/>
  <c r="AQ36" i="26" s="1"/>
  <c r="AZ36" i="26"/>
  <c r="AP36" i="26" s="1"/>
  <c r="AX36" i="26"/>
  <c r="AO36" i="26" s="1"/>
  <c r="AV36" i="26"/>
  <c r="AN36" i="26" s="1"/>
  <c r="AM36" i="26"/>
  <c r="BB35" i="26"/>
  <c r="AZ35" i="26"/>
  <c r="AX35" i="26"/>
  <c r="AV35" i="26"/>
  <c r="AN35" i="26" s="1"/>
  <c r="AQ35" i="26"/>
  <c r="AP35" i="26"/>
  <c r="AO35" i="26"/>
  <c r="AM35" i="26"/>
  <c r="BB34" i="26"/>
  <c r="AZ34" i="26"/>
  <c r="AX34" i="26"/>
  <c r="AV34" i="26"/>
  <c r="AQ34" i="26"/>
  <c r="AP34" i="26"/>
  <c r="AO34" i="26"/>
  <c r="AN34" i="26"/>
  <c r="AM34" i="26"/>
  <c r="BB33" i="26"/>
  <c r="AQ33" i="26" s="1"/>
  <c r="AZ33" i="26"/>
  <c r="AP33" i="26" s="1"/>
  <c r="AX33" i="26"/>
  <c r="AO33" i="26" s="1"/>
  <c r="AV33" i="26"/>
  <c r="AN33" i="26"/>
  <c r="AM33" i="26"/>
  <c r="BB32" i="26"/>
  <c r="AQ32" i="26" s="1"/>
  <c r="AZ32" i="26"/>
  <c r="AP32" i="26" s="1"/>
  <c r="AX32" i="26"/>
  <c r="AO32" i="26" s="1"/>
  <c r="AW32" i="26"/>
  <c r="AY32" i="26" s="1"/>
  <c r="BA32" i="26" s="1"/>
  <c r="AV32" i="26"/>
  <c r="AN32" i="26"/>
  <c r="AM32" i="26"/>
  <c r="BB31" i="26"/>
  <c r="AZ31" i="26"/>
  <c r="AX31" i="26"/>
  <c r="AO31" i="26" s="1"/>
  <c r="AV31" i="26"/>
  <c r="AN31" i="26" s="1"/>
  <c r="AQ31" i="26"/>
  <c r="AP31" i="26"/>
  <c r="AM31" i="26"/>
  <c r="BB30" i="26"/>
  <c r="AQ30" i="26" s="1"/>
  <c r="AZ30" i="26"/>
  <c r="AP30" i="26" s="1"/>
  <c r="AX30" i="26"/>
  <c r="AO30" i="26" s="1"/>
  <c r="AV30" i="26"/>
  <c r="AN30" i="26" s="1"/>
  <c r="AM30" i="26"/>
  <c r="BB29" i="26"/>
  <c r="AZ29" i="26"/>
  <c r="AX29" i="26"/>
  <c r="AV29" i="26"/>
  <c r="AN29" i="26" s="1"/>
  <c r="AQ29" i="26"/>
  <c r="AP29" i="26"/>
  <c r="AO29" i="26"/>
  <c r="AM29" i="26"/>
  <c r="BB28" i="26"/>
  <c r="AQ28" i="26" s="1"/>
  <c r="AZ28" i="26"/>
  <c r="AP28" i="26" s="1"/>
  <c r="AX28" i="26"/>
  <c r="AV28" i="26"/>
  <c r="AO28" i="26"/>
  <c r="AN28" i="26"/>
  <c r="AM28" i="26"/>
  <c r="BB27" i="26"/>
  <c r="AQ27" i="26" s="1"/>
  <c r="AZ27" i="26"/>
  <c r="AP27" i="26" s="1"/>
  <c r="AX27" i="26"/>
  <c r="AO27" i="26" s="1"/>
  <c r="AV27" i="26"/>
  <c r="AN27" i="26" s="1"/>
  <c r="AM27" i="26"/>
  <c r="BB26" i="26"/>
  <c r="AZ26" i="26"/>
  <c r="AP26" i="26" s="1"/>
  <c r="AX26" i="26"/>
  <c r="AO26" i="26" s="1"/>
  <c r="AV26" i="26"/>
  <c r="AQ26" i="26"/>
  <c r="AN26" i="26"/>
  <c r="AM26" i="26"/>
  <c r="BB25" i="26"/>
  <c r="AZ25" i="26"/>
  <c r="AX25" i="26"/>
  <c r="AV25" i="26"/>
  <c r="AQ25" i="26"/>
  <c r="AP25" i="26"/>
  <c r="AO25" i="26"/>
  <c r="AN25" i="26"/>
  <c r="AM25" i="26"/>
  <c r="BB24" i="26"/>
  <c r="AQ24" i="26" s="1"/>
  <c r="AZ24" i="26"/>
  <c r="AP24" i="26" s="1"/>
  <c r="AX24" i="26"/>
  <c r="AV24" i="26"/>
  <c r="AO24" i="26"/>
  <c r="AN24" i="26"/>
  <c r="AM24" i="26"/>
  <c r="BB23" i="26"/>
  <c r="AQ23" i="26" s="1"/>
  <c r="AZ23" i="26"/>
  <c r="AP23" i="26" s="1"/>
  <c r="AX23" i="26"/>
  <c r="AO23" i="26" s="1"/>
  <c r="AV23" i="26"/>
  <c r="AN23" i="26" s="1"/>
  <c r="AM23" i="26"/>
  <c r="BB22" i="26"/>
  <c r="AZ22" i="26"/>
  <c r="AX22" i="26"/>
  <c r="AV22" i="26"/>
  <c r="AQ22" i="26"/>
  <c r="AP22" i="26"/>
  <c r="AO22" i="26"/>
  <c r="AN22" i="26"/>
  <c r="AM22" i="26"/>
  <c r="BB21" i="26"/>
  <c r="AZ21" i="26"/>
  <c r="AX21" i="26"/>
  <c r="AV21" i="26"/>
  <c r="AQ21" i="26"/>
  <c r="AP21" i="26"/>
  <c r="AO21" i="26"/>
  <c r="AN21" i="26"/>
  <c r="AM21" i="26"/>
  <c r="BB20" i="26"/>
  <c r="AQ20" i="26" s="1"/>
  <c r="AZ20" i="26"/>
  <c r="AP20" i="26" s="1"/>
  <c r="AX20" i="26"/>
  <c r="AO20" i="26" s="1"/>
  <c r="AV20" i="26"/>
  <c r="AN20" i="26"/>
  <c r="AM20" i="26"/>
  <c r="BB19" i="26"/>
  <c r="AZ19" i="26"/>
  <c r="AX19" i="26"/>
  <c r="AO19" i="26" s="1"/>
  <c r="AV19" i="26"/>
  <c r="AN19" i="26" s="1"/>
  <c r="AQ19" i="26"/>
  <c r="AP19" i="26"/>
  <c r="AM19" i="26"/>
  <c r="BB18" i="26"/>
  <c r="AQ18" i="26" s="1"/>
  <c r="AZ18" i="26"/>
  <c r="AP18" i="26" s="1"/>
  <c r="AX18" i="26"/>
  <c r="AO18" i="26" s="1"/>
  <c r="AV18" i="26"/>
  <c r="AN18" i="26" s="1"/>
  <c r="AM18" i="26"/>
  <c r="BB17" i="26"/>
  <c r="AZ17" i="26"/>
  <c r="AX17" i="26"/>
  <c r="AV17" i="26"/>
  <c r="AN17" i="26" s="1"/>
  <c r="AQ17" i="26"/>
  <c r="AP17" i="26"/>
  <c r="AO17" i="26"/>
  <c r="AM17" i="26"/>
  <c r="BB16" i="26"/>
  <c r="AQ16" i="26" s="1"/>
  <c r="AZ16" i="26"/>
  <c r="AP16" i="26" s="1"/>
  <c r="AX16" i="26"/>
  <c r="AV16" i="26"/>
  <c r="AO16" i="26"/>
  <c r="AN16" i="26"/>
  <c r="AM16" i="26"/>
  <c r="BB15" i="26"/>
  <c r="AQ15" i="26" s="1"/>
  <c r="AZ15" i="26"/>
  <c r="AP15" i="26" s="1"/>
  <c r="AX15" i="26"/>
  <c r="AO15" i="26" s="1"/>
  <c r="AV15" i="26"/>
  <c r="AN15" i="26" s="1"/>
  <c r="AM15" i="26"/>
  <c r="BB14" i="26"/>
  <c r="AZ14" i="26"/>
  <c r="AP14" i="26" s="1"/>
  <c r="AX14" i="26"/>
  <c r="AO14" i="26" s="1"/>
  <c r="AV14" i="26"/>
  <c r="AQ14" i="26"/>
  <c r="AN14" i="26"/>
  <c r="AM14" i="26"/>
  <c r="BB13" i="26"/>
  <c r="AZ13" i="26"/>
  <c r="AX13" i="26"/>
  <c r="AV13" i="26"/>
  <c r="AQ13" i="26"/>
  <c r="AP13" i="26"/>
  <c r="AO13" i="26"/>
  <c r="AN13" i="26"/>
  <c r="AM13" i="26"/>
  <c r="BB12" i="26"/>
  <c r="AQ12" i="26" s="1"/>
  <c r="AZ12" i="26"/>
  <c r="AP12" i="26" s="1"/>
  <c r="AX12" i="26"/>
  <c r="AV12" i="26"/>
  <c r="AO12" i="26"/>
  <c r="AN12" i="26"/>
  <c r="AM12" i="26"/>
  <c r="C123" i="27" l="1"/>
  <c r="C194" i="27" s="1"/>
  <c r="C261" i="27" s="1"/>
  <c r="A194" i="27"/>
  <c r="J364" i="4"/>
  <c r="J365" i="4" s="1"/>
  <c r="J366" i="4" s="1"/>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AO70" i="26"/>
  <c r="AO72" i="26"/>
  <c r="AO60" i="26"/>
  <c r="AO48" i="26"/>
  <c r="AO79" i="26"/>
  <c r="AO67" i="26"/>
  <c r="AO55" i="26"/>
  <c r="AO43" i="26"/>
  <c r="AO74" i="26"/>
  <c r="AO62" i="26"/>
  <c r="AO50" i="26"/>
  <c r="AO81" i="26"/>
  <c r="AO77" i="26"/>
  <c r="AO73" i="26"/>
  <c r="AO69" i="26"/>
  <c r="AO59" i="26"/>
  <c r="AO56" i="26"/>
  <c r="AO53" i="26"/>
  <c r="AO76" i="26"/>
  <c r="AO52" i="26"/>
  <c r="AO49" i="26"/>
  <c r="AO46" i="26"/>
  <c r="AO80" i="26"/>
  <c r="AO65" i="26"/>
  <c r="AO45" i="26"/>
  <c r="AO42" i="26"/>
  <c r="AO68" i="26"/>
  <c r="AO64" i="26"/>
  <c r="AO61" i="26"/>
  <c r="AO58" i="26"/>
  <c r="AO75" i="26"/>
  <c r="AO71" i="26"/>
  <c r="AO57" i="26"/>
  <c r="AO54" i="26"/>
  <c r="AO51" i="26"/>
  <c r="AO78" i="26"/>
  <c r="AO47" i="26"/>
  <c r="AO44" i="26"/>
  <c r="AO66" i="26"/>
  <c r="AP77" i="26"/>
  <c r="AP65" i="26"/>
  <c r="AP79" i="26"/>
  <c r="AP67" i="26"/>
  <c r="AP55" i="26"/>
  <c r="AP43" i="26"/>
  <c r="AP74" i="26"/>
  <c r="AP62" i="26"/>
  <c r="AP50" i="26"/>
  <c r="AP81" i="26"/>
  <c r="AP69" i="26"/>
  <c r="AP57" i="26"/>
  <c r="AP45" i="26"/>
  <c r="AP76" i="26"/>
  <c r="AP44" i="26"/>
  <c r="AP47" i="26"/>
  <c r="AQ72" i="26"/>
  <c r="AQ74" i="26"/>
  <c r="AQ62" i="26"/>
  <c r="AQ50" i="26"/>
  <c r="AQ81" i="26"/>
  <c r="AQ69" i="26"/>
  <c r="AQ57" i="26"/>
  <c r="AQ45" i="26"/>
  <c r="AQ76" i="26"/>
  <c r="AQ64" i="26"/>
  <c r="AQ52" i="26"/>
  <c r="AQ44" i="26"/>
  <c r="AQ47" i="26"/>
  <c r="AQ67" i="26"/>
  <c r="AP78" i="26"/>
  <c r="AP48" i="26"/>
  <c r="AP51" i="26"/>
  <c r="AP54" i="26"/>
  <c r="AQ78" i="26"/>
  <c r="AN42" i="26"/>
  <c r="AN45" i="26"/>
  <c r="AQ48" i="26"/>
  <c r="AQ51" i="26"/>
  <c r="AQ54" i="26"/>
  <c r="AP71" i="26"/>
  <c r="AP75" i="26"/>
  <c r="AQ79" i="26"/>
  <c r="AP58" i="26"/>
  <c r="AP61" i="26"/>
  <c r="AP64" i="26"/>
  <c r="AP68" i="26"/>
  <c r="AQ71" i="26"/>
  <c r="AQ75" i="26"/>
  <c r="AN80" i="26"/>
  <c r="AP42" i="26"/>
  <c r="AN46" i="26"/>
  <c r="AN49" i="26"/>
  <c r="AQ55" i="26"/>
  <c r="AQ58" i="26"/>
  <c r="AQ61" i="26"/>
  <c r="AQ68" i="26"/>
  <c r="AP72" i="26"/>
  <c r="AP52" i="26"/>
  <c r="AN75" i="26"/>
  <c r="AN77" i="26"/>
  <c r="AN65" i="26"/>
  <c r="AN53" i="26"/>
  <c r="AN72" i="26"/>
  <c r="AN60" i="26"/>
  <c r="AN48" i="26"/>
  <c r="AN79" i="26"/>
  <c r="AN67" i="26"/>
  <c r="AN55" i="26"/>
  <c r="AN43" i="26"/>
  <c r="AQ43" i="26"/>
  <c r="AQ46" i="26"/>
  <c r="AQ49" i="26"/>
  <c r="AN66" i="26"/>
  <c r="M370" i="4" l="1"/>
  <c r="M372" i="4" s="1"/>
  <c r="M381" i="4" s="1"/>
  <c r="Y386" i="4" s="1"/>
  <c r="A125" i="27"/>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23" i="4" l="1"/>
  <c r="K140" i="4" l="1"/>
  <c r="K49" i="4"/>
  <c r="Q153" i="4"/>
  <c r="Q154" i="4"/>
  <c r="Q152" i="4"/>
  <c r="Q133" i="4" l="1"/>
  <c r="Q134" i="4"/>
  <c r="Q135" i="4"/>
  <c r="Q136" i="4"/>
  <c r="Q137" i="4"/>
  <c r="Q138" i="4"/>
  <c r="Q132" i="4"/>
  <c r="Q146" i="4" l="1"/>
  <c r="Q142" i="4"/>
  <c r="I159" i="4" l="1"/>
  <c r="I158" i="4"/>
  <c r="I157" i="4"/>
  <c r="F293" i="4"/>
  <c r="Z276" i="4" l="1"/>
  <c r="Z277" i="4"/>
  <c r="Z275" i="4"/>
  <c r="R239" i="4"/>
  <c r="R238" i="4" a="1"/>
  <c r="R238" i="4" s="1"/>
  <c r="Y241" i="4" l="1"/>
  <c r="Y242" i="4" s="1"/>
  <c r="R240" i="4" s="1"/>
  <c r="R202" i="4" l="1"/>
  <c r="I23" i="4"/>
  <c r="H169" i="4"/>
  <c r="H170" i="4"/>
  <c r="H171" i="4"/>
  <c r="F158" i="4"/>
  <c r="F159" i="4"/>
  <c r="F157" i="4"/>
  <c r="C151" i="4"/>
  <c r="C156" i="4" s="1"/>
  <c r="K46" i="4"/>
  <c r="M49" i="4" s="1"/>
  <c r="K50" i="4"/>
  <c r="K51" i="4"/>
  <c r="C48" i="4"/>
  <c r="O49" i="4" l="1"/>
  <c r="M51" i="4"/>
  <c r="O51" i="4" s="1"/>
  <c r="M50" i="4"/>
  <c r="O50" i="4" s="1"/>
  <c r="L157" i="4" l="1"/>
  <c r="L158" i="4"/>
  <c r="L159" i="4"/>
  <c r="O24" i="4" l="1"/>
  <c r="O25" i="4"/>
  <c r="I24" i="4"/>
  <c r="I25" i="4"/>
  <c r="Q25" i="4" l="1"/>
  <c r="C51" i="4" s="1"/>
  <c r="Q51" i="4" s="1"/>
  <c r="C154" i="4" s="1"/>
  <c r="C159" i="4" s="1"/>
  <c r="O159" i="4" s="1"/>
  <c r="Q24" i="4"/>
  <c r="C50" i="4" s="1"/>
  <c r="Q50" i="4" s="1"/>
  <c r="C153" i="4" s="1"/>
  <c r="C158" i="4" s="1"/>
  <c r="O158" i="4" s="1"/>
  <c r="Q23" i="4"/>
  <c r="C239" i="4" l="1"/>
  <c r="C203" i="4"/>
  <c r="C240" i="4"/>
  <c r="C204" i="4"/>
  <c r="C170" i="4"/>
  <c r="C171" i="4"/>
  <c r="C49" i="4"/>
  <c r="Q49" i="4" s="1"/>
  <c r="C152" i="4" s="1"/>
  <c r="C157" i="4" s="1"/>
  <c r="O157" i="4" s="1"/>
  <c r="Q28" i="4"/>
  <c r="Q27" i="4"/>
  <c r="C238" i="4" l="1"/>
  <c r="C202" i="4"/>
  <c r="Q204" i="4" s="1"/>
  <c r="C169" i="4"/>
  <c r="Q53" i="4"/>
  <c r="Q54" i="4"/>
  <c r="Q161" i="4"/>
  <c r="Q162" i="4"/>
  <c r="Q29" i="4"/>
  <c r="Q174" i="4" l="1"/>
  <c r="Q170" i="4"/>
  <c r="Q173" i="4"/>
  <c r="Q179" i="4"/>
  <c r="L275" i="4" s="1"/>
  <c r="AB275" i="4" s="1"/>
  <c r="Q210" i="4"/>
  <c r="Q209" i="4"/>
  <c r="Q205" i="4"/>
  <c r="L276" i="4" s="1"/>
  <c r="AB276" i="4" s="1"/>
  <c r="Q249" i="4"/>
  <c r="Q248" i="4"/>
  <c r="Q243" i="4"/>
  <c r="Q244" i="4"/>
  <c r="Q55" i="4"/>
  <c r="Q163" i="4"/>
  <c r="Z186" i="4" l="1"/>
  <c r="Z184" i="4"/>
  <c r="Z221" i="4"/>
  <c r="Z220" i="4"/>
  <c r="Z219" i="4"/>
  <c r="Z185" i="4"/>
  <c r="Q215" i="4"/>
  <c r="H276" i="4"/>
  <c r="AA276" i="4" s="1"/>
  <c r="H275" i="4"/>
  <c r="AA275" i="4" s="1"/>
  <c r="Q216" i="4"/>
  <c r="P276" i="4" s="1"/>
  <c r="Y276" i="4" s="1"/>
  <c r="Q207" i="4"/>
  <c r="Q208" i="4"/>
  <c r="Q172" i="4"/>
  <c r="Q171" i="4"/>
  <c r="Q180" i="4"/>
  <c r="P275" i="4" s="1"/>
  <c r="Y184" i="4" l="1"/>
  <c r="Y185" i="4"/>
  <c r="Y186" i="4"/>
  <c r="X186" i="4"/>
  <c r="X185" i="4"/>
  <c r="X184" i="4"/>
  <c r="X219" i="4"/>
  <c r="X220" i="4"/>
  <c r="X221" i="4"/>
  <c r="Y220" i="4"/>
  <c r="Y221" i="4"/>
  <c r="Y219" i="4"/>
  <c r="AE204" i="4"/>
  <c r="AE205" i="4"/>
  <c r="AE206" i="4"/>
  <c r="AE207" i="4"/>
  <c r="AE202" i="4"/>
  <c r="AE203" i="4"/>
  <c r="AE208" i="4"/>
  <c r="Q212" i="4" a="1"/>
  <c r="Q212" i="4" s="1"/>
  <c r="Y212" i="4" s="1"/>
  <c r="Q176" i="4" a="1"/>
  <c r="Q176" i="4" s="1"/>
  <c r="Y176" i="4" s="1"/>
  <c r="Y275" i="4"/>
  <c r="Q177" i="4" l="1"/>
  <c r="O176" i="4"/>
  <c r="Q213" i="4"/>
  <c r="O212" i="4"/>
  <c r="Z259" i="4" l="1"/>
  <c r="Z258" i="4"/>
  <c r="Z260" i="4"/>
  <c r="H277" i="4"/>
  <c r="AA277" i="4" s="1"/>
  <c r="Q247" i="4"/>
  <c r="Q246" i="4"/>
  <c r="Q255" i="4"/>
  <c r="P277" i="4" s="1"/>
  <c r="Q254" i="4"/>
  <c r="L277" i="4" s="1"/>
  <c r="AB277" i="4" s="1"/>
  <c r="Y260" i="4" l="1"/>
  <c r="Y258" i="4"/>
  <c r="Y259" i="4"/>
  <c r="X259" i="4"/>
  <c r="X260" i="4"/>
  <c r="X258" i="4"/>
  <c r="Y277" i="4"/>
  <c r="H279" i="4"/>
  <c r="H282" i="4" s="1"/>
  <c r="F290" i="4" s="1"/>
  <c r="Q251" i="4" a="1"/>
  <c r="Q251" i="4" s="1"/>
  <c r="Y251" i="4" s="1"/>
  <c r="H281" i="4" l="1"/>
  <c r="F289" i="4" s="1"/>
  <c r="H280" i="4"/>
  <c r="O251" i="4"/>
  <c r="Q252" i="4"/>
  <c r="N318" i="4" l="1"/>
  <c r="N319" i="4" s="1"/>
  <c r="M380" i="4" s="1"/>
  <c r="F299" i="4"/>
  <c r="F298" i="4"/>
  <c r="P299" i="4"/>
  <c r="Y385" i="4" l="1"/>
  <c r="M383" i="4"/>
  <c r="M386" i="4" s="1"/>
  <c r="M408" i="4" s="1"/>
  <c r="M405" i="4" s="1"/>
  <c r="M406" i="4" s="1"/>
  <c r="T404" i="4" s="1"/>
  <c r="P298" i="4"/>
  <c r="P300" i="4" s="1"/>
  <c r="A302" i="4" s="1" a="1"/>
  <c r="A302" i="4" s="1"/>
  <c r="X386" i="4" l="1"/>
  <c r="X385"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<sst xmlns="http://schemas.openxmlformats.org/spreadsheetml/2006/main" count="694" uniqueCount="505">
  <si>
    <t>Topografia</t>
  </si>
  <si>
    <t>Pavimentação</t>
  </si>
  <si>
    <t>Metrô</t>
  </si>
  <si>
    <t>Situação:</t>
  </si>
  <si>
    <t>Formato:</t>
  </si>
  <si>
    <t>Testada:</t>
  </si>
  <si>
    <t>Fração ideal:</t>
  </si>
  <si>
    <t>Regular</t>
  </si>
  <si>
    <t>Ocupação:</t>
  </si>
  <si>
    <t>Playground</t>
  </si>
  <si>
    <t>Interfone</t>
  </si>
  <si>
    <t>Quadra</t>
  </si>
  <si>
    <t>Sauna</t>
  </si>
  <si>
    <t>Churrasqueira</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</si>
  <si>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</si>
  <si>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</si>
  <si>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</si>
  <si>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</si>
  <si>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</si>
  <si>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</si>
  <si>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</si>
  <si>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</si>
  <si>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</si>
  <si>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</si>
  <si>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</si>
  <si>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</si>
  <si>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</si>
  <si>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</si>
  <si>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</si>
  <si>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</si>
  <si>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</si>
  <si>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</si>
  <si>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</si>
  <si>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</si>
  <si>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</si>
  <si>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</si>
  <si>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</si>
  <si>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</si>
  <si>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</si>
  <si>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</si>
  <si>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</si>
  <si>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</si>
  <si>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</si>
  <si>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</si>
  <si>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</si>
  <si>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</si>
  <si>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</si>
  <si>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</si>
  <si>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</si>
  <si>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</si>
  <si>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</si>
  <si>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</si>
  <si>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</si>
  <si>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</si>
  <si>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</si>
  <si>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</si>
  <si>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</si>
  <si>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</si>
  <si>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</si>
  <si>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</si>
  <si>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</si>
  <si>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</si>
  <si>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</si>
  <si>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</si>
  <si>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</si>
  <si>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condomínio/loteamento fechado</t>
  </si>
  <si>
    <t>isolada</t>
  </si>
  <si>
    <t>regular</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</si>
  <si>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</si>
  <si>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</si>
  <si>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</si>
  <si>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</si>
  <si>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</si>
  <si>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</si>
  <si>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</si>
  <si>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</si>
  <si>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</si>
  <si>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</si>
  <si>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</si>
  <si>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</si>
  <si>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</si>
  <si>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</si>
  <si>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</si>
  <si>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</si>
  <si>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</si>
  <si>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</si>
  <si>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</si>
  <si>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</si>
  <si>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</si>
  <si>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</si>
  <si>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</si>
  <si>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</si>
  <si>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</si>
  <si>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r>
      <rPr>
        <b/>
        <sz val="10"/>
        <rFont val="Arial Nova"/>
        <family val="2"/>
      </rPr>
      <t>NBR 14653-2:2011. Avaliação de bens. Parte 2: Imóveis urbanos.
Item 9.2.3</t>
    </r>
    <r>
      <rPr>
        <sz val="10"/>
        <rFont val="Arial Nova"/>
        <family val="2"/>
      </rPr>
      <t xml:space="preserve"> O grau de precisão deve estar conforme a Tabela 5.</t>
    </r>
  </si>
  <si>
    <r>
      <t>F</t>
    </r>
    <r>
      <rPr>
        <vertAlign val="subscript"/>
        <sz val="10"/>
        <rFont val="Arial Nova"/>
        <family val="2"/>
      </rPr>
      <t>f</t>
    </r>
  </si>
  <si>
    <r>
      <t>F</t>
    </r>
    <r>
      <rPr>
        <vertAlign val="subscript"/>
        <sz val="10"/>
        <rFont val="Arial Nova"/>
        <family val="2"/>
      </rPr>
      <t>t</t>
    </r>
  </si>
  <si>
    <r>
      <t>F</t>
    </r>
    <r>
      <rPr>
        <vertAlign val="subscript"/>
        <sz val="10"/>
        <rFont val="Arial Nova"/>
        <family val="2"/>
      </rPr>
      <t>cs</t>
    </r>
  </si>
  <si>
    <r>
      <t>F</t>
    </r>
    <r>
      <rPr>
        <vertAlign val="subscript"/>
        <sz val="10"/>
        <rFont val="Arial Nova"/>
        <family val="2"/>
      </rPr>
      <t>p</t>
    </r>
  </si>
  <si>
    <r>
      <t>F</t>
    </r>
    <r>
      <rPr>
        <vertAlign val="subscript"/>
        <sz val="10"/>
        <rFont val="Arial Nova"/>
        <family val="2"/>
      </rPr>
      <t>e</t>
    </r>
  </si>
  <si>
    <r>
      <t>M</t>
    </r>
    <r>
      <rPr>
        <vertAlign val="subscript"/>
        <sz val="10"/>
        <rFont val="Arial Nova"/>
        <family val="2"/>
      </rPr>
      <t>p1</t>
    </r>
  </si>
  <si>
    <r>
      <t>M</t>
    </r>
    <r>
      <rPr>
        <vertAlign val="subscript"/>
        <sz val="10"/>
        <rFont val="Arial Nova"/>
        <family val="2"/>
      </rPr>
      <t>p2</t>
    </r>
  </si>
  <si>
    <r>
      <t>M</t>
    </r>
    <r>
      <rPr>
        <vertAlign val="subscript"/>
        <sz val="10"/>
        <rFont val="Arial Nova"/>
        <family val="2"/>
      </rPr>
      <t>p3</t>
    </r>
  </si>
  <si>
    <r>
      <t>M</t>
    </r>
    <r>
      <rPr>
        <vertAlign val="subscript"/>
        <sz val="10"/>
        <rFont val="Arial Nova"/>
        <family val="2"/>
      </rPr>
      <t>p4</t>
    </r>
  </si>
  <si>
    <r>
      <t>M</t>
    </r>
    <r>
      <rPr>
        <vertAlign val="subscript"/>
        <sz val="10"/>
        <rFont val="Arial Nova"/>
        <family val="2"/>
      </rPr>
      <t>p5</t>
    </r>
  </si>
  <si>
    <r>
      <t>M</t>
    </r>
    <r>
      <rPr>
        <vertAlign val="subscript"/>
        <sz val="10"/>
        <rFont val="Arial Nova"/>
        <family val="2"/>
      </rPr>
      <t>p6</t>
    </r>
  </si>
  <si>
    <r>
      <t>M</t>
    </r>
    <r>
      <rPr>
        <vertAlign val="subscript"/>
        <sz val="10"/>
        <rFont val="Arial Nova"/>
        <family val="2"/>
      </rPr>
      <t>p7</t>
    </r>
  </si>
  <si>
    <r>
      <t>Fator do item da amostra (f</t>
    </r>
    <r>
      <rPr>
        <vertAlign val="subscript"/>
        <sz val="10"/>
        <rFont val="Arial Nova"/>
        <family val="2"/>
      </rPr>
      <t>tr</t>
    </r>
    <r>
      <rPr>
        <sz val="10"/>
        <rFont val="Arial Nova"/>
        <family val="2"/>
      </rPr>
      <t>)</t>
    </r>
  </si>
  <si>
    <r>
      <t>Fator do bem avaliando (f</t>
    </r>
    <r>
      <rPr>
        <vertAlign val="subscript"/>
        <sz val="10"/>
        <rFont val="Arial Nova"/>
        <family val="2"/>
      </rPr>
      <t>a</t>
    </r>
    <r>
      <rPr>
        <sz val="10"/>
        <rFont val="Arial Nova"/>
        <family val="2"/>
      </rPr>
      <t>)</t>
    </r>
  </si>
  <si>
    <r>
      <t>t</t>
    </r>
    <r>
      <rPr>
        <vertAlign val="subscript"/>
        <sz val="10"/>
        <rFont val="Arial Nova"/>
        <family val="2"/>
      </rPr>
      <t>crítico</t>
    </r>
  </si>
  <si>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</si>
  <si>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</si>
  <si>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</si>
  <si>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</si>
  <si>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</si>
  <si>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</si>
  <si>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</si>
  <si>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</si>
  <si>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</si>
  <si>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</si>
  <si>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r>
      <t xml:space="preserve">Somatório das porcentagens correspondentes aos melhoramentos públicos </t>
    </r>
    <r>
      <rPr>
        <b/>
        <sz val="10"/>
        <rFont val="Arial Nova"/>
        <family val="2"/>
      </rPr>
      <t>presentes no paradigma e ausentes no bem avaliando</t>
    </r>
  </si>
  <si>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</si>
  <si>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</si>
  <si>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</si>
  <si>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</si>
  <si>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LAUDO DE VISTORIA DE IMÓVEL - ARTIGO 872 do CPC</t>
  </si>
  <si>
    <t>1 - Dados básicos do processo e do imóvel objeto da vistoria</t>
  </si>
  <si>
    <t>Processo:</t>
  </si>
  <si>
    <t>Requerente:</t>
  </si>
  <si>
    <t>Requerido:</t>
  </si>
  <si>
    <t>Cartório de Registro:</t>
  </si>
  <si>
    <t>Prefeitura da situação:</t>
  </si>
  <si>
    <t>Vistoria acompanhada por:</t>
  </si>
  <si>
    <t>Data da Vistoria:</t>
  </si>
  <si>
    <t>Hora de início da vistoria:</t>
  </si>
  <si>
    <t>2.1 - Localização e tipo de uso do imóvel</t>
  </si>
  <si>
    <t>Facilidade de acesso ao imóvel:</t>
  </si>
  <si>
    <t>Uso predominante de lotes na região:</t>
  </si>
  <si>
    <t>difícil</t>
  </si>
  <si>
    <t>bom</t>
  </si>
  <si>
    <t>residencial multifamiliar</t>
  </si>
  <si>
    <t>razoável</t>
  </si>
  <si>
    <t>ótimo</t>
  </si>
  <si>
    <t>residencial unifamiliar</t>
  </si>
  <si>
    <t>industrial</t>
  </si>
  <si>
    <t>Tipo de implantação:</t>
  </si>
  <si>
    <t>2.2 - Condições de infraestrutura urbana da localidade</t>
  </si>
  <si>
    <t>rede água potável</t>
  </si>
  <si>
    <t>rede elétrica</t>
  </si>
  <si>
    <t>telecomunicações</t>
  </si>
  <si>
    <t>iluminação pública (na via do lote)</t>
  </si>
  <si>
    <t>rede de água pluvial</t>
  </si>
  <si>
    <t>rede de esgoto</t>
  </si>
  <si>
    <t>pavimentação</t>
  </si>
  <si>
    <t>gás canalizado</t>
  </si>
  <si>
    <t>2.3 - Serviços e equipamentos comunitários da localidade</t>
  </si>
  <si>
    <t>comércio</t>
  </si>
  <si>
    <t>rede bancária</t>
  </si>
  <si>
    <t>saúde</t>
  </si>
  <si>
    <t>lazer</t>
  </si>
  <si>
    <t>transporte coletivo</t>
  </si>
  <si>
    <t>segurança pública</t>
  </si>
  <si>
    <t>coleta de lixo</t>
  </si>
  <si>
    <t>escolas</t>
  </si>
  <si>
    <t>2.4 - Dados do lote</t>
  </si>
  <si>
    <t>esquina</t>
  </si>
  <si>
    <t>meio de quadra</t>
  </si>
  <si>
    <t>final de via sem saída</t>
  </si>
  <si>
    <t>irregular</t>
  </si>
  <si>
    <t>plano</t>
  </si>
  <si>
    <t>Superfície:</t>
  </si>
  <si>
    <t>seco</t>
  </si>
  <si>
    <t>brejoso</t>
  </si>
  <si>
    <t>alagável</t>
  </si>
  <si>
    <t>outra:</t>
  </si>
  <si>
    <t>sim</t>
  </si>
  <si>
    <t>não</t>
  </si>
  <si>
    <t>abaixo</t>
  </si>
  <si>
    <t>mesmo nível</t>
  </si>
  <si>
    <t>acima</t>
  </si>
  <si>
    <t>2.5 - Localização e ocupação do imóvel</t>
  </si>
  <si>
    <t>Localização:</t>
  </si>
  <si>
    <t>ótima</t>
  </si>
  <si>
    <t>boa</t>
  </si>
  <si>
    <t>ruim</t>
  </si>
  <si>
    <t>ocupado</t>
  </si>
  <si>
    <t>desocupado</t>
  </si>
  <si>
    <t>locado</t>
  </si>
  <si>
    <t>arrendado</t>
  </si>
  <si>
    <t>cedido</t>
  </si>
  <si>
    <t>comodato</t>
  </si>
  <si>
    <t>invadido</t>
  </si>
  <si>
    <t>2.6 - Condições sanitárias</t>
  </si>
  <si>
    <t>Abastecimento de água:</t>
  </si>
  <si>
    <t>não possui</t>
  </si>
  <si>
    <t>poço</t>
  </si>
  <si>
    <t>rede de água potável</t>
  </si>
  <si>
    <t>Solução sanitária:</t>
  </si>
  <si>
    <t>fossa séptica e sumidouro</t>
  </si>
  <si>
    <t>2.7 - Equipamentos diversos</t>
  </si>
  <si>
    <t>muros</t>
  </si>
  <si>
    <t>alarmes</t>
  </si>
  <si>
    <t>cerca elétrica</t>
  </si>
  <si>
    <t>câmeras</t>
  </si>
  <si>
    <t>interfone</t>
  </si>
  <si>
    <t>portão manual</t>
  </si>
  <si>
    <t>portão eletrônico</t>
  </si>
  <si>
    <t>Averbadas</t>
  </si>
  <si>
    <t>Não averbadas (passíveis de averbação)</t>
  </si>
  <si>
    <t>Privativa total:</t>
  </si>
  <si>
    <t>Comuns:</t>
  </si>
  <si>
    <t>Total:</t>
  </si>
  <si>
    <t>Ruim</t>
  </si>
  <si>
    <t>CFTV</t>
  </si>
  <si>
    <t>2.10 - Informações relativas ao condomínio, se o caso</t>
  </si>
  <si>
    <t>Estado de conservação:</t>
  </si>
  <si>
    <t>Em implantação</t>
  </si>
  <si>
    <t>Portaria 24hs</t>
  </si>
  <si>
    <t>Hidrômetro Individual</t>
  </si>
  <si>
    <t>Portão eletrônico</t>
  </si>
  <si>
    <t>Poço artesiano</t>
  </si>
  <si>
    <t>Cerca elétrica</t>
  </si>
  <si>
    <t>outro:</t>
  </si>
  <si>
    <t>Nenhum</t>
  </si>
  <si>
    <t>Vista para o mar</t>
  </si>
  <si>
    <t>Vista para parques, áreas verdes, paisagens</t>
  </si>
  <si>
    <t>Vista permanente</t>
  </si>
  <si>
    <t>Outros:</t>
  </si>
  <si>
    <t>Rede de alta tensão</t>
  </si>
  <si>
    <t>Feira livre</t>
  </si>
  <si>
    <t>Córrego</t>
  </si>
  <si>
    <t>Presídio</t>
  </si>
  <si>
    <t>Favela</t>
  </si>
  <si>
    <t>A) As informações apresentadas na documentação correspondem às verificadas na vistoria?</t>
  </si>
  <si>
    <t>SIM</t>
  </si>
  <si>
    <t>NÃO</t>
  </si>
  <si>
    <t>B) O imóvel aparenta condições de estabilidade e solidez?</t>
  </si>
  <si>
    <t>C) O imóvel apresenta vícios de construção aparentes?</t>
  </si>
  <si>
    <t xml:space="preserve">D) O imóvel aparenta condições de habitabilidade? </t>
  </si>
  <si>
    <t xml:space="preserve">E) O imóvel é afetado significativamente por fatores ambientais, climáticos, localização, etc.? </t>
  </si>
  <si>
    <t>E) Informações adicionais relevantes:</t>
  </si>
  <si>
    <t>Hora de término da vistoria:</t>
  </si>
  <si>
    <t>2.8 - Áreas do imóvel - lote ou gleba</t>
  </si>
  <si>
    <t>ÁREA TOTAL DO LOTE/GLEBA:</t>
  </si>
  <si>
    <t>2.10 - Valorizantes</t>
  </si>
  <si>
    <t>2 - Dados obtidos durante a vistoria e análise de documentos do imóvel</t>
  </si>
  <si>
    <t>misto: residência e comercial/industrial</t>
  </si>
  <si>
    <t>Oficial de Justiça:</t>
  </si>
  <si>
    <t>Endereço do imóvel:</t>
  </si>
  <si>
    <t>Matrícula do imóvel:</t>
  </si>
  <si>
    <t>Número do cadastro municipal:</t>
  </si>
  <si>
    <t>Área do  lote (m²):</t>
  </si>
  <si>
    <t>Número de frentes:</t>
  </si>
  <si>
    <t>aclive maior que 10%</t>
  </si>
  <si>
    <t>declive maiore que10%</t>
  </si>
  <si>
    <t>Nível em relação à via:</t>
  </si>
  <si>
    <t>2.11 - Depreciantes</t>
  </si>
  <si>
    <t>2.12 - Informações complementares</t>
  </si>
  <si>
    <t>Assinatura do Oficial de Justiça:</t>
  </si>
  <si>
    <t>ASSINADO DIGITALMENTE</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</si>
  <si>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</si>
  <si>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</si>
  <si>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</si>
  <si>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</si>
  <si>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</si>
  <si>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</si>
  <si>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</si>
  <si>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</si>
  <si>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</si>
  <si>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</si>
  <si>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</si>
  <si>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</si>
  <si>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</si>
  <si>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</si>
  <si>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</si>
  <si>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</si>
  <si>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AVALIAÇÃO DE TERRENO PELO MÉTODO COMPARATIVO DIRETO DE DADOS DE MERCADO</t>
  </si>
  <si>
    <t>INFORMAR O NÚMERO DE DADOS QUE FORAM EFETIVAMENTE UTILIZADOS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</si>
  <si>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</si>
  <si>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</si>
  <si>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</si>
  <si>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</si>
  <si>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</si>
  <si>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</si>
  <si>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</si>
  <si>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</si>
  <si>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</si>
  <si>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</si>
  <si>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</si>
  <si>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</si>
  <si>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</si>
  <si>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Posição na coluna</t>
  </si>
  <si>
    <t>Pequena estrutura e residencial de luxo</t>
  </si>
  <si>
    <t>Posição na linha</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</si>
  <si>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</si>
  <si>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</si>
  <si>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</si>
  <si>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</si>
  <si>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</si>
  <si>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</si>
  <si>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</si>
  <si>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</si>
  <si>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</si>
  <si>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</si>
  <si>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</si>
  <si>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</si>
  <si>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</si>
  <si>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</si>
  <si>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</si>
  <si>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</si>
  <si>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</si>
  <si>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</si>
  <si>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</si>
  <si>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</si>
  <si>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</si>
  <si>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</si>
  <si>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</si>
  <si>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</si>
  <si>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</si>
  <si>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</si>
  <si>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</si>
  <si>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</si>
  <si>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</si>
  <si>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</si>
  <si>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</si>
  <si>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</si>
  <si>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</si>
  <si>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</si>
  <si>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</si>
  <si>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</si>
  <si>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</si>
  <si>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</si>
  <si>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</si>
  <si>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</si>
  <si>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</si>
  <si>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</si>
  <si>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</si>
  <si>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</si>
  <si>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</si>
  <si>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</si>
  <si>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</si>
  <si>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</si>
  <si>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</si>
  <si>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</si>
  <si>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</si>
  <si>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</si>
  <si>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</si>
  <si>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</si>
  <si>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</si>
  <si>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</si>
  <si>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</si>
  <si>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</si>
  <si>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</si>
  <si>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</si>
  <si>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</si>
  <si>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</si>
  <si>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</si>
  <si>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</si>
  <si>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</si>
  <si>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</si>
  <si>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</si>
  <si>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</si>
  <si>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color theme="1"/>
        <rFont val="Arial Nova"/>
        <family val="2"/>
      </rPr>
      <t xml:space="preserve">: A, B, C, D, E, F, G, H, e I.
2. </t>
    </r>
    <r>
      <rPr>
        <b/>
        <sz val="10"/>
        <rFont val="Arial Nova"/>
        <family val="2"/>
      </rPr>
      <t>por números</t>
    </r>
    <r>
      <rPr>
        <sz val="10"/>
        <color theme="1"/>
        <rFont val="Arial Nova"/>
        <family val="2"/>
      </rPr>
      <t xml:space="preserve">: 1; 1,5; 2; 2,5; 3; 3,5; 4; 4,5, e 5.
3. </t>
    </r>
    <r>
      <rPr>
        <b/>
        <sz val="10"/>
        <rFont val="Arial Nova"/>
        <family val="2"/>
      </rPr>
      <t>pela situação das edificações</t>
    </r>
    <r>
      <rPr>
        <sz val="10"/>
        <color theme="1"/>
        <rFont val="Arial Nova"/>
        <family val="2"/>
      </rPr>
      <t xml:space="preserve">: ótimo, muito bom, bom, intermédio, regular, deficiente, mau, muito mau, e demolição.
</t>
    </r>
    <r>
      <rPr>
        <b/>
        <sz val="10"/>
        <rFont val="Arial Nova"/>
        <family val="2"/>
      </rPr>
      <t>4. pelos códigos</t>
    </r>
    <r>
      <rPr>
        <sz val="10"/>
        <color theme="1"/>
        <rFont val="Arial Nova"/>
        <family val="2"/>
      </rPr>
      <t>: O, MB, B, I, R, D, M, MM, e DM.</t>
    </r>
  </si>
  <si>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</si>
  <si>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</si>
  <si>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</si>
  <si>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</si>
  <si>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</si>
  <si>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</si>
  <si>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</si>
  <si>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</si>
  <si>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</si>
  <si>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</si>
  <si>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</si>
  <si>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</si>
  <si>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</si>
  <si>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</si>
  <si>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</si>
  <si>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</si>
  <si>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</si>
  <si>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</si>
  <si>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</si>
  <si>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</si>
  <si>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</si>
  <si>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</si>
  <si>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color theme="1"/>
        <rFont val="Arial Nova"/>
        <family val="2"/>
      </rPr>
      <t>)</t>
    </r>
  </si>
  <si>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</si>
  <si>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</si>
  <si>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</si>
  <si>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</si>
  <si>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color theme="1"/>
        <rFont val="Arial Nova"/>
        <family val="2"/>
      </rPr>
      <t xml:space="preserve"> )</t>
    </r>
  </si>
  <si>
    <t>E, por fim, os coeficiente foram convertidos para fatores multiplicadores, providência essa que simplifica e torna mais prático o cálculo da depreciação. Essa conversão foi feita com o auxílio da seguinte equação:</t>
  </si>
  <si>
    <r>
      <t>ASSOCIAÇÃO BRASILEIRA DE NORMAS TÉCNICAS. </t>
    </r>
    <r>
      <rPr>
        <sz val="10"/>
        <color rgb="FF000000"/>
        <rFont val="Arial Nova"/>
        <family val="2"/>
      </rPr>
      <t>NBR 14653-1:2019. Avaliação bens. Parte 1: Procedimentos gerais.</t>
    </r>
  </si>
  <si>
    <r>
      <t>______. NBR 14653-2:2011. </t>
    </r>
    <r>
      <rPr>
        <sz val="10"/>
        <color rgb="FF000000"/>
        <rFont val="Arial Nova"/>
        <family val="2"/>
      </rPr>
      <t>Avaliação bens. Parte 2: Imóveis urbanos.</t>
    </r>
  </si>
  <si>
    <r>
      <t>BERRINI, Luiz Carlos. </t>
    </r>
    <r>
      <rPr>
        <sz val="10"/>
        <color rgb="FF000000"/>
        <rFont val="Arial Nova"/>
        <family val="2"/>
      </rPr>
      <t>Avaliações de imóveis. 4. ed. revista e atualizada por Luiz Carlos Berrini Júnior. Rio de Janeiro: Livraria Freitas Bastos S.A., 1960.</t>
    </r>
  </si>
  <si>
    <r>
      <t>CANTEIRO, João Ruy. </t>
    </r>
    <r>
      <rPr>
        <sz val="10"/>
        <color rgb="FF000000"/>
        <rFont val="Arial Nova"/>
        <family val="2"/>
      </rPr>
      <t>Construções: seus custos de reprodução na capital de São Paulo de 1939 a 1979; Terrenos: subsídios à técnica de avaliação. 3. ed. São Paulo: Pini, 1980.</t>
    </r>
  </si>
  <si>
    <r>
      <t>DANTAS, Rubens Alves. </t>
    </r>
    <r>
      <rPr>
        <sz val="10"/>
        <color rgb="FF000000"/>
        <rFont val="Arial Nova"/>
        <family val="2"/>
      </rPr>
      <t>Engenharia de avaliações: uma introdução à metodologia científica. São Paulo: Pini, 1998.</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</si>
  <si>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2005. 4. ed. São Paulo: Pini, 2016.</t>
    </r>
  </si>
  <si>
    <r>
      <t>______. </t>
    </r>
    <r>
      <rPr>
        <sz val="10"/>
        <color rgb="FF000000"/>
        <rFont val="Arial Nova"/>
        <family val="2"/>
      </rPr>
      <t>Manual de avaliações e perícias em imóveis urbanos: de acordo com a nova norma NBR 14653-2 – Avaliações de Imóveis Urbanos e com a Norma para Avaliação de Imóveis Urbanos Ibape/SP – 2011. 5. ed. São Paulo: Oficina de Textos, 2019.</t>
    </r>
  </si>
  <si>
    <r>
      <t>MEDEIROS JÚNIOR, Joaquim da Rocha. </t>
    </r>
    <r>
      <rPr>
        <sz val="10"/>
        <color rgb="FF000000"/>
        <rFont val="Arial Nova"/>
        <family val="2"/>
      </rPr>
      <t>Vantagem da coisa feita na avaliação de imóveis pelo método do custo. In: Engenharia de avaliações. Instituto Brasileiro de Avaliações e Perícias de Engenharia – IBAPE. São Paulo: Pini, 1974.</t>
    </r>
  </si>
  <si>
    <r>
      <t>NASSER JÚNIOR, Radegaz. </t>
    </r>
    <r>
      <rPr>
        <sz val="10"/>
        <color rgb="FF000000"/>
        <rFont val="Arial Nova"/>
        <family val="2"/>
      </rPr>
      <t>Avaliação de bens: princípios e aplicações. 2. ed revista e atualizada [recurso eletrônico]. São Paulo: Liv. e Ed. Universitária de Direito, 2013.</t>
    </r>
  </si>
  <si>
    <r>
      <t>______. </t>
    </r>
    <r>
      <rPr>
        <sz val="10"/>
        <color rgb="FF000000"/>
        <rFont val="Arial Nova"/>
        <family val="2"/>
      </rPr>
      <t>Avaliação de bens: princípios básicos e aplicações. 3. ed. São Paulo: Editora Leud, 2019.</t>
    </r>
  </si>
  <si>
    <r>
      <t>THOFEHRN, Ragnar. </t>
    </r>
    <r>
      <rPr>
        <sz val="10"/>
        <color rgb="FF000000"/>
        <rFont val="Arial Nova"/>
        <family val="2"/>
      </rPr>
      <t>Avaliação de terrenos urbanos: por fórmulas matemáticas. São Paulo: Pini, 2008.</t>
    </r>
  </si>
  <si>
    <r>
      <t>VEGNI-NERI, Guilherme Bomfim dei. </t>
    </r>
    <r>
      <rPr>
        <sz val="10"/>
        <color rgb="FF000000"/>
        <rFont val="Arial Nova"/>
        <family val="2"/>
      </rPr>
      <t>Avaliação de imóveis urbanos e rurais: método prático e moderno. 4. ed. revista, melhorada e atualizada. São Paulo: Ed. Nacional, 1979.</t>
    </r>
  </si>
  <si>
    <r>
      <t>______. </t>
    </r>
    <r>
      <rPr>
        <sz val="10"/>
        <color rgb="FF000000"/>
        <rFont val="Arial Nova"/>
        <family val="2"/>
      </rPr>
      <t>Prática de avaliação de imóveis: método moderno. 2. ed. revista melhorada. São Paulo: Edições Livraria Legislação Brasileira. 1968.</t>
    </r>
  </si>
  <si>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</si>
  <si>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</si>
  <si>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</si>
  <si>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</si>
  <si>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</si>
  <si>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</si>
  <si>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</si>
  <si>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</si>
  <si>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</si>
  <si>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</si>
  <si>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</si>
  <si>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</si>
  <si>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</si>
  <si>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</si>
  <si>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</si>
  <si>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</si>
  <si>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</si>
  <si>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</si>
  <si>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</si>
  <si>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</si>
  <si>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</si>
  <si>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Custo unitário específico para o projeto:</t>
  </si>
  <si>
    <t>Área da benfeitoria:</t>
  </si>
  <si>
    <t>Custo de reprodução da benfeitoria</t>
  </si>
  <si>
    <t>Cálculo da depreciação pelo método Ross-Heidecke</t>
  </si>
  <si>
    <t>Idade aparente da benfeitoria:</t>
  </si>
  <si>
    <t>Vida útil referencial</t>
  </si>
  <si>
    <t>Relação percentual:</t>
  </si>
  <si>
    <t>A depreciação Ross-Heidecke será calculada com o auxílio das seguintes equações:</t>
  </si>
  <si>
    <t>alfa</t>
  </si>
  <si>
    <t>novo</t>
  </si>
  <si>
    <t>entre novo e regular</t>
  </si>
  <si>
    <t>entre regular e reparos simples</t>
  </si>
  <si>
    <t>O resultado bruto da equação acima deve ser convertido para o respectivo de fator de depreciação, sendo feito:</t>
  </si>
  <si>
    <t>reparos simples</t>
  </si>
  <si>
    <t>entre reparos simples e reparos importantes</t>
  </si>
  <si>
    <t>reparos importantes</t>
  </si>
  <si>
    <t>entre reparos importantes e sem valor</t>
  </si>
  <si>
    <t>sem valor</t>
  </si>
  <si>
    <t>Estado de conservação da benfeitoria:</t>
  </si>
  <si>
    <t>Descrição do estado:</t>
  </si>
  <si>
    <t>Valor relativo da tabela Heidecke:</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</si>
  <si>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</si>
  <si>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</si>
  <si>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</si>
  <si>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</si>
  <si>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</si>
  <si>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</si>
  <si>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</si>
  <si>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</si>
  <si>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</si>
  <si>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</si>
  <si>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</si>
  <si>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</si>
  <si>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</si>
  <si>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</si>
  <si>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</si>
  <si>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</si>
  <si>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</si>
  <si>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</si>
  <si>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Preço</t>
  </si>
  <si>
    <t>O grau de precisão calculado foi superior a 50% (cinquenta por cento). Não há classificação do resultado quanto à precisão, sendo necessário apresentar justificativa com base no diagnóstico do mercado (Nota feita à tabela 5 do item 9.2.3 da NBR 14653-2:2011 (Avaliação de bens. Parte 2: Imóveis urbanos).</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</si>
  <si>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</si>
  <si>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</si>
  <si>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</si>
  <si>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</si>
  <si>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</si>
  <si>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</si>
  <si>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</si>
  <si>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</si>
  <si>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</si>
  <si>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</si>
  <si>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</si>
  <si>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</si>
  <si>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r>
      <t>F</t>
    </r>
    <r>
      <rPr>
        <vertAlign val="subscript"/>
        <sz val="10"/>
        <rFont val="Aptos"/>
        <family val="2"/>
      </rPr>
      <t>f</t>
    </r>
  </si>
  <si>
    <r>
      <t>F</t>
    </r>
    <r>
      <rPr>
        <vertAlign val="subscript"/>
        <sz val="10"/>
        <rFont val="Aptos"/>
        <family val="2"/>
      </rPr>
      <t>t</t>
    </r>
  </si>
  <si>
    <r>
      <t>F</t>
    </r>
    <r>
      <rPr>
        <vertAlign val="subscript"/>
        <sz val="10"/>
        <rFont val="Aptos"/>
        <family val="2"/>
      </rPr>
      <t>cs</t>
    </r>
  </si>
  <si>
    <r>
      <t>F</t>
    </r>
    <r>
      <rPr>
        <vertAlign val="subscript"/>
        <sz val="10"/>
        <rFont val="Aptos"/>
        <family val="2"/>
      </rPr>
      <t>p</t>
    </r>
  </si>
  <si>
    <r>
      <t>F</t>
    </r>
    <r>
      <rPr>
        <vertAlign val="subscript"/>
        <sz val="10"/>
        <rFont val="Aptos"/>
        <family val="2"/>
      </rPr>
      <t>e</t>
    </r>
  </si>
  <si>
    <t>Terreno à venda</t>
  </si>
  <si>
    <t>Elemento comparativo</t>
  </si>
  <si>
    <t>Água</t>
  </si>
  <si>
    <t>Esgoto</t>
  </si>
  <si>
    <t>Luz pública</t>
  </si>
  <si>
    <t>Luz domiciliar</t>
  </si>
  <si>
    <t>Guias-sarjetas</t>
  </si>
  <si>
    <t>Telefone</t>
  </si>
  <si>
    <t>Melhoramentos públicos do bem avaliando</t>
  </si>
  <si>
    <t>INTERVALO DE CONFIANÇA</t>
  </si>
  <si>
    <t>AVALIAÇÃO DO TERRENO</t>
  </si>
  <si>
    <t>LIMITES DO INTERVALO DE CONFIANÇA E GRAU DE PRECISÃO</t>
  </si>
  <si>
    <t>Privativa:</t>
  </si>
  <si>
    <t>Laudo de vistoria criado pelo Prof. Vagner Sebastião, Oficial de Justiça do Tribunal de Justiça do Estado de São Paulo.</t>
  </si>
  <si>
    <t>TRIBUNAL DE JUSTIÇA DO ESTADO DE SÃO PAULO</t>
  </si>
  <si>
    <t>Fonte</t>
  </si>
  <si>
    <t>Tipo de consulta</t>
  </si>
  <si>
    <t>Contato</t>
  </si>
  <si>
    <t>Imóveis Braga</t>
  </si>
  <si>
    <t>Data da coleta</t>
  </si>
  <si>
    <t>PRIMEIRA VARA CÍVEL DA COMARCA DE BEBEDOURO-SP</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</si>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</sst>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R$&quot;\ * #,##0.00_-;\-&quot;R$&quot;\ * #,##0.00_-;_-&quot;R$&quot;\ * &quot;-&quot;??_-;_-@_-"/>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0"/>
    <numFmt numFmtId="176" formatCode="#,##0.0000_ ;[Red]\-#,##0.0000\ "/>
    <numFmt numFmtId="177" formatCode="#,##0_ ;\-#,##0\ "/>
  </numFmts>
  <fonts count="27"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0.5"/>
      <name val="Arial Nova"/>
      <family val="2"/>
    </font>
    <font>
      <b/>
      <sz val="11"/>
      <name val="Aptos"/>
      <family val="2"/>
    </font>
    <font>
      <sz val="10"/>
      <color theme="0"/>
      <name val="Arial Nova"/>
      <family val="2"/>
    </font>
    <font>
      <sz val="11"/>
      <name val="Aptos"/>
      <family val="2"/>
    </font>
    <font>
      <b/>
      <sz val="11"/>
      <color theme="1"/>
      <name val="Aptos"/>
      <family val="2"/>
    </font>
    <font>
      <b/>
      <sz val="14"/>
      <color theme="1"/>
      <name val="Aptos"/>
      <family val="2"/>
    </font>
    <font>
      <sz val="14"/>
      <color theme="1"/>
      <name val="Aptos"/>
      <family val="2"/>
    </font>
    <font>
      <b/>
      <i/>
      <sz val="10"/>
      <name val="Arial Nova"/>
      <family val="2"/>
    </font>
    <font>
      <b/>
      <i/>
      <vertAlign val="subscript"/>
      <sz val="10"/>
      <name val="Arial Nova"/>
      <family val="2"/>
    </font>
    <font>
      <sz val="10"/>
      <color theme="1"/>
      <name val="Arial Nova"/>
      <family val="2"/>
    </font>
    <font>
      <sz val="10"/>
      <color rgb="FF383D3C"/>
      <name val="Arial Nova"/>
      <family val="2"/>
    </font>
    <font>
      <i/>
      <vertAlign val="subscript"/>
      <sz val="10"/>
      <name val="Arial Nova"/>
      <family val="2"/>
    </font>
    <font>
      <sz val="10"/>
      <color theme="1"/>
      <name val="Aptos"/>
      <family val="2"/>
    </font>
    <font>
      <sz val="10"/>
      <color rgb="FF000000"/>
      <name val="Arial Nova"/>
      <family val="2"/>
    </font>
    <font>
      <i/>
      <sz val="11"/>
      <name val="Aptos"/>
      <family val="2"/>
    </font>
    <font>
      <sz val="11"/>
      <color theme="0"/>
      <name val="Aptos"/>
      <family val="2"/>
    </font>
    <font>
      <b/>
      <sz val="11"/>
      <color theme="0"/>
      <name val="Arial"/>
      <family val="2"/>
    </font>
    <font>
      <b/>
      <sz val="11"/>
      <name val="Arial"/>
      <family val="2"/>
    </font>
    <font>
      <sz val="10"/>
      <name val="Aptos"/>
      <family val="2"/>
    </font>
    <font>
      <vertAlign val="subscript"/>
      <sz val="10"/>
      <name val="Aptos"/>
      <family val="2"/>
    </font>
    <font>
      <i/>
      <sz val="10"/>
      <name val="Aptos"/>
      <family val="2"/>
    </font>
  </fonts>
  <fills count="8">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s>
  <borders count="3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92">
    <xf numFmtId="0" fontId="0" fillId="0" borderId="0" xfId="0"/>
    <xf numFmtId="0" fontId="3" fillId="0" borderId="0" xfId="0" applyFont="1" applyAlignment="1" applyProtection="1">
      <alignment horizontal="justify" vertical="center" wrapText="1"/>
      <protection hidden="1"/>
    </xf>
    <xf numFmtId="0" fontId="3" fillId="3" borderId="0" xfId="0" applyFont="1" applyFill="1" applyAlignment="1" applyProtection="1">
      <alignment vertical="center" wrapText="1"/>
      <protection hidden="1"/>
    </xf>
    <xf numFmtId="0" fontId="3" fillId="0" borderId="0" xfId="0" applyFont="1" applyAlignment="1" applyProtection="1">
      <alignment vertical="center" wrapText="1"/>
      <protection hidden="1"/>
    </xf>
    <xf numFmtId="0" fontId="8" fillId="0" borderId="0" xfId="0" applyFont="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164" fontId="3" fillId="0" borderId="0" xfId="0" applyNumberFormat="1" applyFont="1" applyAlignment="1" applyProtection="1">
      <alignment vertical="center" wrapText="1"/>
      <protection hidden="1"/>
    </xf>
    <xf numFmtId="0" fontId="3" fillId="0" borderId="5" xfId="0" applyFont="1" applyBorder="1" applyAlignment="1" applyProtection="1">
      <alignment vertical="center" wrapText="1"/>
      <protection hidden="1"/>
    </xf>
    <xf numFmtId="9" fontId="3" fillId="0" borderId="0" xfId="2" applyFont="1" applyAlignment="1" applyProtection="1">
      <alignment vertical="center" wrapText="1"/>
      <protection hidden="1"/>
    </xf>
    <xf numFmtId="9" fontId="3" fillId="0" borderId="0" xfId="0" applyNumberFormat="1" applyFont="1" applyAlignment="1" applyProtection="1">
      <alignment vertical="center" wrapText="1"/>
      <protection hidden="1"/>
    </xf>
    <xf numFmtId="43" fontId="3" fillId="0" borderId="0" xfId="1" applyFont="1" applyAlignment="1" applyProtection="1">
      <alignment vertical="center" wrapText="1"/>
      <protection hidden="1"/>
    </xf>
    <xf numFmtId="0" fontId="3" fillId="2" borderId="2" xfId="0" applyFont="1" applyFill="1" applyBorder="1" applyAlignment="1" applyProtection="1">
      <alignment vertical="center" wrapText="1"/>
      <protection hidden="1"/>
    </xf>
    <xf numFmtId="164" fontId="8" fillId="0" borderId="0" xfId="0" applyNumberFormat="1" applyFont="1" applyAlignment="1" applyProtection="1">
      <alignment vertical="center" wrapText="1"/>
      <protection hidden="1"/>
    </xf>
    <xf numFmtId="10" fontId="3" fillId="0" borderId="0" xfId="2" applyNumberFormat="1" applyFont="1" applyBorder="1" applyAlignment="1" applyProtection="1">
      <alignment horizontal="right" vertical="center" wrapText="1"/>
      <protection hidden="1"/>
    </xf>
    <xf numFmtId="165" fontId="8" fillId="0" borderId="0" xfId="1" applyNumberFormat="1" applyFont="1" applyBorder="1" applyAlignment="1" applyProtection="1">
      <alignment horizontal="right" vertical="center" wrapText="1"/>
      <protection hidden="1"/>
    </xf>
    <xf numFmtId="10" fontId="8" fillId="0" borderId="0" xfId="0" applyNumberFormat="1" applyFont="1" applyAlignment="1" applyProtection="1">
      <alignment vertical="center" wrapText="1"/>
      <protection hidden="1"/>
    </xf>
    <xf numFmtId="0" fontId="3" fillId="0" borderId="0" xfId="0" applyFont="1" applyAlignment="1" applyProtection="1">
      <alignment horizontal="justify" wrapText="1"/>
      <protection hidden="1"/>
    </xf>
    <xf numFmtId="0" fontId="4" fillId="0" borderId="0" xfId="0" applyFont="1" applyAlignment="1" applyProtection="1">
      <alignment vertical="center" wrapText="1"/>
      <protection hidden="1"/>
    </xf>
    <xf numFmtId="4" fontId="8" fillId="0" borderId="0" xfId="0" applyNumberFormat="1" applyFont="1" applyAlignment="1" applyProtection="1">
      <alignment vertical="center" wrapText="1"/>
      <protection hidden="1"/>
    </xf>
    <xf numFmtId="164" fontId="3" fillId="0" borderId="0" xfId="0" applyNumberFormat="1" applyFont="1" applyAlignment="1" applyProtection="1">
      <alignment vertical="center" wrapText="1"/>
      <protection locked="0"/>
    </xf>
    <xf numFmtId="164" fontId="3" fillId="0" borderId="5" xfId="0" applyNumberFormat="1" applyFont="1" applyBorder="1" applyAlignment="1" applyProtection="1">
      <alignment vertical="center" wrapText="1"/>
      <protection locked="0"/>
    </xf>
    <xf numFmtId="4" fontId="3" fillId="0" borderId="5" xfId="2" applyNumberFormat="1" applyFont="1" applyFill="1" applyBorder="1" applyAlignment="1" applyProtection="1">
      <alignment horizontal="right" vertical="center" wrapText="1" readingOrder="1"/>
      <protection locked="0"/>
    </xf>
    <xf numFmtId="4" fontId="3" fillId="0" borderId="13" xfId="2" applyNumberFormat="1" applyFont="1" applyFill="1" applyBorder="1" applyAlignment="1" applyProtection="1">
      <alignment horizontal="right" vertical="center" wrapText="1" readingOrder="1"/>
      <protection locked="0"/>
    </xf>
    <xf numFmtId="164" fontId="3" fillId="0" borderId="13" xfId="0" applyNumberFormat="1" applyFont="1" applyBorder="1" applyAlignment="1" applyProtection="1">
      <alignment vertical="center" wrapText="1"/>
      <protection locked="0"/>
    </xf>
    <xf numFmtId="164" fontId="3" fillId="2" borderId="13" xfId="0" applyNumberFormat="1" applyFont="1" applyFill="1" applyBorder="1" applyAlignment="1" applyProtection="1">
      <alignment vertical="center" wrapText="1"/>
      <protection hidden="1"/>
    </xf>
    <xf numFmtId="0" fontId="4" fillId="0" borderId="0" xfId="0" applyFont="1" applyAlignment="1" applyProtection="1">
      <alignment horizontal="center" vertical="center" wrapText="1"/>
      <protection hidden="1"/>
    </xf>
    <xf numFmtId="2" fontId="3" fillId="0" borderId="5" xfId="0" applyNumberFormat="1" applyFont="1" applyBorder="1" applyAlignment="1" applyProtection="1">
      <alignment vertical="center" wrapText="1"/>
      <protection hidden="1"/>
    </xf>
    <xf numFmtId="0" fontId="3" fillId="0" borderId="0" xfId="0" applyFont="1" applyAlignment="1" applyProtection="1">
      <alignment horizontal="justify" vertical="top" wrapText="1"/>
      <protection hidden="1"/>
    </xf>
    <xf numFmtId="0" fontId="15" fillId="0" borderId="0" xfId="0" applyFont="1" applyAlignment="1" applyProtection="1">
      <alignment vertical="center"/>
      <protection hidden="1"/>
    </xf>
    <xf numFmtId="0" fontId="3" fillId="0" borderId="25" xfId="0" applyFont="1" applyBorder="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171" fontId="15" fillId="0" borderId="0" xfId="0" applyNumberFormat="1" applyFont="1" applyAlignment="1" applyProtection="1">
      <alignment horizontal="right" vertical="center" wrapText="1" readingOrder="1"/>
      <protection hidden="1"/>
    </xf>
    <xf numFmtId="172" fontId="15" fillId="0" borderId="0" xfId="0" applyNumberFormat="1" applyFont="1" applyAlignment="1" applyProtection="1">
      <alignment horizontal="right" vertical="center" wrapText="1" readingOrder="1"/>
      <protection hidden="1"/>
    </xf>
    <xf numFmtId="173" fontId="15" fillId="0" borderId="0" xfId="0" applyNumberFormat="1" applyFont="1" applyAlignment="1" applyProtection="1">
      <alignment horizontal="right" vertical="center" wrapText="1" readingOrder="1"/>
      <protection hidden="1"/>
    </xf>
    <xf numFmtId="0" fontId="15" fillId="0" borderId="0" xfId="0" applyFont="1" applyAlignment="1" applyProtection="1">
      <alignment horizontal="right" vertical="center" wrapText="1" readingOrder="1"/>
      <protection hidden="1"/>
    </xf>
    <xf numFmtId="0" fontId="3" fillId="0" borderId="30" xfId="0" applyFont="1" applyBorder="1" applyAlignment="1" applyProtection="1">
      <alignment horizontal="center" vertical="center" wrapText="1"/>
      <protection hidden="1"/>
    </xf>
    <xf numFmtId="1" fontId="15" fillId="0" borderId="30" xfId="0" applyNumberFormat="1" applyFont="1" applyBorder="1" applyAlignment="1" applyProtection="1">
      <alignment horizontal="right" vertical="center" wrapText="1"/>
      <protection hidden="1"/>
    </xf>
    <xf numFmtId="0" fontId="15" fillId="0" borderId="3" xfId="0" applyFont="1" applyBorder="1" applyAlignment="1" applyProtection="1">
      <alignment horizontal="center" vertical="center" wrapText="1"/>
      <protection hidden="1"/>
    </xf>
    <xf numFmtId="9" fontId="15" fillId="2" borderId="3" xfId="2" applyFont="1" applyFill="1" applyBorder="1" applyAlignment="1" applyProtection="1">
      <alignment horizontal="center" vertical="center" wrapText="1"/>
      <protection hidden="1"/>
    </xf>
    <xf numFmtId="4" fontId="15" fillId="0" borderId="3" xfId="0" applyNumberFormat="1" applyFont="1" applyBorder="1" applyAlignment="1" applyProtection="1">
      <alignment horizontal="right" vertical="center" wrapText="1"/>
      <protection hidden="1"/>
    </xf>
    <xf numFmtId="0" fontId="18" fillId="0" borderId="0" xfId="0" applyFont="1" applyAlignment="1" applyProtection="1">
      <alignment vertical="center"/>
      <protection hidden="1"/>
    </xf>
    <xf numFmtId="0" fontId="4" fillId="0" borderId="0" xfId="0" applyFont="1" applyAlignment="1" applyProtection="1">
      <alignment horizontal="right" vertical="center" wrapText="1"/>
      <protection hidden="1"/>
    </xf>
    <xf numFmtId="49" fontId="4" fillId="0" borderId="0" xfId="0" applyNumberFormat="1" applyFont="1" applyAlignment="1" applyProtection="1">
      <alignment vertical="center" wrapText="1"/>
      <protection hidden="1"/>
    </xf>
    <xf numFmtId="9" fontId="15" fillId="0" borderId="3" xfId="2" applyFont="1" applyBorder="1" applyAlignment="1" applyProtection="1">
      <alignment horizontal="center" vertical="center" wrapText="1"/>
      <protection hidden="1"/>
    </xf>
    <xf numFmtId="10" fontId="15" fillId="0" borderId="3" xfId="2" applyNumberFormat="1" applyFont="1" applyBorder="1" applyAlignment="1" applyProtection="1">
      <alignment horizontal="right" vertical="center" wrapText="1"/>
      <protection hidden="1"/>
    </xf>
    <xf numFmtId="0" fontId="0" fillId="0" borderId="0" xfId="0" applyProtection="1">
      <protection hidden="1"/>
    </xf>
    <xf numFmtId="167" fontId="15" fillId="0" borderId="3" xfId="0" applyNumberFormat="1" applyFont="1" applyBorder="1" applyAlignment="1" applyProtection="1">
      <alignment horizontal="right" vertical="center" wrapText="1"/>
      <protection hidden="1"/>
    </xf>
    <xf numFmtId="0" fontId="0" fillId="0" borderId="0" xfId="0" applyAlignment="1" applyProtection="1">
      <alignment vertical="center"/>
      <protection hidden="1"/>
    </xf>
    <xf numFmtId="0" fontId="12" fillId="0" borderId="0" xfId="0" applyFont="1" applyAlignment="1" applyProtection="1">
      <alignment horizontal="center" vertical="center"/>
      <protection hidden="1"/>
    </xf>
    <xf numFmtId="0" fontId="0" fillId="0" borderId="1" xfId="0" applyBorder="1" applyProtection="1">
      <protection hidden="1"/>
    </xf>
    <xf numFmtId="0" fontId="0" fillId="0" borderId="8" xfId="0" applyBorder="1" applyProtection="1">
      <protection hidden="1"/>
    </xf>
    <xf numFmtId="0" fontId="0" fillId="0" borderId="2" xfId="0" applyBorder="1" applyProtection="1">
      <protection hidden="1"/>
    </xf>
    <xf numFmtId="0" fontId="0" fillId="0" borderId="9" xfId="0" applyBorder="1" applyProtection="1">
      <protection hidden="1"/>
    </xf>
    <xf numFmtId="0" fontId="0" fillId="0" borderId="3" xfId="0" applyBorder="1" applyAlignment="1" applyProtection="1">
      <alignment vertical="center"/>
      <protection hidden="1"/>
    </xf>
    <xf numFmtId="0" fontId="0" fillId="0" borderId="12" xfId="0" applyBorder="1" applyProtection="1">
      <protection hidden="1"/>
    </xf>
    <xf numFmtId="0" fontId="0" fillId="0" borderId="13" xfId="0" applyBorder="1" applyProtection="1">
      <protection hidden="1"/>
    </xf>
    <xf numFmtId="0" fontId="0" fillId="0" borderId="14" xfId="0" applyBorder="1" applyProtection="1">
      <protection hidden="1"/>
    </xf>
    <xf numFmtId="0" fontId="0" fillId="0" borderId="20" xfId="0" applyBorder="1" applyProtection="1">
      <protection hidden="1"/>
    </xf>
    <xf numFmtId="0" fontId="7" fillId="0" borderId="0" xfId="0" applyFont="1" applyAlignment="1" applyProtection="1">
      <alignment vertical="center"/>
      <protection hidden="1"/>
    </xf>
    <xf numFmtId="0" fontId="7" fillId="0" borderId="9" xfId="0" applyFont="1" applyBorder="1" applyAlignment="1" applyProtection="1">
      <alignment vertical="center"/>
      <protection hidden="1"/>
    </xf>
    <xf numFmtId="0" fontId="9" fillId="0" borderId="0" xfId="0" applyFont="1" applyAlignment="1" applyProtection="1">
      <alignment vertical="center"/>
      <protection hidden="1"/>
    </xf>
    <xf numFmtId="0" fontId="9" fillId="0" borderId="15" xfId="0" applyFont="1" applyBorder="1" applyAlignment="1" applyProtection="1">
      <alignment vertical="center"/>
      <protection hidden="1"/>
    </xf>
    <xf numFmtId="0" fontId="9" fillId="0" borderId="9" xfId="0" applyFont="1" applyBorder="1" applyAlignment="1" applyProtection="1">
      <alignment vertical="center"/>
      <protection hidden="1"/>
    </xf>
    <xf numFmtId="0" fontId="0" fillId="0" borderId="1" xfId="0" applyBorder="1" applyAlignment="1" applyProtection="1">
      <alignment vertical="center"/>
      <protection hidden="1"/>
    </xf>
    <xf numFmtId="0" fontId="9" fillId="0" borderId="1" xfId="0" applyFont="1" applyBorder="1" applyAlignment="1" applyProtection="1">
      <alignment vertical="center"/>
      <protection hidden="1"/>
    </xf>
    <xf numFmtId="0" fontId="7" fillId="0" borderId="2" xfId="0" applyFont="1" applyBorder="1" applyAlignment="1" applyProtection="1">
      <alignment vertical="center" wrapText="1"/>
      <protection hidden="1"/>
    </xf>
    <xf numFmtId="0" fontId="7" fillId="0" borderId="0" xfId="0" applyFont="1" applyAlignment="1" applyProtection="1">
      <alignment vertical="center" wrapText="1"/>
      <protection hidden="1"/>
    </xf>
    <xf numFmtId="14" fontId="9" fillId="0" borderId="0" xfId="0" applyNumberFormat="1" applyFont="1" applyAlignment="1" applyProtection="1">
      <alignment vertical="center"/>
      <protection hidden="1"/>
    </xf>
    <xf numFmtId="49" fontId="9" fillId="0" borderId="0" xfId="0" applyNumberFormat="1" applyFont="1" applyAlignment="1" applyProtection="1">
      <alignment vertical="center"/>
      <protection hidden="1"/>
    </xf>
    <xf numFmtId="0" fontId="7" fillId="0" borderId="9" xfId="0" applyFont="1" applyBorder="1" applyAlignment="1" applyProtection="1">
      <alignment vertical="center" wrapText="1"/>
      <protection hidden="1"/>
    </xf>
    <xf numFmtId="0" fontId="9" fillId="0" borderId="3" xfId="0" applyFont="1" applyBorder="1" applyAlignment="1" applyProtection="1">
      <alignment vertical="center"/>
      <protection hidden="1"/>
    </xf>
    <xf numFmtId="0" fontId="9" fillId="0" borderId="16" xfId="0" applyFont="1" applyBorder="1" applyAlignment="1" applyProtection="1">
      <alignment vertical="center"/>
      <protection hidden="1"/>
    </xf>
    <xf numFmtId="0" fontId="7" fillId="0" borderId="12" xfId="0" applyFont="1" applyBorder="1" applyAlignment="1" applyProtection="1">
      <alignment vertical="center" wrapText="1"/>
      <protection hidden="1"/>
    </xf>
    <xf numFmtId="0" fontId="7" fillId="0" borderId="1" xfId="0" applyFont="1" applyBorder="1" applyAlignment="1" applyProtection="1">
      <alignment vertical="center" wrapText="1"/>
      <protection hidden="1"/>
    </xf>
    <xf numFmtId="0" fontId="9"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7" fillId="0" borderId="3" xfId="0" applyFont="1" applyBorder="1" applyAlignment="1" applyProtection="1">
      <alignment vertical="center"/>
      <protection hidden="1"/>
    </xf>
    <xf numFmtId="0" fontId="0" fillId="0" borderId="0" xfId="0" applyAlignment="1" applyProtection="1">
      <alignment horizontal="left" vertical="center"/>
      <protection hidden="1"/>
    </xf>
    <xf numFmtId="0" fontId="21" fillId="0" borderId="0" xfId="0" applyFont="1" applyAlignment="1" applyProtection="1">
      <alignment horizontal="left" vertical="center" wrapText="1"/>
      <protection hidden="1"/>
    </xf>
    <xf numFmtId="0" fontId="21" fillId="0" borderId="0" xfId="0" applyFont="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5" xfId="0" applyFont="1" applyBorder="1" applyAlignment="1" applyProtection="1">
      <alignment vertical="center" wrapText="1"/>
      <protection hidden="1"/>
    </xf>
    <xf numFmtId="0" fontId="9" fillId="0" borderId="0" xfId="0" applyFont="1" applyProtection="1">
      <protection hidden="1"/>
    </xf>
    <xf numFmtId="175" fontId="21" fillId="0" borderId="0" xfId="0" applyNumberFormat="1" applyFont="1" applyAlignment="1" applyProtection="1">
      <alignment horizontal="right" vertical="center" wrapText="1"/>
      <protection hidden="1"/>
    </xf>
    <xf numFmtId="0" fontId="9" fillId="0" borderId="1" xfId="0" applyFont="1" applyBorder="1" applyAlignment="1" applyProtection="1">
      <alignment vertical="center" wrapText="1"/>
      <protection hidden="1"/>
    </xf>
    <xf numFmtId="0" fontId="21" fillId="0" borderId="0" xfId="0" applyFont="1" applyAlignment="1" applyProtection="1">
      <alignment wrapText="1"/>
      <protection hidden="1"/>
    </xf>
    <xf numFmtId="0" fontId="21" fillId="0" borderId="0" xfId="0" applyFont="1" applyAlignment="1" applyProtection="1">
      <alignment horizontal="justify" wrapText="1"/>
      <protection hidden="1"/>
    </xf>
    <xf numFmtId="10" fontId="21" fillId="0" borderId="0" xfId="2" applyNumberFormat="1" applyFont="1" applyAlignment="1" applyProtection="1">
      <alignment vertical="center" wrapText="1"/>
      <protection hidden="1"/>
    </xf>
    <xf numFmtId="164" fontId="21" fillId="0" borderId="0" xfId="0" applyNumberFormat="1" applyFont="1" applyAlignment="1" applyProtection="1">
      <alignment vertical="center" wrapText="1"/>
      <protection hidden="1"/>
    </xf>
    <xf numFmtId="0" fontId="9" fillId="0" borderId="0" xfId="0" applyFont="1" applyAlignment="1" applyProtection="1">
      <alignment horizontal="distributed" wrapText="1"/>
      <protection hidden="1"/>
    </xf>
    <xf numFmtId="0" fontId="21" fillId="0" borderId="0" xfId="0" applyFont="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4" fontId="3" fillId="0" borderId="1" xfId="2" applyNumberFormat="1" applyFont="1" applyFill="1" applyBorder="1" applyAlignment="1" applyProtection="1">
      <alignment horizontal="right" vertical="center" wrapText="1" readingOrder="1"/>
      <protection locked="0"/>
    </xf>
    <xf numFmtId="0" fontId="21" fillId="0" borderId="0" xfId="0" applyFont="1" applyAlignment="1" applyProtection="1">
      <alignment horizontal="justify" vertical="top" wrapText="1"/>
      <protection hidden="1"/>
    </xf>
    <xf numFmtId="0" fontId="22" fillId="0" borderId="0" xfId="0" applyFont="1" applyAlignment="1" applyProtection="1">
      <alignment horizontal="center" vertical="center" wrapText="1"/>
      <protection hidden="1"/>
    </xf>
    <xf numFmtId="10" fontId="21" fillId="0" borderId="0" xfId="0" applyNumberFormat="1" applyFont="1" applyAlignment="1" applyProtection="1">
      <alignment horizontal="center" vertical="center" wrapText="1"/>
      <protection hidden="1"/>
    </xf>
    <xf numFmtId="170" fontId="21" fillId="0" borderId="0" xfId="0" applyNumberFormat="1" applyFont="1" applyAlignment="1" applyProtection="1">
      <alignment horizontal="justify" vertical="top" wrapText="1"/>
      <protection hidden="1"/>
    </xf>
    <xf numFmtId="0" fontId="8" fillId="0" borderId="0" xfId="0" applyFont="1" applyAlignment="1" applyProtection="1">
      <alignment horizontal="justify" vertical="top" wrapText="1"/>
      <protection hidden="1"/>
    </xf>
    <xf numFmtId="0" fontId="8" fillId="0" borderId="0" xfId="0" applyFont="1" applyAlignment="1" applyProtection="1">
      <alignment wrapText="1"/>
      <protection hidden="1"/>
    </xf>
    <xf numFmtId="0" fontId="9" fillId="0" borderId="0" xfId="0" applyFont="1" applyAlignment="1" applyProtection="1">
      <alignment horizontal="justify" vertical="top" wrapText="1"/>
      <protection hidden="1"/>
    </xf>
    <xf numFmtId="0" fontId="9" fillId="0" borderId="0" xfId="0" applyFont="1" applyAlignment="1" applyProtection="1">
      <alignment horizontal="right" vertical="center" wrapText="1"/>
      <protection hidden="1"/>
    </xf>
    <xf numFmtId="170" fontId="9" fillId="0" borderId="0" xfId="0" applyNumberFormat="1" applyFont="1" applyAlignment="1" applyProtection="1">
      <alignment horizontal="right" vertical="center" wrapText="1"/>
      <protection hidden="1"/>
    </xf>
    <xf numFmtId="0" fontId="26" fillId="0" borderId="0" xfId="0" applyFont="1" applyAlignment="1" applyProtection="1">
      <alignment horizontal="center" vertical="center" wrapText="1"/>
      <protection hidden="1"/>
    </xf>
    <xf numFmtId="169" fontId="7" fillId="4" borderId="0" xfId="0" applyNumberFormat="1" applyFont="1" applyFill="1" applyAlignment="1" applyProtection="1">
      <alignment horizontal="center" vertical="center" wrapText="1"/>
      <protection locked="0" hidden="1"/>
    </xf>
    <xf numFmtId="177" fontId="9" fillId="0" borderId="5" xfId="0" applyNumberFormat="1" applyFont="1" applyBorder="1" applyAlignment="1" applyProtection="1">
      <alignment horizontal="center" vertical="center"/>
      <protection locked="0" hidden="1"/>
    </xf>
    <xf numFmtId="177" fontId="9" fillId="0" borderId="13" xfId="0" applyNumberFormat="1" applyFont="1" applyBorder="1" applyAlignment="1" applyProtection="1">
      <alignment horizontal="center" vertical="center"/>
      <protection locked="0" hidden="1"/>
    </xf>
    <xf numFmtId="169" fontId="9" fillId="0" borderId="13" xfId="0" applyNumberFormat="1" applyFont="1" applyBorder="1" applyAlignment="1" applyProtection="1">
      <alignment horizontal="left" vertical="center"/>
      <protection locked="0" hidden="1"/>
    </xf>
    <xf numFmtId="169" fontId="7" fillId="4" borderId="0" xfId="0" applyNumberFormat="1" applyFont="1" applyFill="1" applyAlignment="1" applyProtection="1">
      <alignment horizontal="center" vertical="center" wrapText="1"/>
      <protection locked="0" hidden="1"/>
    </xf>
    <xf numFmtId="169" fontId="9" fillId="0" borderId="5" xfId="0" applyNumberFormat="1" applyFont="1" applyBorder="1" applyAlignment="1" applyProtection="1">
      <alignment horizontal="left" vertical="center"/>
      <protection locked="0" hidden="1"/>
    </xf>
    <xf numFmtId="0" fontId="2" fillId="2" borderId="0" xfId="0" applyFont="1" applyFill="1" applyAlignment="1" applyProtection="1">
      <alignment horizontal="left" vertical="center" wrapText="1"/>
      <protection hidden="1"/>
    </xf>
    <xf numFmtId="0" fontId="3" fillId="0" borderId="2" xfId="0" applyFont="1" applyBorder="1" applyAlignment="1" applyProtection="1">
      <alignment vertical="center" wrapText="1"/>
      <protection hidden="1"/>
    </xf>
    <xf numFmtId="164" fontId="3" fillId="0" borderId="2" xfId="0" applyNumberFormat="1" applyFont="1" applyBorder="1" applyAlignment="1" applyProtection="1">
      <alignment horizontal="right" vertical="center" wrapText="1"/>
      <protection hidden="1"/>
    </xf>
    <xf numFmtId="0" fontId="3" fillId="0" borderId="2" xfId="0" applyFont="1" applyBorder="1" applyAlignment="1" applyProtection="1">
      <alignment horizontal="right" vertical="center" wrapText="1"/>
      <protection hidden="1"/>
    </xf>
    <xf numFmtId="10" fontId="3" fillId="0" borderId="2" xfId="2" applyNumberFormat="1" applyFont="1" applyFill="1" applyBorder="1" applyAlignment="1" applyProtection="1">
      <alignment horizontal="right" vertical="center" wrapText="1"/>
      <protection hidden="1"/>
    </xf>
    <xf numFmtId="0" fontId="2" fillId="4" borderId="0" xfId="0" applyFont="1" applyFill="1" applyAlignment="1" applyProtection="1">
      <alignment horizontal="center" vertical="center" wrapText="1"/>
      <protection hidden="1"/>
    </xf>
    <xf numFmtId="10" fontId="3" fillId="0" borderId="5" xfId="0" applyNumberFormat="1" applyFont="1" applyBorder="1" applyAlignment="1" applyProtection="1">
      <alignment vertical="center" wrapText="1"/>
      <protection hidden="1"/>
    </xf>
    <xf numFmtId="164" fontId="3" fillId="0" borderId="2" xfId="0" applyNumberFormat="1"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0" xfId="0" applyFont="1" applyAlignment="1" applyProtection="1">
      <alignment horizontal="right" vertical="center" wrapText="1"/>
      <protection hidden="1"/>
    </xf>
    <xf numFmtId="0" fontId="2" fillId="4" borderId="2" xfId="0" applyFont="1" applyFill="1" applyBorder="1" applyAlignment="1" applyProtection="1">
      <alignment vertical="center" wrapText="1"/>
      <protection hidden="1"/>
    </xf>
    <xf numFmtId="165" fontId="3" fillId="0" borderId="5" xfId="1" applyNumberFormat="1" applyFont="1" applyBorder="1" applyAlignment="1" applyProtection="1">
      <alignment horizontal="right" vertical="center" wrapText="1"/>
      <protection hidden="1"/>
    </xf>
    <xf numFmtId="0" fontId="3" fillId="0" borderId="5" xfId="0" applyFont="1" applyBorder="1" applyAlignment="1" applyProtection="1">
      <alignment horizontal="center" vertical="center" wrapText="1"/>
      <protection hidden="1"/>
    </xf>
    <xf numFmtId="164" fontId="3" fillId="0" borderId="0" xfId="0" applyNumberFormat="1" applyFont="1" applyAlignment="1" applyProtection="1">
      <alignment vertical="center" wrapText="1"/>
      <protection locked="0"/>
    </xf>
    <xf numFmtId="10" fontId="3" fillId="0" borderId="5" xfId="2" applyNumberFormat="1" applyFont="1" applyBorder="1" applyAlignment="1" applyProtection="1">
      <alignment vertical="center" wrapText="1"/>
      <protection hidden="1"/>
    </xf>
    <xf numFmtId="164" fontId="3" fillId="0" borderId="5" xfId="0" applyNumberFormat="1" applyFont="1" applyBorder="1" applyAlignment="1" applyProtection="1">
      <alignment vertical="center" wrapText="1"/>
      <protection locked="0"/>
    </xf>
    <xf numFmtId="1" fontId="3" fillId="0" borderId="5" xfId="1" applyNumberFormat="1" applyFont="1" applyBorder="1" applyAlignment="1" applyProtection="1">
      <alignment horizontal="right" vertical="center" wrapText="1"/>
      <protection hidden="1"/>
    </xf>
    <xf numFmtId="0" fontId="2" fillId="0" borderId="1" xfId="0" applyFont="1" applyBorder="1" applyAlignment="1" applyProtection="1">
      <alignment horizontal="center" vertical="center" wrapText="1"/>
      <protection hidden="1"/>
    </xf>
    <xf numFmtId="0" fontId="2" fillId="4" borderId="0" xfId="0" applyFont="1" applyFill="1" applyAlignment="1" applyProtection="1">
      <alignment vertical="center" wrapText="1"/>
      <protection hidden="1"/>
    </xf>
    <xf numFmtId="0" fontId="3" fillId="0" borderId="5" xfId="0" applyFont="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4" fontId="3" fillId="0" borderId="2" xfId="0" applyNumberFormat="1" applyFont="1" applyBorder="1" applyAlignment="1" applyProtection="1">
      <alignment horizontal="right" vertical="center" wrapText="1"/>
      <protection hidden="1"/>
    </xf>
    <xf numFmtId="0" fontId="3" fillId="0" borderId="0" xfId="0" applyFont="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13" xfId="0" applyFont="1" applyBorder="1" applyAlignment="1" applyProtection="1">
      <alignment vertical="center" wrapText="1"/>
      <protection locked="0"/>
    </xf>
    <xf numFmtId="0" fontId="9" fillId="0" borderId="0" xfId="0" applyFont="1" applyAlignment="1" applyProtection="1">
      <alignment vertical="center" wrapText="1"/>
      <protection hidden="1"/>
    </xf>
    <xf numFmtId="164" fontId="3" fillId="0" borderId="0" xfId="0" applyNumberFormat="1" applyFont="1" applyAlignment="1" applyProtection="1">
      <alignment vertical="center" wrapText="1"/>
      <protection hidden="1"/>
    </xf>
    <xf numFmtId="164" fontId="3" fillId="0" borderId="13" xfId="0" applyNumberFormat="1" applyFont="1" applyBorder="1" applyAlignment="1" applyProtection="1">
      <alignment vertical="center" wrapText="1"/>
      <protection hidden="1"/>
    </xf>
    <xf numFmtId="164" fontId="3" fillId="0" borderId="0" xfId="0" applyNumberFormat="1" applyFont="1" applyAlignment="1" applyProtection="1">
      <alignment horizontal="center" vertical="center" wrapText="1"/>
      <protection hidden="1"/>
    </xf>
    <xf numFmtId="164" fontId="3" fillId="0" borderId="5" xfId="0" applyNumberFormat="1" applyFont="1" applyBorder="1" applyAlignment="1" applyProtection="1">
      <alignment horizontal="center" vertical="center" wrapText="1"/>
      <protection hidden="1"/>
    </xf>
    <xf numFmtId="164" fontId="3" fillId="0" borderId="13" xfId="0" applyNumberFormat="1" applyFont="1" applyBorder="1" applyAlignment="1" applyProtection="1">
      <alignment horizontal="center" vertical="center" wrapText="1"/>
      <protection hidden="1"/>
    </xf>
    <xf numFmtId="0" fontId="3" fillId="0" borderId="13" xfId="0" applyFont="1" applyBorder="1" applyAlignment="1" applyProtection="1">
      <alignment vertical="center" wrapText="1"/>
      <protection hidden="1"/>
    </xf>
    <xf numFmtId="0" fontId="24" fillId="0" borderId="5" xfId="0" applyFont="1" applyBorder="1" applyAlignment="1" applyProtection="1">
      <alignment vertical="center" wrapText="1"/>
      <protection hidden="1"/>
    </xf>
    <xf numFmtId="164" fontId="3" fillId="0" borderId="5" xfId="0" applyNumberFormat="1" applyFont="1" applyBorder="1" applyAlignment="1" applyProtection="1">
      <alignment vertical="center" wrapText="1"/>
      <protection hidden="1"/>
    </xf>
    <xf numFmtId="0" fontId="3" fillId="0" borderId="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9" fillId="0" borderId="5" xfId="0" applyFont="1" applyBorder="1" applyAlignment="1" applyProtection="1">
      <alignment vertical="center" wrapText="1"/>
      <protection hidden="1"/>
    </xf>
    <xf numFmtId="4" fontId="3" fillId="0" borderId="5" xfId="2" applyNumberFormat="1" applyFont="1" applyFill="1" applyBorder="1" applyAlignment="1" applyProtection="1">
      <alignment horizontal="right" vertical="center" wrapText="1" readingOrder="1"/>
      <protection hidden="1"/>
    </xf>
    <xf numFmtId="0" fontId="3" fillId="0" borderId="0" xfId="0" applyFont="1" applyAlignment="1" applyProtection="1">
      <alignment horizontal="justify" vertical="center" wrapText="1"/>
      <protection hidden="1"/>
    </xf>
    <xf numFmtId="0" fontId="3" fillId="0" borderId="2" xfId="0" applyFont="1" applyBorder="1" applyAlignment="1" applyProtection="1">
      <alignment horizontal="justify" vertical="center" wrapText="1"/>
      <protection hidden="1"/>
    </xf>
    <xf numFmtId="164" fontId="3" fillId="0" borderId="1" xfId="0" applyNumberFormat="1" applyFont="1" applyBorder="1" applyAlignment="1" applyProtection="1">
      <alignment horizontal="center" vertical="center" wrapText="1"/>
      <protection hidden="1"/>
    </xf>
    <xf numFmtId="10" fontId="3" fillId="0" borderId="2" xfId="2" applyNumberFormat="1" applyFont="1" applyBorder="1" applyAlignment="1" applyProtection="1">
      <alignment vertical="center" wrapText="1"/>
      <protection hidden="1"/>
    </xf>
    <xf numFmtId="164" fontId="3" fillId="0" borderId="2" xfId="0" applyNumberFormat="1" applyFont="1" applyBorder="1" applyAlignment="1" applyProtection="1">
      <alignment horizontal="center" vertical="center" wrapText="1"/>
      <protection hidden="1"/>
    </xf>
    <xf numFmtId="4" fontId="3" fillId="0" borderId="0" xfId="2" applyNumberFormat="1" applyFont="1" applyFill="1" applyAlignment="1" applyProtection="1">
      <alignment horizontal="right" vertical="center" wrapText="1" readingOrder="1"/>
      <protection hidden="1"/>
    </xf>
    <xf numFmtId="164" fontId="3" fillId="0" borderId="0" xfId="0" applyNumberFormat="1" applyFont="1" applyAlignment="1" applyProtection="1">
      <alignment horizontal="right" vertical="center" wrapText="1"/>
      <protection hidden="1"/>
    </xf>
    <xf numFmtId="164" fontId="3" fillId="0" borderId="5" xfId="0" applyNumberFormat="1" applyFont="1" applyBorder="1" applyAlignment="1" applyProtection="1">
      <alignment horizontal="right" vertical="center" wrapText="1"/>
      <protection hidden="1"/>
    </xf>
    <xf numFmtId="164" fontId="3" fillId="0" borderId="13" xfId="0" applyNumberFormat="1" applyFont="1" applyBorder="1" applyAlignment="1" applyProtection="1">
      <alignment horizontal="right" vertical="center" wrapText="1"/>
      <protection hidden="1"/>
    </xf>
    <xf numFmtId="10" fontId="3" fillId="0" borderId="2" xfId="2" applyNumberFormat="1" applyFont="1" applyBorder="1" applyAlignment="1" applyProtection="1">
      <alignment horizontal="right" vertical="center" wrapText="1"/>
      <protection hidden="1"/>
    </xf>
    <xf numFmtId="0" fontId="3" fillId="0" borderId="5" xfId="0" applyFont="1" applyBorder="1" applyAlignment="1" applyProtection="1">
      <alignment horizontal="right" vertical="center" wrapText="1"/>
      <protection hidden="1"/>
    </xf>
    <xf numFmtId="1" fontId="3" fillId="0" borderId="2" xfId="1" applyNumberFormat="1" applyFont="1" applyBorder="1" applyAlignment="1" applyProtection="1">
      <alignment horizontal="right" vertical="center" wrapText="1"/>
      <protection locked="0"/>
    </xf>
    <xf numFmtId="0" fontId="2" fillId="0" borderId="0" xfId="0" applyFont="1" applyAlignment="1" applyProtection="1">
      <alignment horizontal="center" vertical="center" wrapText="1"/>
      <protection hidden="1"/>
    </xf>
    <xf numFmtId="1" fontId="3" fillId="0" borderId="2" xfId="1" applyNumberFormat="1" applyFont="1" applyBorder="1" applyAlignment="1" applyProtection="1">
      <alignment vertical="center" wrapText="1"/>
      <protection locked="0"/>
    </xf>
    <xf numFmtId="10" fontId="3" fillId="0" borderId="2" xfId="0" applyNumberFormat="1" applyFont="1" applyBorder="1" applyAlignment="1" applyProtection="1">
      <alignment vertical="center" wrapText="1"/>
      <protection hidden="1"/>
    </xf>
    <xf numFmtId="9" fontId="3" fillId="0" borderId="2" xfId="2" applyFont="1" applyBorder="1" applyAlignment="1" applyProtection="1">
      <alignment vertical="center" wrapText="1"/>
      <protection hidden="1"/>
    </xf>
    <xf numFmtId="0" fontId="3" fillId="0" borderId="13" xfId="0" applyFont="1" applyBorder="1" applyAlignment="1" applyProtection="1">
      <alignment horizontal="center" vertical="center" wrapText="1"/>
      <protection hidden="1"/>
    </xf>
    <xf numFmtId="0" fontId="24" fillId="2" borderId="2" xfId="0" applyFont="1" applyFill="1" applyBorder="1" applyAlignment="1" applyProtection="1">
      <alignment horizontal="center" vertical="center" wrapText="1"/>
      <protection hidden="1"/>
    </xf>
    <xf numFmtId="0" fontId="24" fillId="0" borderId="0" xfId="0" applyFont="1" applyAlignment="1" applyProtection="1">
      <alignment horizontal="center" vertical="center" wrapText="1"/>
      <protection hidden="1"/>
    </xf>
    <xf numFmtId="0" fontId="24" fillId="0" borderId="5" xfId="0" applyFont="1" applyBorder="1" applyAlignment="1" applyProtection="1">
      <alignment horizontal="center" vertical="center" wrapText="1"/>
      <protection hidden="1"/>
    </xf>
    <xf numFmtId="9" fontId="3" fillId="0" borderId="3" xfId="2" applyFont="1" applyFill="1" applyBorder="1" applyAlignment="1" applyProtection="1">
      <alignment horizontal="center" vertical="center" wrapText="1"/>
      <protection hidden="1"/>
    </xf>
    <xf numFmtId="166" fontId="3" fillId="0" borderId="5" xfId="0" applyNumberFormat="1" applyFont="1" applyBorder="1" applyAlignment="1" applyProtection="1">
      <alignment horizontal="right" vertical="center" wrapText="1"/>
      <protection hidden="1"/>
    </xf>
    <xf numFmtId="0" fontId="3" fillId="0" borderId="5" xfId="0" applyFont="1" applyBorder="1" applyAlignment="1" applyProtection="1">
      <alignment horizontal="right" vertical="center" wrapText="1"/>
      <protection locked="0"/>
    </xf>
    <xf numFmtId="9" fontId="3" fillId="0" borderId="5" xfId="2" applyFont="1" applyBorder="1" applyAlignment="1" applyProtection="1">
      <alignment horizontal="right" vertical="center" wrapText="1"/>
      <protection hidden="1"/>
    </xf>
    <xf numFmtId="0" fontId="6" fillId="0" borderId="3"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10" fontId="3" fillId="0" borderId="0" xfId="0" applyNumberFormat="1" applyFont="1" applyAlignment="1" applyProtection="1">
      <alignment vertical="center" wrapText="1"/>
      <protection hidden="1"/>
    </xf>
    <xf numFmtId="0" fontId="3" fillId="2" borderId="0" xfId="0" applyFont="1" applyFill="1" applyAlignment="1" applyProtection="1">
      <alignment horizontal="center" vertical="center" wrapText="1"/>
      <protection hidden="1"/>
    </xf>
    <xf numFmtId="0" fontId="8" fillId="0" borderId="0" xfId="0" applyFont="1" applyAlignment="1" applyProtection="1">
      <alignment vertical="center" wrapText="1"/>
      <protection hidden="1"/>
    </xf>
    <xf numFmtId="0" fontId="3" fillId="0" borderId="0" xfId="0" applyFont="1" applyAlignment="1" applyProtection="1">
      <alignment horizontal="justify" wrapText="1"/>
      <protection hidden="1"/>
    </xf>
    <xf numFmtId="176" fontId="9" fillId="0" borderId="5" xfId="0" applyNumberFormat="1" applyFont="1" applyBorder="1" applyAlignment="1" applyProtection="1">
      <alignment vertical="center" wrapText="1"/>
      <protection hidden="1"/>
    </xf>
    <xf numFmtId="0" fontId="9" fillId="0" borderId="2" xfId="0" applyFont="1" applyBorder="1" applyAlignment="1" applyProtection="1">
      <alignment vertical="center" wrapText="1"/>
      <protection hidden="1"/>
    </xf>
    <xf numFmtId="0" fontId="9" fillId="0" borderId="0" xfId="0" applyFont="1" applyAlignment="1" applyProtection="1">
      <alignment horizontal="right" vertical="center" wrapText="1"/>
      <protection locked="0"/>
    </xf>
    <xf numFmtId="0" fontId="7" fillId="0" borderId="2" xfId="0" applyFont="1" applyBorder="1" applyAlignment="1" applyProtection="1">
      <alignment vertical="center" wrapText="1"/>
      <protection hidden="1"/>
    </xf>
    <xf numFmtId="0" fontId="9" fillId="0" borderId="5" xfId="0" applyFont="1" applyBorder="1" applyAlignment="1" applyProtection="1">
      <alignment horizontal="right" vertical="center" wrapText="1"/>
      <protection locked="0"/>
    </xf>
    <xf numFmtId="10" fontId="9" fillId="0" borderId="5" xfId="2" applyNumberFormat="1" applyFont="1" applyBorder="1" applyAlignment="1" applyProtection="1">
      <alignment vertical="center" wrapText="1"/>
      <protection hidden="1"/>
    </xf>
    <xf numFmtId="164" fontId="9" fillId="0" borderId="2" xfId="0" applyNumberFormat="1" applyFont="1" applyBorder="1" applyAlignment="1" applyProtection="1">
      <alignment horizontal="right" vertical="center" wrapText="1"/>
      <protection hidden="1"/>
    </xf>
    <xf numFmtId="0" fontId="7" fillId="0" borderId="0" xfId="0" applyFont="1" applyAlignment="1" applyProtection="1">
      <alignment vertical="center" wrapText="1"/>
      <protection hidden="1"/>
    </xf>
    <xf numFmtId="0" fontId="20" fillId="0" borderId="2" xfId="0" applyFont="1" applyBorder="1" applyAlignment="1" applyProtection="1">
      <alignment vertical="center" wrapText="1"/>
      <protection hidden="1"/>
    </xf>
    <xf numFmtId="0" fontId="9" fillId="0" borderId="2" xfId="0" applyFont="1" applyBorder="1" applyAlignment="1" applyProtection="1">
      <alignment vertical="center" wrapText="1"/>
      <protection locked="0"/>
    </xf>
    <xf numFmtId="0" fontId="9" fillId="0" borderId="5" xfId="0" applyFont="1" applyBorder="1" applyAlignment="1" applyProtection="1">
      <alignment horizontal="left" vertical="center" wrapText="1"/>
      <protection hidden="1"/>
    </xf>
    <xf numFmtId="168" fontId="9" fillId="0" borderId="2" xfId="3" applyNumberFormat="1" applyFont="1" applyBorder="1" applyAlignment="1" applyProtection="1">
      <alignment horizontal="right" vertical="center" wrapText="1"/>
      <protection locked="0"/>
    </xf>
    <xf numFmtId="0" fontId="9" fillId="0" borderId="5" xfId="0" applyFont="1" applyBorder="1" applyAlignment="1" applyProtection="1">
      <alignment horizontal="left" vertical="center" wrapText="1"/>
      <protection locked="0"/>
    </xf>
    <xf numFmtId="0" fontId="9" fillId="0" borderId="5" xfId="0" applyFont="1" applyBorder="1" applyAlignment="1" applyProtection="1">
      <alignment vertical="center" wrapText="1"/>
      <protection locked="0"/>
    </xf>
    <xf numFmtId="0" fontId="7" fillId="4" borderId="2" xfId="0" applyFont="1" applyFill="1" applyBorder="1" applyAlignment="1" applyProtection="1">
      <alignment vertical="center" wrapText="1"/>
      <protection hidden="1"/>
    </xf>
    <xf numFmtId="0" fontId="9" fillId="0" borderId="0" xfId="0" applyFont="1" applyAlignment="1" applyProtection="1">
      <alignment horizontal="justify" wrapText="1"/>
      <protection hidden="1"/>
    </xf>
    <xf numFmtId="164" fontId="9" fillId="0" borderId="2" xfId="0" applyNumberFormat="1" applyFont="1" applyBorder="1" applyAlignment="1" applyProtection="1">
      <alignment horizontal="left" vertical="center" wrapText="1"/>
      <protection locked="0"/>
    </xf>
    <xf numFmtId="164" fontId="9" fillId="0" borderId="5" xfId="0" applyNumberFormat="1" applyFont="1" applyBorder="1" applyAlignment="1" applyProtection="1">
      <alignment vertical="center" wrapText="1"/>
      <protection hidden="1"/>
    </xf>
    <xf numFmtId="164" fontId="7" fillId="0" borderId="2" xfId="0" applyNumberFormat="1" applyFont="1" applyBorder="1" applyAlignment="1" applyProtection="1">
      <alignment horizontal="right" vertical="center" wrapText="1"/>
      <protection hidden="1"/>
    </xf>
    <xf numFmtId="0" fontId="9" fillId="0" borderId="0" xfId="0" applyFont="1" applyAlignment="1" applyProtection="1">
      <alignment horizontal="center" vertical="center" wrapText="1"/>
      <protection hidden="1"/>
    </xf>
    <xf numFmtId="10" fontId="9" fillId="0" borderId="5" xfId="2" applyNumberFormat="1" applyFont="1" applyFill="1" applyBorder="1" applyAlignment="1" applyProtection="1">
      <alignment vertical="center" wrapText="1"/>
      <protection hidden="1"/>
    </xf>
    <xf numFmtId="0" fontId="21" fillId="0" borderId="0" xfId="0" applyFont="1" applyAlignment="1" applyProtection="1">
      <alignment horizontal="center" vertical="center" wrapText="1"/>
      <protection hidden="1"/>
    </xf>
    <xf numFmtId="176" fontId="9" fillId="0" borderId="2" xfId="0" applyNumberFormat="1" applyFont="1" applyBorder="1" applyAlignment="1" applyProtection="1">
      <alignment vertical="center" wrapText="1"/>
      <protection hidden="1"/>
    </xf>
    <xf numFmtId="0" fontId="9" fillId="0" borderId="0" xfId="0" applyFont="1" applyAlignment="1" applyProtection="1">
      <alignment horizontal="justify" vertical="center" wrapText="1"/>
      <protection hidden="1"/>
    </xf>
    <xf numFmtId="164" fontId="3" fillId="0" borderId="2" xfId="0" applyNumberFormat="1" applyFont="1" applyBorder="1" applyAlignment="1" applyProtection="1">
      <alignment horizontal="right" vertical="center" wrapText="1"/>
      <protection locked="0"/>
    </xf>
    <xf numFmtId="168" fontId="9" fillId="0" borderId="2" xfId="3" applyNumberFormat="1" applyFont="1" applyBorder="1" applyAlignment="1" applyProtection="1">
      <alignment horizontal="right" vertical="center" wrapText="1"/>
      <protection hidden="1"/>
    </xf>
    <xf numFmtId="164" fontId="9" fillId="0" borderId="2" xfId="0" applyNumberFormat="1" applyFont="1" applyBorder="1" applyAlignment="1" applyProtection="1">
      <alignment horizontal="right" vertical="center" wrapText="1"/>
      <protection locked="0"/>
    </xf>
    <xf numFmtId="0" fontId="2" fillId="2" borderId="1" xfId="0" applyFont="1" applyFill="1" applyBorder="1" applyAlignment="1" applyProtection="1">
      <alignment horizontal="left" vertical="center" wrapText="1"/>
      <protection hidden="1"/>
    </xf>
    <xf numFmtId="0" fontId="3" fillId="0" borderId="0" xfId="0" applyFont="1" applyAlignment="1" applyProtection="1">
      <alignment wrapText="1"/>
      <protection hidden="1"/>
    </xf>
    <xf numFmtId="0" fontId="3" fillId="0" borderId="0" xfId="0" applyFont="1" applyAlignment="1" applyProtection="1">
      <alignment horizontal="justify" vertical="top" wrapText="1"/>
      <protection hidden="1"/>
    </xf>
    <xf numFmtId="0" fontId="2" fillId="5" borderId="23" xfId="0" applyFont="1" applyFill="1" applyBorder="1" applyAlignment="1" applyProtection="1">
      <alignment horizontal="center" vertical="center" wrapText="1"/>
      <protection hidden="1"/>
    </xf>
    <xf numFmtId="10" fontId="3" fillId="0" borderId="23" xfId="0" applyNumberFormat="1" applyFont="1" applyBorder="1" applyAlignment="1" applyProtection="1">
      <alignment horizontal="center" vertical="center" wrapText="1"/>
      <protection hidden="1"/>
    </xf>
    <xf numFmtId="0" fontId="3" fillId="5" borderId="23" xfId="0" applyFont="1" applyFill="1" applyBorder="1" applyAlignment="1" applyProtection="1">
      <alignment horizontal="justify" vertical="center" wrapText="1"/>
      <protection hidden="1"/>
    </xf>
    <xf numFmtId="0" fontId="23" fillId="0" borderId="0" xfId="0" applyFont="1" applyAlignment="1" applyProtection="1">
      <alignment horizontal="center" vertical="center" wrapText="1"/>
      <protection hidden="1"/>
    </xf>
    <xf numFmtId="0" fontId="23" fillId="0" borderId="0" xfId="0" applyFont="1" applyAlignment="1" applyProtection="1">
      <alignment horizontal="center" vertical="center" textRotation="90" wrapText="1"/>
      <protection hidden="1"/>
    </xf>
    <xf numFmtId="0" fontId="3" fillId="0" borderId="0" xfId="0" applyFont="1" applyAlignment="1" applyProtection="1">
      <alignment vertical="top" wrapText="1"/>
      <protection hidden="1"/>
    </xf>
    <xf numFmtId="0" fontId="2" fillId="2" borderId="24" xfId="0" applyFont="1" applyFill="1" applyBorder="1" applyAlignment="1" applyProtection="1">
      <alignment horizontal="center" vertical="center" wrapText="1" readingOrder="1"/>
      <protection hidden="1"/>
    </xf>
    <xf numFmtId="0" fontId="3" fillId="6" borderId="23" xfId="0" applyFont="1" applyFill="1" applyBorder="1" applyAlignment="1" applyProtection="1">
      <alignment horizontal="center" vertical="center" wrapText="1"/>
      <protection hidden="1"/>
    </xf>
    <xf numFmtId="0" fontId="3" fillId="6" borderId="26" xfId="0" applyFont="1" applyFill="1" applyBorder="1" applyAlignment="1" applyProtection="1">
      <alignment horizontal="center" vertical="center" wrapText="1"/>
      <protection hidden="1"/>
    </xf>
    <xf numFmtId="0" fontId="3" fillId="6" borderId="27" xfId="0" applyFont="1" applyFill="1" applyBorder="1" applyAlignment="1" applyProtection="1">
      <alignment horizontal="center" vertical="center" wrapText="1"/>
      <protection hidden="1"/>
    </xf>
    <xf numFmtId="0" fontId="3" fillId="6" borderId="28" xfId="0" applyFont="1" applyFill="1" applyBorder="1" applyAlignment="1" applyProtection="1">
      <alignment horizontal="center" vertical="center" wrapText="1"/>
      <protection hidden="1"/>
    </xf>
    <xf numFmtId="0" fontId="3" fillId="6" borderId="29" xfId="0" applyFont="1" applyFill="1" applyBorder="1" applyAlignment="1" applyProtection="1">
      <alignment horizontal="center" vertical="center" wrapText="1"/>
      <protection hidden="1"/>
    </xf>
    <xf numFmtId="0" fontId="16" fillId="0" borderId="23" xfId="0" applyFont="1" applyBorder="1" applyAlignment="1" applyProtection="1">
      <alignment horizontal="right" vertical="center" wrapText="1"/>
      <protection hidden="1"/>
    </xf>
    <xf numFmtId="9" fontId="16" fillId="0" borderId="23" xfId="0" applyNumberFormat="1" applyFont="1" applyBorder="1" applyAlignment="1" applyProtection="1">
      <alignment horizontal="right" vertical="center" wrapText="1"/>
      <protection hidden="1"/>
    </xf>
    <xf numFmtId="0" fontId="16" fillId="0" borderId="23" xfId="0" applyFont="1" applyBorder="1" applyAlignment="1" applyProtection="1">
      <alignment horizontal="left" vertical="center" wrapText="1"/>
      <protection hidden="1"/>
    </xf>
    <xf numFmtId="0" fontId="3" fillId="6" borderId="23" xfId="0" applyFont="1" applyFill="1" applyBorder="1" applyAlignment="1" applyProtection="1">
      <alignment horizontal="center" vertical="center" textRotation="90" wrapText="1"/>
      <protection hidden="1"/>
    </xf>
    <xf numFmtId="0" fontId="3" fillId="0" borderId="23" xfId="0" applyFont="1" applyBorder="1" applyAlignment="1" applyProtection="1">
      <alignment horizontal="center" vertical="center" wrapText="1"/>
      <protection hidden="1"/>
    </xf>
    <xf numFmtId="0" fontId="15" fillId="0" borderId="23" xfId="0" applyFont="1" applyBorder="1" applyAlignment="1" applyProtection="1">
      <alignment horizontal="left" vertical="center" wrapText="1"/>
      <protection hidden="1"/>
    </xf>
    <xf numFmtId="2" fontId="15" fillId="0" borderId="23" xfId="0" applyNumberFormat="1" applyFont="1" applyBorder="1" applyAlignment="1" applyProtection="1">
      <alignment horizontal="right" vertical="center" wrapText="1"/>
      <protection hidden="1"/>
    </xf>
    <xf numFmtId="0" fontId="15" fillId="0" borderId="23" xfId="0" applyFont="1" applyBorder="1" applyAlignment="1" applyProtection="1">
      <alignment horizontal="justify" vertical="center" wrapText="1"/>
      <protection hidden="1"/>
    </xf>
    <xf numFmtId="0" fontId="3" fillId="2" borderId="0" xfId="0" applyFont="1" applyFill="1" applyAlignment="1" applyProtection="1">
      <alignment horizontal="center" vertical="center" wrapText="1" readingOrder="1"/>
      <protection hidden="1"/>
    </xf>
    <xf numFmtId="0" fontId="3" fillId="2" borderId="24" xfId="0" applyFont="1" applyFill="1" applyBorder="1" applyAlignment="1" applyProtection="1">
      <alignment horizontal="center" vertical="center" wrapText="1" readingOrder="1"/>
      <protection hidden="1"/>
    </xf>
    <xf numFmtId="0" fontId="3" fillId="2" borderId="23" xfId="0" applyFont="1" applyFill="1" applyBorder="1" applyAlignment="1" applyProtection="1">
      <alignment horizontal="center" vertical="center" wrapText="1"/>
      <protection hidden="1"/>
    </xf>
    <xf numFmtId="174" fontId="15" fillId="0" borderId="23" xfId="0" applyNumberFormat="1" applyFont="1" applyBorder="1" applyAlignment="1" applyProtection="1">
      <alignment horizontal="right" vertical="center" wrapText="1"/>
      <protection hidden="1"/>
    </xf>
    <xf numFmtId="0" fontId="15" fillId="0" borderId="30" xfId="0" applyFont="1" applyBorder="1" applyAlignment="1" applyProtection="1">
      <alignment horizontal="left" vertical="center" wrapText="1"/>
      <protection hidden="1"/>
    </xf>
    <xf numFmtId="0" fontId="15" fillId="0" borderId="30" xfId="0" applyFont="1" applyBorder="1" applyAlignment="1" applyProtection="1">
      <alignment horizontal="justify" vertical="center" wrapText="1"/>
      <protection hidden="1"/>
    </xf>
    <xf numFmtId="0" fontId="15" fillId="0" borderId="0" xfId="0" applyFont="1" applyAlignment="1" applyProtection="1">
      <alignment horizontal="justify" vertical="center" wrapText="1"/>
      <protection hidden="1"/>
    </xf>
    <xf numFmtId="0" fontId="3" fillId="7" borderId="3" xfId="0" applyFont="1" applyFill="1" applyBorder="1" applyAlignment="1" applyProtection="1">
      <alignment horizontal="center" vertical="center" wrapText="1"/>
      <protection hidden="1"/>
    </xf>
    <xf numFmtId="10" fontId="15" fillId="0" borderId="3" xfId="0" applyNumberFormat="1" applyFont="1" applyBorder="1" applyAlignment="1" applyProtection="1">
      <alignment horizontal="right" vertical="center" wrapText="1"/>
      <protection hidden="1"/>
    </xf>
    <xf numFmtId="0" fontId="15" fillId="0" borderId="3" xfId="0" applyFont="1" applyBorder="1" applyAlignment="1" applyProtection="1">
      <alignment horizontal="center" vertical="center" wrapText="1"/>
      <protection hidden="1"/>
    </xf>
    <xf numFmtId="0" fontId="15" fillId="0" borderId="3" xfId="0" applyFont="1" applyBorder="1" applyAlignment="1" applyProtection="1">
      <alignment horizontal="right" vertical="center" wrapText="1"/>
      <protection hidden="1"/>
    </xf>
    <xf numFmtId="0" fontId="2" fillId="2" borderId="0" xfId="0" applyFont="1" applyFill="1" applyAlignment="1" applyProtection="1">
      <alignment horizontal="center" vertical="center" wrapText="1" readingOrder="1"/>
      <protection hidden="1"/>
    </xf>
    <xf numFmtId="0" fontId="2" fillId="7" borderId="4"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7" borderId="6" xfId="0" applyFont="1" applyFill="1" applyBorder="1" applyAlignment="1" applyProtection="1">
      <alignment horizontal="center" vertical="center" wrapText="1"/>
      <protection hidden="1"/>
    </xf>
    <xf numFmtId="0" fontId="2" fillId="6" borderId="31" xfId="0" applyFont="1" applyFill="1" applyBorder="1" applyAlignment="1" applyProtection="1">
      <alignment horizontal="center" vertical="center" wrapText="1"/>
      <protection hidden="1"/>
    </xf>
    <xf numFmtId="0" fontId="2" fillId="6" borderId="32" xfId="0" applyFont="1" applyFill="1" applyBorder="1" applyAlignment="1" applyProtection="1">
      <alignment horizontal="center" vertical="center" wrapText="1"/>
      <protection hidden="1"/>
    </xf>
    <xf numFmtId="0" fontId="2" fillId="6" borderId="33" xfId="0" applyFont="1" applyFill="1" applyBorder="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15" fillId="6" borderId="3" xfId="0" applyFont="1" applyFill="1" applyBorder="1" applyAlignment="1" applyProtection="1">
      <alignment horizontal="center" vertical="center" wrapText="1"/>
      <protection hidden="1"/>
    </xf>
    <xf numFmtId="0" fontId="0" fillId="0" borderId="0" xfId="0" applyProtection="1">
      <protection hidden="1"/>
    </xf>
    <xf numFmtId="169" fontId="7" fillId="4" borderId="10" xfId="0" applyNumberFormat="1" applyFont="1" applyFill="1" applyBorder="1" applyAlignment="1" applyProtection="1">
      <alignment horizontal="left" vertical="center"/>
      <protection hidden="1"/>
    </xf>
    <xf numFmtId="169" fontId="7" fillId="4" borderId="7" xfId="0" applyNumberFormat="1" applyFont="1" applyFill="1" applyBorder="1" applyAlignment="1" applyProtection="1">
      <alignment horizontal="left" vertical="center"/>
      <protection hidden="1"/>
    </xf>
    <xf numFmtId="169" fontId="7" fillId="4" borderId="11" xfId="0" applyNumberFormat="1" applyFont="1" applyFill="1" applyBorder="1" applyAlignment="1" applyProtection="1">
      <alignment horizontal="left" vertical="center"/>
      <protection hidden="1"/>
    </xf>
    <xf numFmtId="0" fontId="9" fillId="0" borderId="0" xfId="0" applyFont="1" applyAlignment="1" applyProtection="1">
      <alignment vertical="center"/>
      <protection hidden="1"/>
    </xf>
    <xf numFmtId="0" fontId="0" fillId="0" borderId="17" xfId="0" applyBorder="1" applyProtection="1">
      <protection hidden="1"/>
    </xf>
    <xf numFmtId="0" fontId="0" fillId="0" borderId="18" xfId="0" applyBorder="1" applyProtection="1">
      <protection hidden="1"/>
    </xf>
    <xf numFmtId="0" fontId="0" fillId="0" borderId="19" xfId="0" applyBorder="1" applyProtection="1">
      <protection hidden="1"/>
    </xf>
    <xf numFmtId="20" fontId="0" fillId="0" borderId="21" xfId="0" applyNumberFormat="1" applyBorder="1" applyProtection="1">
      <protection hidden="1"/>
    </xf>
    <xf numFmtId="20" fontId="0" fillId="0" borderId="20" xfId="0" applyNumberFormat="1" applyBorder="1" applyProtection="1">
      <protection hidden="1"/>
    </xf>
    <xf numFmtId="20" fontId="0" fillId="0" borderId="22" xfId="0" applyNumberFormat="1" applyBorder="1" applyProtection="1">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1" xfId="0" applyBorder="1" applyAlignment="1" applyProtection="1">
      <alignment vertical="center"/>
      <protection hidden="1"/>
    </xf>
    <xf numFmtId="0" fontId="0" fillId="0" borderId="20" xfId="0" applyBorder="1" applyAlignment="1" applyProtection="1">
      <alignment vertical="center"/>
      <protection hidden="1"/>
    </xf>
    <xf numFmtId="0" fontId="0" fillId="0" borderId="22" xfId="0" applyBorder="1" applyAlignment="1" applyProtection="1">
      <alignment vertical="center"/>
      <protection hidden="1"/>
    </xf>
    <xf numFmtId="0" fontId="0" fillId="0" borderId="2" xfId="0" applyBorder="1" applyProtection="1">
      <protection hidden="1"/>
    </xf>
    <xf numFmtId="0" fontId="11" fillId="0" borderId="0" xfId="0" applyFont="1" applyAlignment="1" applyProtection="1">
      <alignment horizontal="center" vertical="center"/>
      <protection locked="0"/>
    </xf>
    <xf numFmtId="0" fontId="11" fillId="0" borderId="0" xfId="0" applyFont="1" applyAlignment="1" applyProtection="1">
      <alignment horizontal="center"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3" xfId="0" applyBorder="1" applyAlignment="1" applyProtection="1">
      <alignment vertical="center"/>
      <protection hidden="1"/>
    </xf>
    <xf numFmtId="3" fontId="0" fillId="0" borderId="3" xfId="0" applyNumberFormat="1" applyBorder="1" applyAlignment="1" applyProtection="1">
      <alignment vertical="center"/>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3" xfId="0" applyBorder="1" applyProtection="1">
      <protection hidden="1"/>
    </xf>
    <xf numFmtId="0" fontId="0" fillId="0" borderId="3" xfId="0" applyBorder="1" applyAlignment="1" applyProtection="1">
      <alignment vertical="center" shrinkToFit="1"/>
      <protection hidden="1"/>
    </xf>
    <xf numFmtId="0" fontId="10" fillId="0" borderId="3" xfId="0" applyFont="1" applyBorder="1" applyProtection="1">
      <protection hidden="1"/>
    </xf>
    <xf numFmtId="0" fontId="7" fillId="0" borderId="0" xfId="0" applyFont="1" applyAlignment="1" applyProtection="1">
      <alignment vertical="center"/>
      <protection hidden="1"/>
    </xf>
    <xf numFmtId="169" fontId="7" fillId="4" borderId="8" xfId="0" applyNumberFormat="1" applyFont="1" applyFill="1" applyBorder="1" applyAlignment="1" applyProtection="1">
      <alignment horizontal="left" vertical="center"/>
      <protection hidden="1"/>
    </xf>
    <xf numFmtId="169" fontId="7" fillId="4" borderId="0" xfId="0" applyNumberFormat="1" applyFont="1" applyFill="1" applyAlignment="1" applyProtection="1">
      <alignment horizontal="left" vertical="center"/>
      <protection hidden="1"/>
    </xf>
    <xf numFmtId="169" fontId="7" fillId="4" borderId="9" xfId="0" applyNumberFormat="1" applyFont="1" applyFill="1" applyBorder="1" applyAlignment="1" applyProtection="1">
      <alignment horizontal="left" vertical="center"/>
      <protection hidden="1"/>
    </xf>
    <xf numFmtId="0" fontId="10" fillId="0" borderId="4" xfId="0" applyFont="1" applyBorder="1" applyProtection="1">
      <protection hidden="1"/>
    </xf>
    <xf numFmtId="0" fontId="10" fillId="0" borderId="5" xfId="0" applyFont="1" applyBorder="1" applyProtection="1">
      <protection hidden="1"/>
    </xf>
    <xf numFmtId="0" fontId="10" fillId="0" borderId="6" xfId="0" applyFont="1" applyBorder="1" applyProtection="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3" fillId="0" borderId="3" xfId="0" applyFont="1" applyFill="1" applyBorder="1" applyAlignment="1" applyProtection="1">
      <alignment horizontal="center" vertical="center" wrapText="1"/>
      <protection hidden="1"/>
    </xf>
  </cellXfs>
  <cellStyles count="4">
    <cellStyle name="Moeda" xfId="3" builtinId="4"/>
    <cellStyle name="Normal" xfId="0" builtinId="0"/>
    <cellStyle name="Porcentagem" xfId="2" builtinId="5"/>
    <cellStyle name="Vírgula" xfId="1" builtinId="3"/>
  </cellStyles>
  <dxfs count="11">
    <dxf>
      <fill>
        <patternFill>
          <bgColor rgb="FFFF0000"/>
        </patternFill>
      </fill>
    </dxf>
    <dxf>
      <fill>
        <patternFill>
          <bgColor rgb="FFFF0000"/>
        </patternFill>
      </fill>
    </dxf>
    <dxf>
      <fill>
        <patternFill>
          <bgColor rgb="FFFFFF00"/>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s>
  <tableStyles count="0" defaultTableStyle="TableStyleMedium2" defaultPivotStyle="PivotStyleLight16"/>
  <colors>
    <mruColors>
      <color rgb="FF213A8F"/>
      <color rgb="FFB8C5EE"/>
      <color rgb="FFE52621"/>
      <color rgb="FFFFFFFF"/>
      <color rgb="FF010101"/>
      <color rgb="FFB9CFD9"/>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BENFEITORIAS'!$Z$257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BENFEITORIAS'!$Z$258:$Z$260</c:f>
              <c:numCache>
                <c:formatCode>#,##0.00_ ;[Red]\-#,##0.00\ </c:formatCode>
                <c:ptCount val="3"/>
                <c:pt idx="0">
                  <c:v>560.07936507936506</c:v>
                </c:pt>
                <c:pt idx="1">
                  <c:v>560.07936507936506</c:v>
                </c:pt>
                <c:pt idx="2">
                  <c:v>560.07936507936506</c:v>
                </c:pt>
              </c:numCache>
            </c:numRef>
          </c:val>
          <c:smooth val="0"/>
          <c:extLst>
            <c:ext xmlns:c16="http://schemas.microsoft.com/office/drawing/2014/chart" uri="{C3380CC4-5D6E-409C-BE32-E72D297353CC}">
              <c16:uniqueId val="{00000000-1443-4631-873E-3E5C214F64BD}"/>
            </c:ext>
          </c:extLst>
        </c:ser>
        <c:ser>
          <c:idx val="3"/>
          <c:order val="2"/>
          <c:tx>
            <c:strRef>
              <c:f>'TERRENO E BENFEITORIAS'!$X$257</c:f>
              <c:strCache>
                <c:ptCount val="1"/>
                <c:pt idx="0">
                  <c:v>Limite inferior</c:v>
                </c:pt>
              </c:strCache>
            </c:strRef>
          </c:tx>
          <c:spPr>
            <a:ln w="12700" cap="sq">
              <a:solidFill>
                <a:srgbClr val="FF0000"/>
              </a:solidFill>
              <a:round/>
            </a:ln>
            <a:effectLst/>
          </c:spPr>
          <c:marker>
            <c:symbol val="none"/>
          </c:marker>
          <c:val>
            <c:numRef>
              <c:f>'TERRENO E BENFEITORIAS'!$X$258:$X$260</c:f>
              <c:numCache>
                <c:formatCode>#,##0.00_ ;[Red]\-#,##0.00\ </c:formatCode>
                <c:ptCount val="3"/>
                <c:pt idx="0">
                  <c:v>485.63498014103163</c:v>
                </c:pt>
                <c:pt idx="1">
                  <c:v>485.63498014103163</c:v>
                </c:pt>
                <c:pt idx="2">
                  <c:v>485.63498014103163</c:v>
                </c:pt>
              </c:numCache>
            </c:numRef>
          </c:val>
          <c:smooth val="0"/>
          <c:extLst>
            <c:ext xmlns:c16="http://schemas.microsoft.com/office/drawing/2014/chart" uri="{C3380CC4-5D6E-409C-BE32-E72D297353CC}">
              <c16:uniqueId val="{00000002-1443-4631-873E-3E5C214F64BD}"/>
            </c:ext>
          </c:extLst>
        </c:ser>
        <c:ser>
          <c:idx val="2"/>
          <c:order val="3"/>
          <c:tx>
            <c:strRef>
              <c:f>'TERRENO E BENFEITORIAS'!$Y$257</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BENFEITORIAS'!$Y$258:$Y$260</c:f>
              <c:numCache>
                <c:formatCode>#,##0.00_ ;[Red]\-#,##0.00\ </c:formatCode>
                <c:ptCount val="3"/>
                <c:pt idx="0">
                  <c:v>634.52375001769849</c:v>
                </c:pt>
                <c:pt idx="1">
                  <c:v>634.52375001769849</c:v>
                </c:pt>
                <c:pt idx="2">
                  <c:v>634.52375001769849</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BENFEITORIAS'!$C$237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BENFEITORIAS'!$C$238:$C$240</c:f>
              <c:numCache>
                <c:formatCode>#,##0.00_ ;[Red]\-#,##0.00\ </c:formatCode>
                <c:ptCount val="3"/>
                <c:pt idx="0">
                  <c:v>500</c:v>
                </c:pt>
                <c:pt idx="1">
                  <c:v>578.57142857142867</c:v>
                </c:pt>
                <c:pt idx="2">
                  <c:v>601.66666666666652</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BENFEITORIAS'!$Z$218</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BENFEITORIAS'!$Z$219:$Z$221</c:f>
              <c:numCache>
                <c:formatCode>#,##0.00_ ;[Red]\-#,##0.00\ </c:formatCode>
                <c:ptCount val="3"/>
                <c:pt idx="0">
                  <c:v>560.07936507936506</c:v>
                </c:pt>
                <c:pt idx="1">
                  <c:v>560.07936507936506</c:v>
                </c:pt>
                <c:pt idx="2">
                  <c:v>560.07936507936506</c:v>
                </c:pt>
              </c:numCache>
            </c:numRef>
          </c:val>
          <c:smooth val="0"/>
          <c:extLst>
            <c:ext xmlns:c16="http://schemas.microsoft.com/office/drawing/2014/chart" uri="{C3380CC4-5D6E-409C-BE32-E72D297353CC}">
              <c16:uniqueId val="{00000000-9EAB-4EFA-A35A-0D72ED0D5B29}"/>
            </c:ext>
          </c:extLst>
        </c:ser>
        <c:ser>
          <c:idx val="1"/>
          <c:order val="2"/>
          <c:tx>
            <c:strRef>
              <c:f>'TERRENO E BENFEITORIAS'!$X$218</c:f>
              <c:strCache>
                <c:ptCount val="1"/>
                <c:pt idx="0">
                  <c:v>Limite inferior</c:v>
                </c:pt>
              </c:strCache>
            </c:strRef>
          </c:tx>
          <c:spPr>
            <a:ln w="12700" cap="sq">
              <a:solidFill>
                <a:srgbClr val="FF0000"/>
              </a:solidFill>
              <a:round/>
            </a:ln>
            <a:effectLst/>
          </c:spPr>
          <c:marker>
            <c:symbol val="none"/>
          </c:marker>
          <c:val>
            <c:numRef>
              <c:f>'TERRENO E BENFEITORIAS'!$X$219:$X$221</c:f>
              <c:numCache>
                <c:formatCode>#,##0.00_ ;[Red]\-#,##0.00\ </c:formatCode>
                <c:ptCount val="3"/>
                <c:pt idx="0">
                  <c:v>486.37090175825176</c:v>
                </c:pt>
                <c:pt idx="1">
                  <c:v>486.37090175825176</c:v>
                </c:pt>
                <c:pt idx="2">
                  <c:v>486.37090175825176</c:v>
                </c:pt>
              </c:numCache>
            </c:numRef>
          </c:val>
          <c:smooth val="0"/>
          <c:extLst>
            <c:ext xmlns:c16="http://schemas.microsoft.com/office/drawing/2014/chart" uri="{C3380CC4-5D6E-409C-BE32-E72D297353CC}">
              <c16:uniqueId val="{00000001-9EAB-4EFA-A35A-0D72ED0D5B29}"/>
            </c:ext>
          </c:extLst>
        </c:ser>
        <c:ser>
          <c:idx val="3"/>
          <c:order val="3"/>
          <c:tx>
            <c:strRef>
              <c:f>'TERRENO E BENFEITORIAS'!$Y$218</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BENFEITORIAS'!$Y$219:$Y$221</c:f>
              <c:numCache>
                <c:formatCode>#,##0.00_ ;[Red]\-#,##0.00\ </c:formatCode>
                <c:ptCount val="3"/>
                <c:pt idx="0">
                  <c:v>633.78782840047836</c:v>
                </c:pt>
                <c:pt idx="1">
                  <c:v>633.78782840047836</c:v>
                </c:pt>
                <c:pt idx="2">
                  <c:v>633.78782840047836</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BENFEITORIAS'!$C$201</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BENFEITORIAS'!$C$202:$C$204</c:f>
              <c:numCache>
                <c:formatCode>#,##0.00_ ;[Red]\-#,##0.00\ </c:formatCode>
                <c:ptCount val="3"/>
                <c:pt idx="0">
                  <c:v>500</c:v>
                </c:pt>
                <c:pt idx="1">
                  <c:v>578.57142857142867</c:v>
                </c:pt>
                <c:pt idx="2">
                  <c:v>601.66666666666652</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BENFEITORIAS'!$Z$183</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BENFEITORIAS'!$Z$184:$Z$186</c:f>
              <c:numCache>
                <c:formatCode>#,##0.00_ ;[Red]\-#,##0.00\ </c:formatCode>
                <c:ptCount val="3"/>
                <c:pt idx="0">
                  <c:v>560.07936507936506</c:v>
                </c:pt>
                <c:pt idx="1">
                  <c:v>560.07936507936506</c:v>
                </c:pt>
                <c:pt idx="2">
                  <c:v>560.07936507936506</c:v>
                </c:pt>
              </c:numCache>
            </c:numRef>
          </c:val>
          <c:smooth val="0"/>
          <c:extLst>
            <c:ext xmlns:c16="http://schemas.microsoft.com/office/drawing/2014/chart" uri="{C3380CC4-5D6E-409C-BE32-E72D297353CC}">
              <c16:uniqueId val="{00000000-AF5E-4F53-A392-A7B36898D71B}"/>
            </c:ext>
          </c:extLst>
        </c:ser>
        <c:ser>
          <c:idx val="2"/>
          <c:order val="2"/>
          <c:tx>
            <c:strRef>
              <c:f>'TERRENO E BENFEITORIAS'!$Y$183</c:f>
              <c:strCache>
                <c:ptCount val="1"/>
                <c:pt idx="0">
                  <c:v>Limite superior</c:v>
                </c:pt>
              </c:strCache>
            </c:strRef>
          </c:tx>
          <c:spPr>
            <a:ln w="12700" cap="sq">
              <a:solidFill>
                <a:srgbClr val="0070C0"/>
              </a:solidFill>
              <a:prstDash val="solid"/>
              <a:round/>
            </a:ln>
            <a:effectLst/>
          </c:spPr>
          <c:marker>
            <c:symbol val="none"/>
          </c:marker>
          <c:val>
            <c:numRef>
              <c:f>'TERRENO E BENFEITORIAS'!$Y$184:$Y$186</c:f>
              <c:numCache>
                <c:formatCode>#,##0.00_ ;[Red]\-#,##0.00\ </c:formatCode>
                <c:ptCount val="3"/>
                <c:pt idx="0">
                  <c:v>728.10317460317458</c:v>
                </c:pt>
                <c:pt idx="1">
                  <c:v>728.10317460317458</c:v>
                </c:pt>
                <c:pt idx="2">
                  <c:v>728.10317460317458</c:v>
                </c:pt>
              </c:numCache>
            </c:numRef>
          </c:val>
          <c:smooth val="0"/>
          <c:extLst>
            <c:ext xmlns:c16="http://schemas.microsoft.com/office/drawing/2014/chart" uri="{C3380CC4-5D6E-409C-BE32-E72D297353CC}">
              <c16:uniqueId val="{00000001-AF5E-4F53-A392-A7B36898D71B}"/>
            </c:ext>
          </c:extLst>
        </c:ser>
        <c:ser>
          <c:idx val="1"/>
          <c:order val="3"/>
          <c:tx>
            <c:strRef>
              <c:f>'TERRENO E BENFEITORIAS'!$X$183</c:f>
              <c:strCache>
                <c:ptCount val="1"/>
                <c:pt idx="0">
                  <c:v>Limite inferior</c:v>
                </c:pt>
              </c:strCache>
            </c:strRef>
          </c:tx>
          <c:spPr>
            <a:ln w="12700" cap="sq">
              <a:solidFill>
                <a:srgbClr val="FF0000"/>
              </a:solidFill>
              <a:round/>
            </a:ln>
            <a:effectLst/>
          </c:spPr>
          <c:marker>
            <c:symbol val="none"/>
          </c:marker>
          <c:val>
            <c:numRef>
              <c:f>'TERRENO E BENFEITORIAS'!$X$184:$X$186</c:f>
              <c:numCache>
                <c:formatCode>#,##0.00_ ;[Red]\-#,##0.00\ </c:formatCode>
                <c:ptCount val="3"/>
                <c:pt idx="0">
                  <c:v>392.05555555555554</c:v>
                </c:pt>
                <c:pt idx="1">
                  <c:v>392.05555555555554</c:v>
                </c:pt>
                <c:pt idx="2">
                  <c:v>392.05555555555554</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BENFEITORIAS'!$C$168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BENFEITORIAS'!$C$169:$C$171</c:f>
              <c:numCache>
                <c:formatCode>#,##0.00_ ;[Red]\-#,##0.00\ </c:formatCode>
                <c:ptCount val="3"/>
                <c:pt idx="0">
                  <c:v>500</c:v>
                </c:pt>
                <c:pt idx="1">
                  <c:v>578.57142857142867</c:v>
                </c:pt>
                <c:pt idx="2">
                  <c:v>601.66666666666652</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elementos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Ref>
              <c:f>'TERRENO E BENFEITORIAS'!$K$49:$K$51</c:f>
              <c:numCache>
                <c:formatCode>#,##0.00_ ;[Red]\-#,##0.00\ </c:formatCode>
                <c:ptCount val="3"/>
                <c:pt idx="0">
                  <c:v>0.95000000000000018</c:v>
                </c:pt>
                <c:pt idx="1">
                  <c:v>0.95000000000000018</c:v>
                </c:pt>
                <c:pt idx="2">
                  <c:v>0.90000000000000036</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elementos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Lit>
              <c:formatCode>General</c:formatCode>
              <c:ptCount val="3"/>
              <c:pt idx="0">
                <c:v>1</c:v>
              </c:pt>
              <c:pt idx="1">
                <c:v>1</c:v>
              </c:pt>
              <c:pt idx="2">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BENFEITORIAS'!$M$49:$M$51</c:f>
              <c:numCache>
                <c:formatCode>#,##0.00_ ;[Red]\-#,##0.00\ </c:formatCode>
                <c:ptCount val="3"/>
                <c:pt idx="0">
                  <c:v>0.95000000000000018</c:v>
                </c:pt>
                <c:pt idx="1">
                  <c:v>0.95000000000000018</c:v>
                </c:pt>
                <c:pt idx="2">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tx>
            <c:v>Proporção das partes em relação ao todo</c:v>
          </c:tx>
          <c:spPr>
            <a:ln w="0">
              <a:noFill/>
            </a:ln>
          </c:spPr>
          <c:dPt>
            <c:idx val="0"/>
            <c:bubble3D val="0"/>
            <c:spPr>
              <a:solidFill>
                <a:srgbClr val="156082"/>
              </a:solidFill>
              <a:ln w="0">
                <a:noFill/>
              </a:ln>
              <a:effectLst/>
            </c:spPr>
            <c:extLst>
              <c:ext xmlns:c16="http://schemas.microsoft.com/office/drawing/2014/chart" uri="{C3380CC4-5D6E-409C-BE32-E72D297353CC}">
                <c16:uniqueId val="{00000001-EF66-494A-9BAB-511415BB6FC3}"/>
              </c:ext>
            </c:extLst>
          </c:dPt>
          <c:dPt>
            <c:idx val="1"/>
            <c:bubble3D val="0"/>
            <c:spPr>
              <a:solidFill>
                <a:srgbClr val="B9CFD9"/>
              </a:solidFill>
              <a:ln w="0">
                <a:noFill/>
              </a:ln>
              <a:effectLst/>
            </c:spPr>
            <c:extLst>
              <c:ext xmlns:c16="http://schemas.microsoft.com/office/drawing/2014/chart" uri="{C3380CC4-5D6E-409C-BE32-E72D297353CC}">
                <c16:uniqueId val="{00000003-EF66-494A-9BAB-511415BB6FC3}"/>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BENFEITORIAS'!$X$385:$X$386</c:f>
              <c:numCache>
                <c:formatCode>0.00%</c:formatCode>
                <c:ptCount val="2"/>
                <c:pt idx="0">
                  <c:v>0.46543664433576565</c:v>
                </c:pt>
                <c:pt idx="1">
                  <c:v>0.53456335566423441</c:v>
                </c:pt>
              </c:numCache>
            </c:numRef>
          </c:val>
          <c:extLst>
            <c:ext xmlns:c16="http://schemas.microsoft.com/office/drawing/2014/chart" uri="{C3380CC4-5D6E-409C-BE32-E72D297353CC}">
              <c16:uniqueId val="{00000004-EF66-494A-9BAB-511415BB6FC3}"/>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elementos 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cat>
            <c:strLit>
              <c:ptCount val="3"/>
              <c:pt idx="0">
                <c:v>1</c:v>
              </c:pt>
              <c:pt idx="1">
                <c:v>2</c:v>
              </c:pt>
              <c:pt idx="2">
                <c:v>3</c:v>
              </c:pt>
              <c:pt idx="3">
                <c:v>4</c:v>
              </c:pt>
              <c:pt idx="4">
                <c:v>5</c:v>
              </c:pt>
              <c:pt idx="5">
                <c:v>6</c:v>
              </c:pt>
              <c:pt idx="6">
                <c:v>7</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'TERRENO E BENFEITORIAS'!$K$49:$K$51</c15:sqref>
                  </c15:fullRef>
                </c:ext>
              </c:extLst>
              <c:f>'TERRENO E BENFEITORIAS'!$K$49:$K$51</c:f>
              <c:numCache>
                <c:formatCode>#,##0.00_ ;[Red]\-#,##0.00\ </c:formatCode>
                <c:ptCount val="3"/>
                <c:pt idx="0">
                  <c:v>0.95000000000000018</c:v>
                </c:pt>
                <c:pt idx="1">
                  <c:v>0.95000000000000018</c:v>
                </c:pt>
                <c:pt idx="2">
                  <c:v>0.90000000000000036</c:v>
                </c:pt>
              </c:numCache>
            </c:numRef>
          </c:val>
          <c:extLst>
            <c:ext xmlns:c16="http://schemas.microsoft.com/office/drawing/2014/chart" uri="{C3380CC4-5D6E-409C-BE32-E72D297353CC}">
              <c16:uniqueId val="{00000000-316A-413D-A70B-36FCBC9DE81D}"/>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cat>
            <c:strLit>
              <c:ptCount val="3"/>
              <c:pt idx="0">
                <c:v>1</c:v>
              </c:pt>
              <c:pt idx="1">
                <c:v>2</c:v>
              </c:pt>
              <c:pt idx="2">
                <c:v>3</c:v>
              </c:pt>
              <c:extLst>
                <c:ext xmlns:c15="http://schemas.microsoft.com/office/drawing/2012/chart" uri="{02D57815-91ED-43cb-92C2-25804820EDAC}">
                  <c15:autoCat val="1"/>
                </c:ext>
              </c:extLst>
            </c:strLit>
          </c:cat>
          <c:val>
            <c:numRef>
              <c:extLst>
                <c:ext xmlns:c16="http://schemas.microsoft.com/office/drawing/2014/chart" uri="{F5D05F6E-A05E-4728-AFD3-386EB277150F}">
                  <c16:filteredLitCache>
                    <c:numCache>
                      <c:formatCode>General</c:formatCode>
                      <c:ptCount val="4"/>
                      <c:pt idx="3">
                        <c:v>1</c:v>
                      </c:pt>
                      <c:pt idx="4">
                        <c:v>1</c:v>
                      </c:pt>
                      <c:pt idx="5">
                        <c:v>1</c:v>
                      </c:pt>
                      <c:pt idx="6">
                        <c:v>1</c:v>
                      </c:pt>
                    </c:numCache>
                  </c16:filteredLitCache>
                </c:ext>
              </c:extLst>
              <c:f/>
              <c:numCache>
                <c:formatCode>General</c:formatCode>
                <c:ptCount val="3"/>
                <c:pt idx="0">
                  <c:v>1</c:v>
                </c:pt>
                <c:pt idx="1">
                  <c:v>1</c:v>
                </c:pt>
                <c:pt idx="2">
                  <c:v>1</c:v>
                </c:pt>
              </c:numCache>
            </c:numRef>
          </c:val>
          <c:smooth val="0"/>
          <c:extLst>
            <c:ext xmlns:c16="http://schemas.microsoft.com/office/drawing/2014/chart" uri="{C3380CC4-5D6E-409C-BE32-E72D297353CC}">
              <c16:uniqueId val="{00000001-316A-413D-A70B-36FCBC9DE81D}"/>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chart" Target="../charts/chart8.xml"/><Relationship Id="rId5" Type="http://schemas.openxmlformats.org/officeDocument/2006/relationships/chart" Target="../charts/chart4.xml"/><Relationship Id="rId10" Type="http://schemas.openxmlformats.org/officeDocument/2006/relationships/chart" Target="../charts/chart7.xml"/><Relationship Id="rId4" Type="http://schemas.openxmlformats.org/officeDocument/2006/relationships/image" Target="../media/image1.png"/><Relationship Id="rId9"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504815</xdr:colOff>
      <xdr:row>255</xdr:row>
      <xdr:rowOff>247649</xdr:rowOff>
    </xdr:from>
    <xdr:to>
      <xdr:col>14</xdr:col>
      <xdr:colOff>206915</xdr:colOff>
      <xdr:row>270</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217</xdr:row>
      <xdr:rowOff>828</xdr:rowOff>
    </xdr:from>
    <xdr:to>
      <xdr:col>14</xdr:col>
      <xdr:colOff>206925</xdr:colOff>
      <xdr:row>231</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180</xdr:row>
      <xdr:rowOff>247649</xdr:rowOff>
    </xdr:from>
    <xdr:to>
      <xdr:col>14</xdr:col>
      <xdr:colOff>206925</xdr:colOff>
      <xdr:row>195</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28576</xdr:colOff>
      <xdr:row>0</xdr:row>
      <xdr:rowOff>38101</xdr:rowOff>
    </xdr:from>
    <xdr:to>
      <xdr:col>14</xdr:col>
      <xdr:colOff>390526</xdr:colOff>
      <xdr:row>0</xdr:row>
      <xdr:rowOff>1552576</xdr:rowOff>
    </xdr:to>
    <xdr:pic>
      <xdr:nvPicPr>
        <xdr:cNvPr id="6" name="Imagem 5">
          <a:extLst>
            <a:ext uri="{FF2B5EF4-FFF2-40B4-BE49-F238E27FC236}">
              <a16:creationId xmlns:a16="http://schemas.microsoft.com/office/drawing/2014/main" id="{B09D6B3D-032D-50E6-B041-206442EFAD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576" y="38101"/>
          <a:ext cx="7429500" cy="1514475"/>
        </a:xfrm>
        <a:prstGeom prst="rect">
          <a:avLst/>
        </a:prstGeom>
      </xdr:spPr>
    </xdr:pic>
    <xdr:clientData/>
  </xdr:twoCellAnchor>
  <xdr:twoCellAnchor editAs="oneCell">
    <xdr:from>
      <xdr:col>3</xdr:col>
      <xdr:colOff>0</xdr:colOff>
      <xdr:row>59</xdr:row>
      <xdr:rowOff>0</xdr:rowOff>
    </xdr:from>
    <xdr:to>
      <xdr:col>14</xdr:col>
      <xdr:colOff>206925</xdr:colOff>
      <xdr:row>73</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93</xdr:row>
      <xdr:rowOff>0</xdr:rowOff>
    </xdr:from>
    <xdr:to>
      <xdr:col>14</xdr:col>
      <xdr:colOff>206925</xdr:colOff>
      <xdr:row>107</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111</xdr:row>
      <xdr:rowOff>0</xdr:rowOff>
    </xdr:from>
    <xdr:to>
      <xdr:col>14</xdr:col>
      <xdr:colOff>206925</xdr:colOff>
      <xdr:row>125</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5</xdr:colOff>
      <xdr:row>343</xdr:row>
      <xdr:rowOff>0</xdr:rowOff>
    </xdr:from>
    <xdr:to>
      <xdr:col>8</xdr:col>
      <xdr:colOff>320346</xdr:colOff>
      <xdr:row>353</xdr:row>
      <xdr:rowOff>43499</xdr:rowOff>
    </xdr:to>
    <xdr:pic>
      <xdr:nvPicPr>
        <xdr:cNvPr id="13" name="Imagem 12"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3B63FF5B-3FA9-464E-919C-0CEBA30960C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04830" y="95088075"/>
          <a:ext cx="3854116" cy="2519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356</xdr:row>
      <xdr:rowOff>0</xdr:rowOff>
    </xdr:from>
    <xdr:to>
      <xdr:col>2</xdr:col>
      <xdr:colOff>215937</xdr:colOff>
      <xdr:row>357</xdr:row>
      <xdr:rowOff>63588</xdr:rowOff>
    </xdr:to>
    <xdr:pic>
      <xdr:nvPicPr>
        <xdr:cNvPr id="14" name="Imagem 13" descr="  k_d = -d \\ f_d = 1 + k_d ">
          <a:extLst>
            <a:ext uri="{FF2B5EF4-FFF2-40B4-BE49-F238E27FC236}">
              <a16:creationId xmlns:a16="http://schemas.microsoft.com/office/drawing/2014/main" id="{50A8F626-6116-40B2-9E60-23DBB869F9E1}"/>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4825" y="98307525"/>
          <a:ext cx="720762" cy="311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11</xdr:col>
      <xdr:colOff>192095</xdr:colOff>
      <xdr:row>400</xdr:row>
      <xdr:rowOff>208846</xdr:rowOff>
    </xdr:to>
    <xdr:graphicFrame macro="">
      <xdr:nvGraphicFramePr>
        <xdr:cNvPr id="15" name="Gráfico 14">
          <a:extLst>
            <a:ext uri="{FF2B5EF4-FFF2-40B4-BE49-F238E27FC236}">
              <a16:creationId xmlns:a16="http://schemas.microsoft.com/office/drawing/2014/main" id="{BEEFC317-4DAB-4EEA-B45A-56F4C850418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3</xdr:col>
      <xdr:colOff>0</xdr:colOff>
      <xdr:row>75</xdr:row>
      <xdr:rowOff>0</xdr:rowOff>
    </xdr:from>
    <xdr:to>
      <xdr:col>14</xdr:col>
      <xdr:colOff>206925</xdr:colOff>
      <xdr:row>89</xdr:row>
      <xdr:rowOff>132900</xdr:rowOff>
    </xdr:to>
    <xdr:graphicFrame macro="">
      <xdr:nvGraphicFramePr>
        <xdr:cNvPr id="3" name="Gráfico 2">
          <a:extLst>
            <a:ext uri="{FF2B5EF4-FFF2-40B4-BE49-F238E27FC236}">
              <a16:creationId xmlns:a16="http://schemas.microsoft.com/office/drawing/2014/main" id="{683337A1-28B1-4215-BF87-E1E1A66157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O443"/>
  <sheetViews>
    <sheetView tabSelected="1" zoomScaleNormal="100" workbookViewId="0">
      <selection activeCell="Q11" sqref="Q11:S12"/>
    </sheetView>
  </sheetViews>
  <sheetFormatPr defaultColWidth="4.75" defaultRowHeight="20.100000000000001" customHeight="1" x14ac:dyDescent="0.25"/>
  <cols>
    <col min="1" max="19" width="6.625" style="3" customWidth="1"/>
    <col min="20" max="22" width="20.625" style="3" customWidth="1"/>
    <col min="23" max="25" width="20.625" style="4" customWidth="1"/>
    <col min="26" max="41" width="15.625" style="4" customWidth="1"/>
    <col min="42" max="129" width="4.75" style="4" customWidth="1"/>
    <col min="130" max="16384" width="4.75" style="4"/>
  </cols>
  <sheetData>
    <row r="1" spans="1:19" ht="140.1" customHeight="1" x14ac:dyDescent="0.25">
      <c r="A1" s="2"/>
      <c r="B1" s="2"/>
      <c r="C1" s="2"/>
      <c r="D1" s="2"/>
      <c r="E1" s="2"/>
      <c r="F1" s="2"/>
      <c r="G1" s="2"/>
      <c r="H1" s="2"/>
      <c r="I1" s="2"/>
      <c r="J1" s="2"/>
      <c r="K1" s="2"/>
      <c r="L1" s="2"/>
      <c r="M1" s="2"/>
      <c r="N1" s="2"/>
      <c r="O1" s="2"/>
      <c r="P1" s="2"/>
      <c r="Q1" s="2"/>
      <c r="R1" s="2"/>
      <c r="S1" s="2"/>
    </row>
    <row r="2" spans="1:19" ht="5.0999999999999996" customHeight="1" x14ac:dyDescent="0.25"/>
    <row r="3" spans="1:19" ht="5.0999999999999996" customHeight="1" x14ac:dyDescent="0.25">
      <c r="A3" s="2"/>
      <c r="B3" s="2"/>
      <c r="C3" s="2"/>
      <c r="D3" s="2"/>
      <c r="E3" s="2"/>
      <c r="F3" s="2"/>
      <c r="G3" s="2"/>
      <c r="H3" s="2"/>
      <c r="I3" s="2"/>
      <c r="J3" s="2"/>
      <c r="K3" s="2"/>
      <c r="L3" s="2"/>
      <c r="M3" s="2"/>
      <c r="N3" s="2"/>
      <c r="O3" s="2"/>
      <c r="P3" s="2"/>
      <c r="Q3" s="2"/>
      <c r="R3" s="2"/>
      <c r="S3" s="2"/>
    </row>
    <row r="5" spans="1:19" ht="20.100000000000001" customHeight="1" x14ac:dyDescent="0.25">
      <c r="A5" s="119" t="s">
        <v>275</v>
      </c>
      <c r="B5" s="119"/>
      <c r="C5" s="119"/>
      <c r="D5" s="119"/>
      <c r="E5" s="119"/>
      <c r="F5" s="119"/>
      <c r="G5" s="119"/>
      <c r="H5" s="119"/>
      <c r="I5" s="119"/>
      <c r="J5" s="119"/>
      <c r="K5" s="119"/>
      <c r="L5" s="119"/>
      <c r="M5" s="119"/>
      <c r="N5" s="119"/>
      <c r="O5" s="119"/>
      <c r="P5" s="119"/>
      <c r="Q5" s="119"/>
      <c r="R5" s="119"/>
      <c r="S5" s="119"/>
    </row>
    <row r="7" spans="1:19" ht="20.100000000000001" customHeight="1" x14ac:dyDescent="0.25">
      <c r="A7" s="119" t="s">
        <v>262</v>
      </c>
      <c r="B7" s="119"/>
      <c r="C7" s="119"/>
      <c r="D7" s="119"/>
      <c r="E7" s="119"/>
      <c r="F7" s="119"/>
      <c r="G7" s="119"/>
      <c r="H7" s="119"/>
      <c r="I7" s="119"/>
      <c r="J7" s="119"/>
      <c r="K7" s="119"/>
      <c r="L7" s="119"/>
      <c r="M7" s="119"/>
      <c r="N7" s="119"/>
      <c r="O7" s="119"/>
      <c r="P7" s="119"/>
      <c r="Q7" s="119"/>
      <c r="R7" s="119"/>
      <c r="S7" s="119"/>
    </row>
    <row r="9" spans="1:19" ht="20.100000000000001" customHeight="1" x14ac:dyDescent="0.25">
      <c r="A9" s="162" t="s">
        <v>279</v>
      </c>
      <c r="B9" s="162"/>
      <c r="C9" s="162"/>
      <c r="D9" s="162"/>
      <c r="E9" s="162"/>
      <c r="F9" s="162"/>
      <c r="G9" s="162"/>
      <c r="H9" s="162"/>
      <c r="I9" s="162"/>
      <c r="J9" s="162"/>
      <c r="K9" s="162"/>
      <c r="L9" s="162"/>
      <c r="M9" s="162"/>
      <c r="N9" s="162"/>
      <c r="O9" s="162"/>
      <c r="P9" s="162"/>
      <c r="Q9" s="162"/>
      <c r="R9" s="162"/>
      <c r="S9" s="162"/>
    </row>
    <row r="10" spans="1:19" ht="20.100000000000001" customHeight="1" x14ac:dyDescent="0.25">
      <c r="A10" s="144" t="s">
        <v>17</v>
      </c>
      <c r="B10" s="144"/>
      <c r="C10" s="144"/>
      <c r="D10" s="144" t="s">
        <v>87</v>
      </c>
      <c r="E10" s="144"/>
      <c r="F10" s="144"/>
      <c r="G10" s="144"/>
      <c r="H10" s="144"/>
      <c r="I10" s="144"/>
      <c r="J10" s="144"/>
      <c r="K10" s="144" t="s">
        <v>88</v>
      </c>
      <c r="L10" s="144"/>
      <c r="M10" s="144"/>
      <c r="N10" s="144"/>
      <c r="O10" s="144"/>
      <c r="P10" s="144"/>
      <c r="Q10" s="144"/>
      <c r="R10" s="144"/>
      <c r="S10" s="144"/>
    </row>
    <row r="11" spans="1:19" ht="20.100000000000001" customHeight="1" x14ac:dyDescent="0.25">
      <c r="A11" s="143">
        <v>2</v>
      </c>
      <c r="B11" s="143"/>
      <c r="C11" s="143"/>
      <c r="D11" s="143" t="s">
        <v>278</v>
      </c>
      <c r="E11" s="143"/>
      <c r="F11" s="143"/>
      <c r="G11" s="143"/>
      <c r="H11" s="143"/>
      <c r="I11" s="143"/>
      <c r="J11" s="143"/>
      <c r="K11" s="143" t="s">
        <v>91</v>
      </c>
      <c r="L11" s="143"/>
      <c r="M11" s="143"/>
      <c r="N11" s="143" t="s">
        <v>92</v>
      </c>
      <c r="O11" s="143"/>
      <c r="P11" s="143"/>
      <c r="Q11" s="291" t="s">
        <v>82</v>
      </c>
      <c r="R11" s="291"/>
      <c r="S11" s="291"/>
    </row>
    <row r="12" spans="1:19" ht="20.100000000000001" customHeight="1" x14ac:dyDescent="0.25">
      <c r="A12" s="143"/>
      <c r="B12" s="143"/>
      <c r="C12" s="143"/>
      <c r="D12" s="143"/>
      <c r="E12" s="143"/>
      <c r="F12" s="143"/>
      <c r="G12" s="143"/>
      <c r="H12" s="143"/>
      <c r="I12" s="143"/>
      <c r="J12" s="143"/>
      <c r="K12" s="143">
        <v>12</v>
      </c>
      <c r="L12" s="143"/>
      <c r="M12" s="143"/>
      <c r="N12" s="143">
        <v>5</v>
      </c>
      <c r="O12" s="143"/>
      <c r="P12" s="143"/>
      <c r="Q12" s="291">
        <v>3</v>
      </c>
      <c r="R12" s="291"/>
      <c r="S12" s="291"/>
    </row>
    <row r="14" spans="1:19" ht="20.100000000000001" customHeight="1" x14ac:dyDescent="0.25">
      <c r="A14" s="103" t="s">
        <v>17</v>
      </c>
      <c r="B14" s="107" t="s">
        <v>498</v>
      </c>
      <c r="C14" s="107"/>
      <c r="D14" s="107"/>
      <c r="E14" s="107"/>
      <c r="F14" s="107"/>
      <c r="G14" s="107" t="s">
        <v>499</v>
      </c>
      <c r="H14" s="107"/>
      <c r="I14" s="107"/>
      <c r="J14" s="107"/>
      <c r="K14" s="107"/>
      <c r="L14" s="107"/>
      <c r="M14" s="107"/>
      <c r="N14" s="107" t="s">
        <v>502</v>
      </c>
      <c r="O14" s="107"/>
      <c r="P14" s="107"/>
      <c r="Q14" s="107" t="s">
        <v>500</v>
      </c>
      <c r="R14" s="107"/>
      <c r="S14" s="107"/>
    </row>
    <row r="15" spans="1:19" ht="20.100000000000001" customHeight="1" x14ac:dyDescent="0.25">
      <c r="A15" s="104">
        <v>1</v>
      </c>
      <c r="B15" s="108" t="s">
        <v>501</v>
      </c>
      <c r="C15" s="108"/>
      <c r="D15" s="108"/>
      <c r="E15" s="108"/>
      <c r="F15" s="108"/>
      <c r="G15" s="108"/>
      <c r="H15" s="108"/>
      <c r="I15" s="108"/>
      <c r="J15" s="108"/>
      <c r="K15" s="108"/>
      <c r="L15" s="108"/>
      <c r="M15" s="108"/>
      <c r="N15" s="108"/>
      <c r="O15" s="108"/>
      <c r="P15" s="108"/>
      <c r="Q15" s="108"/>
      <c r="R15" s="108"/>
      <c r="S15" s="108"/>
    </row>
    <row r="16" spans="1:19" ht="20.100000000000001" customHeight="1" x14ac:dyDescent="0.25">
      <c r="A16" s="104">
        <v>2</v>
      </c>
      <c r="B16" s="108" t="s">
        <v>501</v>
      </c>
      <c r="C16" s="108"/>
      <c r="D16" s="108"/>
      <c r="E16" s="108"/>
      <c r="F16" s="108"/>
      <c r="G16" s="108"/>
      <c r="H16" s="108"/>
      <c r="I16" s="108"/>
      <c r="J16" s="108"/>
      <c r="K16" s="108"/>
      <c r="L16" s="108"/>
      <c r="M16" s="108"/>
      <c r="N16" s="108"/>
      <c r="O16" s="108"/>
      <c r="P16" s="108"/>
      <c r="Q16" s="108"/>
      <c r="R16" s="108"/>
      <c r="S16" s="108"/>
    </row>
    <row r="17" spans="1:22" ht="20.100000000000001" customHeight="1" thickBot="1" x14ac:dyDescent="0.3">
      <c r="A17" s="105">
        <v>3</v>
      </c>
      <c r="B17" s="106" t="s">
        <v>501</v>
      </c>
      <c r="C17" s="106"/>
      <c r="D17" s="106"/>
      <c r="E17" s="106"/>
      <c r="F17" s="106"/>
      <c r="G17" s="106"/>
      <c r="H17" s="106"/>
      <c r="I17" s="106"/>
      <c r="J17" s="106"/>
      <c r="K17" s="106"/>
      <c r="L17" s="106"/>
      <c r="M17" s="106"/>
      <c r="N17" s="106"/>
      <c r="O17" s="106"/>
      <c r="P17" s="106"/>
      <c r="Q17" s="106"/>
      <c r="R17" s="106"/>
      <c r="S17" s="106"/>
    </row>
    <row r="20" spans="1:22" ht="20.100000000000001" customHeight="1" x14ac:dyDescent="0.25">
      <c r="A20" s="119" t="s">
        <v>20</v>
      </c>
      <c r="B20" s="119"/>
      <c r="C20" s="119"/>
      <c r="D20" s="119"/>
      <c r="E20" s="119"/>
      <c r="F20" s="119"/>
      <c r="G20" s="119"/>
      <c r="H20" s="119"/>
      <c r="I20" s="119"/>
      <c r="J20" s="119"/>
      <c r="K20" s="119"/>
      <c r="L20" s="119"/>
      <c r="M20" s="119"/>
      <c r="N20" s="119"/>
      <c r="O20" s="119"/>
      <c r="P20" s="119"/>
      <c r="Q20" s="119"/>
      <c r="R20" s="119"/>
      <c r="S20" s="119"/>
    </row>
    <row r="22" spans="1:22" ht="39.950000000000003" customHeight="1" thickBot="1" x14ac:dyDescent="0.3">
      <c r="A22" s="129" t="s">
        <v>17</v>
      </c>
      <c r="B22" s="129"/>
      <c r="C22" s="129" t="s">
        <v>464</v>
      </c>
      <c r="D22" s="129"/>
      <c r="E22" s="129"/>
      <c r="F22" s="129" t="s">
        <v>18</v>
      </c>
      <c r="G22" s="129"/>
      <c r="H22" s="129"/>
      <c r="I22" s="129" t="s">
        <v>19</v>
      </c>
      <c r="J22" s="129"/>
      <c r="K22" s="129"/>
      <c r="L22" s="129" t="s">
        <v>260</v>
      </c>
      <c r="M22" s="129"/>
      <c r="N22" s="129"/>
      <c r="O22" s="129" t="s">
        <v>21</v>
      </c>
      <c r="P22" s="129"/>
      <c r="Q22" s="129" t="s">
        <v>22</v>
      </c>
      <c r="R22" s="129"/>
      <c r="S22" s="129"/>
      <c r="U22" s="126" t="s">
        <v>14</v>
      </c>
      <c r="V22" s="126"/>
    </row>
    <row r="23" spans="1:22" ht="20.100000000000001" customHeight="1" x14ac:dyDescent="0.25">
      <c r="A23" s="121">
        <v>1</v>
      </c>
      <c r="B23" s="121"/>
      <c r="C23" s="135">
        <v>200000</v>
      </c>
      <c r="D23" s="135"/>
      <c r="E23" s="135"/>
      <c r="F23" s="135">
        <v>360</v>
      </c>
      <c r="G23" s="135"/>
      <c r="H23" s="135"/>
      <c r="I23" s="135">
        <f>C23/F23</f>
        <v>555.55555555555554</v>
      </c>
      <c r="J23" s="135"/>
      <c r="K23" s="135"/>
      <c r="L23" s="131" t="s">
        <v>483</v>
      </c>
      <c r="M23" s="131"/>
      <c r="N23" s="131"/>
      <c r="O23" s="137">
        <f>VLOOKUP(L23,$U$24:$V$25,2,0)</f>
        <v>0.9</v>
      </c>
      <c r="P23" s="137"/>
      <c r="Q23" s="116">
        <f>I23*O23</f>
        <v>500</v>
      </c>
      <c r="R23" s="116"/>
      <c r="S23" s="116"/>
      <c r="U23" s="102" t="s">
        <v>484</v>
      </c>
      <c r="V23" s="25" t="s">
        <v>15</v>
      </c>
    </row>
    <row r="24" spans="1:22" ht="20.100000000000001" customHeight="1" x14ac:dyDescent="0.25">
      <c r="A24" s="121">
        <v>2</v>
      </c>
      <c r="B24" s="121"/>
      <c r="C24" s="142">
        <v>180000</v>
      </c>
      <c r="D24" s="142"/>
      <c r="E24" s="142"/>
      <c r="F24" s="142">
        <v>280</v>
      </c>
      <c r="G24" s="142"/>
      <c r="H24" s="142"/>
      <c r="I24" s="142">
        <f>C24/F24</f>
        <v>642.85714285714289</v>
      </c>
      <c r="J24" s="142"/>
      <c r="K24" s="142"/>
      <c r="L24" s="132" t="s">
        <v>483</v>
      </c>
      <c r="M24" s="132"/>
      <c r="N24" s="132"/>
      <c r="O24" s="138">
        <f>VLOOKUP(L24,$U$24:$V$25,2,0)</f>
        <v>0.9</v>
      </c>
      <c r="P24" s="138"/>
      <c r="Q24" s="142">
        <f>I24*O24</f>
        <v>578.57142857142867</v>
      </c>
      <c r="R24" s="142"/>
      <c r="S24" s="142"/>
      <c r="U24" s="7" t="s">
        <v>483</v>
      </c>
      <c r="V24" s="26">
        <v>0.9</v>
      </c>
    </row>
    <row r="25" spans="1:22" ht="20.100000000000001" customHeight="1" thickBot="1" x14ac:dyDescent="0.3">
      <c r="A25" s="166">
        <v>3</v>
      </c>
      <c r="B25" s="166"/>
      <c r="C25" s="136">
        <v>190000</v>
      </c>
      <c r="D25" s="136"/>
      <c r="E25" s="136"/>
      <c r="F25" s="136">
        <v>300</v>
      </c>
      <c r="G25" s="136"/>
      <c r="H25" s="136"/>
      <c r="I25" s="136">
        <f>C25/F25</f>
        <v>633.33333333333337</v>
      </c>
      <c r="J25" s="136"/>
      <c r="K25" s="136"/>
      <c r="L25" s="133" t="s">
        <v>483</v>
      </c>
      <c r="M25" s="133"/>
      <c r="N25" s="133"/>
      <c r="O25" s="139">
        <f>VLOOKUP(L25,$U$24:$V$25,2,0)</f>
        <v>0.9</v>
      </c>
      <c r="P25" s="139"/>
      <c r="Q25" s="136">
        <f>I25*O25</f>
        <v>570</v>
      </c>
      <c r="R25" s="136"/>
      <c r="S25" s="136"/>
      <c r="U25" s="7" t="s">
        <v>16</v>
      </c>
      <c r="V25" s="26">
        <v>1</v>
      </c>
    </row>
    <row r="27" spans="1:22" ht="20.100000000000001" customHeight="1" x14ac:dyDescent="0.25">
      <c r="M27" s="110" t="s">
        <v>36</v>
      </c>
      <c r="N27" s="110"/>
      <c r="O27" s="110"/>
      <c r="P27" s="110"/>
      <c r="Q27" s="116">
        <f>AVERAGE(Q23:S25)</f>
        <v>549.52380952380952</v>
      </c>
      <c r="R27" s="116"/>
      <c r="S27" s="116"/>
    </row>
    <row r="28" spans="1:22" ht="20.100000000000001" customHeight="1" x14ac:dyDescent="0.25">
      <c r="M28" s="117" t="s">
        <v>37</v>
      </c>
      <c r="N28" s="117"/>
      <c r="O28" s="117"/>
      <c r="P28" s="117"/>
      <c r="Q28" s="116">
        <f>STDEVA(Q23:S25)</f>
        <v>43.102472426204315</v>
      </c>
      <c r="R28" s="116"/>
      <c r="S28" s="116"/>
    </row>
    <row r="29" spans="1:22" ht="20.100000000000001" customHeight="1" x14ac:dyDescent="0.25">
      <c r="M29" s="128" t="s">
        <v>35</v>
      </c>
      <c r="N29" s="128"/>
      <c r="O29" s="128"/>
      <c r="P29" s="128"/>
      <c r="Q29" s="153">
        <f>Q28/Q27</f>
        <v>7.8436041676801613E-2</v>
      </c>
      <c r="R29" s="153"/>
      <c r="S29" s="153"/>
    </row>
    <row r="32" spans="1:22" ht="20.100000000000001" customHeight="1" x14ac:dyDescent="0.25">
      <c r="A32" s="119" t="s">
        <v>29</v>
      </c>
      <c r="B32" s="119"/>
      <c r="C32" s="119"/>
      <c r="D32" s="119"/>
      <c r="E32" s="119"/>
      <c r="F32" s="119"/>
      <c r="G32" s="119"/>
      <c r="H32" s="119"/>
      <c r="I32" s="119"/>
      <c r="J32" s="119"/>
      <c r="K32" s="119"/>
      <c r="L32" s="119"/>
      <c r="M32" s="119"/>
      <c r="N32" s="119"/>
      <c r="O32" s="119"/>
      <c r="P32" s="119"/>
      <c r="Q32" s="119"/>
      <c r="R32" s="119"/>
      <c r="S32" s="119"/>
    </row>
    <row r="34" spans="1:19" ht="80.099999999999994" customHeight="1" x14ac:dyDescent="0.25">
      <c r="A34" s="150" t="s">
        <v>85</v>
      </c>
      <c r="B34" s="150"/>
      <c r="C34" s="150"/>
      <c r="D34" s="150"/>
      <c r="E34" s="150"/>
      <c r="F34" s="150"/>
      <c r="G34" s="150"/>
      <c r="H34" s="150"/>
      <c r="I34" s="150"/>
      <c r="J34" s="150"/>
      <c r="K34" s="150"/>
      <c r="L34" s="150"/>
      <c r="M34" s="150"/>
      <c r="N34" s="150"/>
      <c r="O34" s="150"/>
      <c r="P34" s="150"/>
      <c r="Q34" s="150"/>
      <c r="R34" s="150"/>
      <c r="S34" s="150"/>
    </row>
    <row r="36" spans="1:19" ht="20.100000000000001" customHeight="1" x14ac:dyDescent="0.25">
      <c r="A36" s="167" t="s">
        <v>23</v>
      </c>
      <c r="B36" s="167"/>
      <c r="C36" s="167"/>
      <c r="D36" s="167"/>
      <c r="E36" s="167"/>
      <c r="F36" s="167"/>
      <c r="G36" s="167"/>
      <c r="H36" s="167"/>
      <c r="I36" s="167" t="s">
        <v>86</v>
      </c>
      <c r="J36" s="167"/>
      <c r="K36" s="129" t="s">
        <v>476</v>
      </c>
      <c r="L36" s="129"/>
      <c r="M36" s="129"/>
      <c r="N36" s="129"/>
      <c r="O36" s="129"/>
      <c r="P36" s="177" t="s">
        <v>477</v>
      </c>
      <c r="Q36" s="177"/>
      <c r="R36" s="177"/>
      <c r="S36" s="177"/>
    </row>
    <row r="37" spans="1:19" ht="20.100000000000001" customHeight="1" x14ac:dyDescent="0.25">
      <c r="A37" s="141" t="s">
        <v>24</v>
      </c>
      <c r="B37" s="141"/>
      <c r="C37" s="141"/>
      <c r="D37" s="141"/>
      <c r="E37" s="141"/>
      <c r="F37" s="141"/>
      <c r="G37" s="141"/>
      <c r="H37" s="141"/>
      <c r="I37" s="168" t="s">
        <v>478</v>
      </c>
      <c r="J37" s="168"/>
      <c r="K37" s="128" t="s">
        <v>471</v>
      </c>
      <c r="L37" s="128"/>
      <c r="M37" s="128"/>
      <c r="N37" s="128"/>
      <c r="O37" s="128"/>
      <c r="P37" s="142">
        <v>1</v>
      </c>
      <c r="Q37" s="142"/>
      <c r="R37" s="142"/>
      <c r="S37" s="142"/>
    </row>
    <row r="38" spans="1:19" ht="20.100000000000001" customHeight="1" x14ac:dyDescent="0.25">
      <c r="A38" s="141" t="s">
        <v>27</v>
      </c>
      <c r="B38" s="141"/>
      <c r="C38" s="141"/>
      <c r="D38" s="141"/>
      <c r="E38" s="141"/>
      <c r="F38" s="141"/>
      <c r="G38" s="141"/>
      <c r="H38" s="141"/>
      <c r="I38" s="169" t="s">
        <v>479</v>
      </c>
      <c r="J38" s="169"/>
      <c r="K38" s="128" t="s">
        <v>472</v>
      </c>
      <c r="L38" s="128"/>
      <c r="M38" s="128"/>
      <c r="N38" s="128"/>
      <c r="O38" s="128"/>
      <c r="P38" s="142">
        <v>1</v>
      </c>
      <c r="Q38" s="142"/>
      <c r="R38" s="142"/>
      <c r="S38" s="142"/>
    </row>
    <row r="39" spans="1:19" ht="20.100000000000001" customHeight="1" x14ac:dyDescent="0.25">
      <c r="A39" s="141" t="s">
        <v>28</v>
      </c>
      <c r="B39" s="141"/>
      <c r="C39" s="141"/>
      <c r="D39" s="141"/>
      <c r="E39" s="141"/>
      <c r="F39" s="141"/>
      <c r="G39" s="141"/>
      <c r="H39" s="141"/>
      <c r="I39" s="169" t="s">
        <v>480</v>
      </c>
      <c r="J39" s="169"/>
      <c r="K39" s="128" t="s">
        <v>473</v>
      </c>
      <c r="L39" s="128"/>
      <c r="M39" s="128"/>
      <c r="N39" s="128"/>
      <c r="O39" s="128"/>
      <c r="P39" s="142">
        <v>1</v>
      </c>
      <c r="Q39" s="142"/>
      <c r="R39" s="142"/>
      <c r="S39" s="142"/>
    </row>
    <row r="40" spans="1:19" ht="20.100000000000001" customHeight="1" x14ac:dyDescent="0.25">
      <c r="A40" s="141" t="s">
        <v>25</v>
      </c>
      <c r="B40" s="141"/>
      <c r="C40" s="141"/>
      <c r="D40" s="141"/>
      <c r="E40" s="141"/>
      <c r="F40" s="141"/>
      <c r="G40" s="141"/>
      <c r="H40" s="141"/>
      <c r="I40" s="169" t="s">
        <v>481</v>
      </c>
      <c r="J40" s="169"/>
      <c r="K40" s="128" t="s">
        <v>474</v>
      </c>
      <c r="L40" s="128"/>
      <c r="M40" s="128"/>
      <c r="N40" s="128"/>
      <c r="O40" s="128"/>
      <c r="P40" s="142">
        <v>1</v>
      </c>
      <c r="Q40" s="142"/>
      <c r="R40" s="142"/>
      <c r="S40" s="142"/>
    </row>
    <row r="41" spans="1:19" ht="20.100000000000001" customHeight="1" x14ac:dyDescent="0.25">
      <c r="A41" s="141" t="s">
        <v>26</v>
      </c>
      <c r="B41" s="141"/>
      <c r="C41" s="141"/>
      <c r="D41" s="141"/>
      <c r="E41" s="141"/>
      <c r="F41" s="141"/>
      <c r="G41" s="141"/>
      <c r="H41" s="141"/>
      <c r="I41" s="169" t="s">
        <v>482</v>
      </c>
      <c r="J41" s="169"/>
      <c r="K41" s="128" t="s">
        <v>475</v>
      </c>
      <c r="L41" s="128"/>
      <c r="M41" s="128"/>
      <c r="N41" s="128"/>
      <c r="O41" s="128"/>
      <c r="P41" s="142">
        <v>1</v>
      </c>
      <c r="Q41" s="142"/>
      <c r="R41" s="142"/>
      <c r="S41" s="142"/>
    </row>
    <row r="44" spans="1:19" ht="20.100000000000001" customHeight="1" x14ac:dyDescent="0.25">
      <c r="A44" s="177" t="s">
        <v>33</v>
      </c>
      <c r="B44" s="177"/>
      <c r="C44" s="177"/>
      <c r="D44" s="177"/>
      <c r="E44" s="177"/>
      <c r="F44" s="177" t="s">
        <v>34</v>
      </c>
      <c r="G44" s="177"/>
      <c r="H44" s="177"/>
      <c r="I44" s="177"/>
      <c r="J44" s="177"/>
      <c r="K44" s="177" t="s">
        <v>30</v>
      </c>
      <c r="L44" s="177"/>
    </row>
    <row r="45" spans="1:19" ht="20.100000000000001" customHeight="1" x14ac:dyDescent="0.25">
      <c r="A45" s="129"/>
      <c r="B45" s="129"/>
      <c r="C45" s="129"/>
      <c r="D45" s="129"/>
      <c r="E45" s="129"/>
      <c r="F45" s="5" t="s">
        <v>94</v>
      </c>
      <c r="G45" s="5" t="s">
        <v>95</v>
      </c>
      <c r="H45" s="5" t="s">
        <v>96</v>
      </c>
      <c r="I45" s="5" t="s">
        <v>97</v>
      </c>
      <c r="J45" s="5" t="s">
        <v>98</v>
      </c>
      <c r="K45" s="129"/>
      <c r="L45" s="129"/>
    </row>
    <row r="46" spans="1:19" ht="20.100000000000001" customHeight="1" thickBot="1" x14ac:dyDescent="0.3">
      <c r="A46" s="24"/>
      <c r="B46" s="24"/>
      <c r="C46" s="24"/>
      <c r="D46" s="24"/>
      <c r="E46" s="24"/>
      <c r="F46" s="23">
        <v>0.95</v>
      </c>
      <c r="G46" s="23">
        <v>1</v>
      </c>
      <c r="H46" s="23">
        <v>1</v>
      </c>
      <c r="I46" s="23">
        <v>1</v>
      </c>
      <c r="J46" s="23">
        <v>1</v>
      </c>
      <c r="K46" s="136">
        <f>SUM(F46:J46)-COUNT(F46:J46)+1</f>
        <v>0.95000000000000018</v>
      </c>
      <c r="L46" s="136"/>
    </row>
    <row r="48" spans="1:19" ht="39.950000000000003" customHeight="1" x14ac:dyDescent="0.25">
      <c r="A48" s="129" t="s">
        <v>17</v>
      </c>
      <c r="B48" s="129"/>
      <c r="C48" s="129" t="str">
        <f>Q22</f>
        <v>Valor unitário ajustado</v>
      </c>
      <c r="D48" s="129"/>
      <c r="E48" s="129"/>
      <c r="F48" s="5" t="s">
        <v>94</v>
      </c>
      <c r="G48" s="5" t="s">
        <v>95</v>
      </c>
      <c r="H48" s="5" t="s">
        <v>96</v>
      </c>
      <c r="I48" s="5" t="s">
        <v>97</v>
      </c>
      <c r="J48" s="5" t="s">
        <v>98</v>
      </c>
      <c r="K48" s="129" t="s">
        <v>30</v>
      </c>
      <c r="L48" s="129"/>
      <c r="M48" s="129" t="s">
        <v>31</v>
      </c>
      <c r="N48" s="129"/>
      <c r="O48" s="129" t="s">
        <v>23</v>
      </c>
      <c r="P48" s="129"/>
      <c r="Q48" s="129" t="s">
        <v>32</v>
      </c>
      <c r="R48" s="129"/>
      <c r="S48" s="129"/>
    </row>
    <row r="49" spans="1:19" ht="20.100000000000001" customHeight="1" x14ac:dyDescent="0.25">
      <c r="A49" s="121">
        <v>1</v>
      </c>
      <c r="B49" s="121"/>
      <c r="C49" s="135">
        <f>Q23</f>
        <v>500</v>
      </c>
      <c r="D49" s="135"/>
      <c r="E49" s="135"/>
      <c r="F49" s="19">
        <v>1</v>
      </c>
      <c r="G49" s="19">
        <v>0.95</v>
      </c>
      <c r="H49" s="19">
        <v>1</v>
      </c>
      <c r="I49" s="19">
        <v>1</v>
      </c>
      <c r="J49" s="19">
        <v>1</v>
      </c>
      <c r="K49" s="135">
        <f>SUM(F49:J49)-COUNT(F49:J49)+1</f>
        <v>0.95000000000000018</v>
      </c>
      <c r="L49" s="117"/>
      <c r="M49" s="135">
        <f t="shared" ref="M49:M51" si="0">$K$46</f>
        <v>0.95000000000000018</v>
      </c>
      <c r="N49" s="117"/>
      <c r="O49" s="135">
        <f t="shared" ref="O49:O51" si="1">M49/K49</f>
        <v>1</v>
      </c>
      <c r="P49" s="117"/>
      <c r="Q49" s="135">
        <f t="shared" ref="Q49:Q51" si="2">C49*O49</f>
        <v>500</v>
      </c>
      <c r="R49" s="135"/>
      <c r="S49" s="135"/>
    </row>
    <row r="50" spans="1:19" ht="20.100000000000001" customHeight="1" x14ac:dyDescent="0.25">
      <c r="A50" s="121">
        <v>2</v>
      </c>
      <c r="B50" s="121"/>
      <c r="C50" s="142">
        <f>Q24</f>
        <v>578.57142857142867</v>
      </c>
      <c r="D50" s="142"/>
      <c r="E50" s="142"/>
      <c r="F50" s="20">
        <v>0.95</v>
      </c>
      <c r="G50" s="20">
        <v>1</v>
      </c>
      <c r="H50" s="20">
        <v>1</v>
      </c>
      <c r="I50" s="20">
        <v>1</v>
      </c>
      <c r="J50" s="20">
        <v>1</v>
      </c>
      <c r="K50" s="142">
        <f t="shared" ref="K50:K51" si="3">SUM(F50:J50)-COUNT(F50:J50)+1</f>
        <v>0.95000000000000018</v>
      </c>
      <c r="L50" s="128"/>
      <c r="M50" s="142">
        <f t="shared" si="0"/>
        <v>0.95000000000000018</v>
      </c>
      <c r="N50" s="128"/>
      <c r="O50" s="142">
        <f t="shared" si="1"/>
        <v>1</v>
      </c>
      <c r="P50" s="128"/>
      <c r="Q50" s="142">
        <f t="shared" si="2"/>
        <v>578.57142857142867</v>
      </c>
      <c r="R50" s="142"/>
      <c r="S50" s="142"/>
    </row>
    <row r="51" spans="1:19" ht="20.100000000000001" customHeight="1" thickBot="1" x14ac:dyDescent="0.3">
      <c r="A51" s="166">
        <v>3</v>
      </c>
      <c r="B51" s="166"/>
      <c r="C51" s="136">
        <f>Q25</f>
        <v>570</v>
      </c>
      <c r="D51" s="136"/>
      <c r="E51" s="136"/>
      <c r="F51" s="23">
        <v>1</v>
      </c>
      <c r="G51" s="23">
        <v>1</v>
      </c>
      <c r="H51" s="23">
        <v>0.9</v>
      </c>
      <c r="I51" s="23">
        <v>1</v>
      </c>
      <c r="J51" s="23">
        <v>1</v>
      </c>
      <c r="K51" s="136">
        <f t="shared" si="3"/>
        <v>0.90000000000000036</v>
      </c>
      <c r="L51" s="140"/>
      <c r="M51" s="136">
        <f t="shared" si="0"/>
        <v>0.95000000000000018</v>
      </c>
      <c r="N51" s="140"/>
      <c r="O51" s="136">
        <f t="shared" si="1"/>
        <v>1.0555555555555554</v>
      </c>
      <c r="P51" s="140"/>
      <c r="Q51" s="136">
        <f t="shared" si="2"/>
        <v>601.66666666666652</v>
      </c>
      <c r="R51" s="136"/>
      <c r="S51" s="136"/>
    </row>
    <row r="53" spans="1:19" ht="20.100000000000001" customHeight="1" x14ac:dyDescent="0.25">
      <c r="F53" s="8"/>
      <c r="G53" s="8"/>
      <c r="H53" s="8"/>
      <c r="I53" s="8"/>
      <c r="J53" s="8"/>
      <c r="M53" s="110" t="s">
        <v>36</v>
      </c>
      <c r="N53" s="110"/>
      <c r="O53" s="110"/>
      <c r="P53" s="110"/>
      <c r="Q53" s="116">
        <f>AVERAGE(Q49:S51)</f>
        <v>560.07936507936506</v>
      </c>
      <c r="R53" s="116"/>
      <c r="S53" s="116"/>
    </row>
    <row r="54" spans="1:19" ht="20.100000000000001" customHeight="1" x14ac:dyDescent="0.25">
      <c r="F54" s="6"/>
      <c r="M54" s="117" t="s">
        <v>37</v>
      </c>
      <c r="N54" s="117"/>
      <c r="O54" s="117"/>
      <c r="P54" s="117"/>
      <c r="Q54" s="116">
        <f>STDEVA(Q49:S51)</f>
        <v>53.296295245764071</v>
      </c>
      <c r="R54" s="116"/>
      <c r="S54" s="116"/>
    </row>
    <row r="55" spans="1:19" ht="20.100000000000001" customHeight="1" x14ac:dyDescent="0.25">
      <c r="I55" s="9"/>
      <c r="M55" s="128" t="s">
        <v>35</v>
      </c>
      <c r="N55" s="128"/>
      <c r="O55" s="128"/>
      <c r="P55" s="128"/>
      <c r="Q55" s="153">
        <f>Q54/Q53</f>
        <v>9.5158469618340277E-2</v>
      </c>
      <c r="R55" s="153"/>
      <c r="S55" s="153"/>
    </row>
    <row r="56" spans="1:19" ht="20.100000000000001" customHeight="1" x14ac:dyDescent="0.25">
      <c r="J56" s="10"/>
    </row>
    <row r="57" spans="1:19" ht="20.100000000000001" customHeight="1" x14ac:dyDescent="0.25">
      <c r="J57" s="10"/>
    </row>
    <row r="58" spans="1:19" ht="20.100000000000001" customHeight="1" x14ac:dyDescent="0.25">
      <c r="A58" s="117" t="s">
        <v>111</v>
      </c>
      <c r="B58" s="117"/>
      <c r="C58" s="117"/>
      <c r="D58" s="117"/>
      <c r="E58" s="117"/>
      <c r="F58" s="117"/>
      <c r="G58" s="117"/>
      <c r="H58" s="117"/>
      <c r="I58" s="117"/>
      <c r="J58" s="117"/>
      <c r="K58" s="117"/>
      <c r="L58" s="117"/>
      <c r="M58" s="117"/>
      <c r="N58" s="117"/>
      <c r="O58" s="117"/>
      <c r="P58" s="117"/>
      <c r="Q58" s="117"/>
      <c r="R58" s="117"/>
      <c r="S58" s="117"/>
    </row>
    <row r="59" spans="1:19" ht="20.100000000000001" customHeight="1" x14ac:dyDescent="0.25">
      <c r="J59" s="10"/>
    </row>
    <row r="60" spans="1:19" ht="20.100000000000001" customHeight="1" x14ac:dyDescent="0.25">
      <c r="J60" s="10"/>
    </row>
    <row r="61" spans="1:19" ht="20.100000000000001" customHeight="1" x14ac:dyDescent="0.25">
      <c r="J61" s="10"/>
    </row>
    <row r="62" spans="1:19" ht="20.100000000000001" customHeight="1" x14ac:dyDescent="0.25">
      <c r="J62" s="10"/>
    </row>
    <row r="63" spans="1:19" ht="20.100000000000001" customHeight="1" x14ac:dyDescent="0.25">
      <c r="J63" s="10"/>
    </row>
    <row r="64" spans="1:19" ht="20.100000000000001" customHeight="1" x14ac:dyDescent="0.25">
      <c r="J64" s="10"/>
    </row>
    <row r="65" spans="10:10" ht="20.100000000000001" customHeight="1" x14ac:dyDescent="0.25">
      <c r="J65" s="10"/>
    </row>
    <row r="66" spans="10:10" ht="20.100000000000001" customHeight="1" x14ac:dyDescent="0.25">
      <c r="J66" s="10"/>
    </row>
    <row r="67" spans="10:10" ht="20.100000000000001" customHeight="1" x14ac:dyDescent="0.25">
      <c r="J67" s="10"/>
    </row>
    <row r="68" spans="10:10" ht="20.100000000000001" customHeight="1" x14ac:dyDescent="0.25">
      <c r="J68" s="10"/>
    </row>
    <row r="69" spans="10:10" ht="20.100000000000001" customHeight="1" x14ac:dyDescent="0.25">
      <c r="J69" s="10"/>
    </row>
    <row r="70" spans="10:10" ht="20.100000000000001" customHeight="1" x14ac:dyDescent="0.25">
      <c r="J70" s="10"/>
    </row>
    <row r="71" spans="10:10" ht="20.100000000000001" customHeight="1" x14ac:dyDescent="0.25">
      <c r="J71" s="10"/>
    </row>
    <row r="72" spans="10:10" ht="20.100000000000001" customHeight="1" x14ac:dyDescent="0.25">
      <c r="J72" s="10"/>
    </row>
    <row r="73" spans="10:10" ht="20.100000000000001" customHeight="1" x14ac:dyDescent="0.25">
      <c r="J73" s="10"/>
    </row>
    <row r="74" spans="10:10" ht="20.100000000000001" customHeight="1" x14ac:dyDescent="0.25">
      <c r="J74" s="10"/>
    </row>
    <row r="75" spans="10:10" ht="20.100000000000001" customHeight="1" x14ac:dyDescent="0.25">
      <c r="J75" s="10"/>
    </row>
    <row r="76" spans="10:10" ht="20.100000000000001" customHeight="1" x14ac:dyDescent="0.25">
      <c r="J76" s="10"/>
    </row>
    <row r="77" spans="10:10" ht="20.100000000000001" customHeight="1" x14ac:dyDescent="0.25">
      <c r="J77" s="10"/>
    </row>
    <row r="78" spans="10:10" ht="20.100000000000001" customHeight="1" x14ac:dyDescent="0.25">
      <c r="J78" s="10"/>
    </row>
    <row r="79" spans="10:10" ht="20.100000000000001" customHeight="1" x14ac:dyDescent="0.25">
      <c r="J79" s="10"/>
    </row>
    <row r="80" spans="10:10" ht="20.100000000000001" customHeight="1" x14ac:dyDescent="0.25">
      <c r="J80" s="10"/>
    </row>
    <row r="81" spans="1:19" ht="20.100000000000001" customHeight="1" x14ac:dyDescent="0.25">
      <c r="J81" s="10"/>
    </row>
    <row r="82" spans="1:19" ht="20.100000000000001" customHeight="1" x14ac:dyDescent="0.25">
      <c r="J82" s="10"/>
    </row>
    <row r="83" spans="1:19" ht="20.100000000000001" customHeight="1" x14ac:dyDescent="0.25">
      <c r="J83" s="10"/>
    </row>
    <row r="84" spans="1:19" ht="20.100000000000001" customHeight="1" x14ac:dyDescent="0.25">
      <c r="J84" s="10"/>
    </row>
    <row r="85" spans="1:19" ht="20.100000000000001" customHeight="1" x14ac:dyDescent="0.25">
      <c r="J85" s="10"/>
    </row>
    <row r="86" spans="1:19" ht="20.100000000000001" customHeight="1" x14ac:dyDescent="0.25">
      <c r="J86" s="10"/>
    </row>
    <row r="87" spans="1:19" ht="20.100000000000001" customHeight="1" x14ac:dyDescent="0.25">
      <c r="J87" s="10"/>
    </row>
    <row r="88" spans="1:19" ht="20.100000000000001" customHeight="1" x14ac:dyDescent="0.25">
      <c r="J88" s="10"/>
    </row>
    <row r="89" spans="1:19" ht="20.100000000000001" customHeight="1" x14ac:dyDescent="0.25">
      <c r="J89" s="10"/>
    </row>
    <row r="90" spans="1:19" ht="20.100000000000001" customHeight="1" x14ac:dyDescent="0.25">
      <c r="J90" s="10"/>
    </row>
    <row r="91" spans="1:19" ht="20.100000000000001" customHeight="1" x14ac:dyDescent="0.25">
      <c r="J91" s="10"/>
    </row>
    <row r="92" spans="1:19" ht="20.100000000000001" customHeight="1" x14ac:dyDescent="0.25">
      <c r="A92" s="117" t="s">
        <v>110</v>
      </c>
      <c r="B92" s="117"/>
      <c r="C92" s="117"/>
      <c r="D92" s="117"/>
      <c r="E92" s="117"/>
      <c r="F92" s="117"/>
      <c r="G92" s="117"/>
      <c r="H92" s="117"/>
      <c r="I92" s="117"/>
      <c r="J92" s="117"/>
      <c r="K92" s="117"/>
      <c r="L92" s="117"/>
      <c r="M92" s="117"/>
      <c r="N92" s="117"/>
      <c r="O92" s="117"/>
      <c r="P92" s="117"/>
      <c r="Q92" s="117"/>
      <c r="R92" s="117"/>
      <c r="S92" s="117"/>
    </row>
    <row r="93" spans="1:19" ht="20.100000000000001" customHeight="1" x14ac:dyDescent="0.25">
      <c r="J93" s="10"/>
    </row>
    <row r="94" spans="1:19" ht="20.100000000000001" customHeight="1" x14ac:dyDescent="0.25">
      <c r="J94" s="10"/>
    </row>
    <row r="95" spans="1:19" ht="20.100000000000001" customHeight="1" x14ac:dyDescent="0.25">
      <c r="J95" s="10"/>
    </row>
    <row r="96" spans="1:19" ht="20.100000000000001" customHeight="1" x14ac:dyDescent="0.25">
      <c r="J96" s="10"/>
    </row>
    <row r="97" spans="1:19" ht="20.100000000000001" customHeight="1" x14ac:dyDescent="0.25">
      <c r="J97" s="10"/>
    </row>
    <row r="98" spans="1:19" ht="20.100000000000001" customHeight="1" x14ac:dyDescent="0.25">
      <c r="J98" s="10"/>
    </row>
    <row r="99" spans="1:19" ht="20.100000000000001" customHeight="1" x14ac:dyDescent="0.25">
      <c r="J99" s="10"/>
    </row>
    <row r="100" spans="1:19" ht="20.100000000000001" customHeight="1" x14ac:dyDescent="0.25">
      <c r="J100" s="10"/>
    </row>
    <row r="101" spans="1:19" ht="20.100000000000001" customHeight="1" x14ac:dyDescent="0.25">
      <c r="J101" s="10"/>
    </row>
    <row r="102" spans="1:19" ht="20.100000000000001" customHeight="1" x14ac:dyDescent="0.25">
      <c r="J102" s="10"/>
    </row>
    <row r="103" spans="1:19" ht="20.100000000000001" customHeight="1" x14ac:dyDescent="0.25">
      <c r="J103" s="10"/>
    </row>
    <row r="104" spans="1:19" ht="20.100000000000001" customHeight="1" x14ac:dyDescent="0.25">
      <c r="J104" s="10"/>
    </row>
    <row r="105" spans="1:19" ht="20.100000000000001" customHeight="1" x14ac:dyDescent="0.25">
      <c r="J105" s="10"/>
    </row>
    <row r="106" spans="1:19" ht="20.100000000000001" customHeight="1" x14ac:dyDescent="0.25">
      <c r="J106" s="10"/>
    </row>
    <row r="107" spans="1:19" ht="20.100000000000001" customHeight="1" x14ac:dyDescent="0.25">
      <c r="J107" s="10"/>
    </row>
    <row r="108" spans="1:19" ht="20.100000000000001" customHeight="1" x14ac:dyDescent="0.25">
      <c r="J108" s="10"/>
    </row>
    <row r="109" spans="1:19" ht="20.100000000000001" customHeight="1" x14ac:dyDescent="0.25">
      <c r="J109" s="10"/>
    </row>
    <row r="110" spans="1:19" ht="20.100000000000001" customHeight="1" x14ac:dyDescent="0.25">
      <c r="A110" s="117" t="s">
        <v>109</v>
      </c>
      <c r="B110" s="117"/>
      <c r="C110" s="117"/>
      <c r="D110" s="117"/>
      <c r="E110" s="117"/>
      <c r="F110" s="117"/>
      <c r="G110" s="117"/>
      <c r="H110" s="117"/>
      <c r="I110" s="117"/>
      <c r="J110" s="117"/>
      <c r="K110" s="117"/>
      <c r="L110" s="117"/>
      <c r="M110" s="117"/>
      <c r="N110" s="117"/>
      <c r="O110" s="117"/>
      <c r="P110" s="117"/>
      <c r="Q110" s="117"/>
      <c r="R110" s="117"/>
      <c r="S110" s="117"/>
    </row>
    <row r="111" spans="1:19" ht="20.100000000000001" customHeight="1" x14ac:dyDescent="0.25">
      <c r="J111" s="10"/>
    </row>
    <row r="112" spans="1:19" ht="20.100000000000001" customHeight="1" x14ac:dyDescent="0.25">
      <c r="J112" s="10"/>
    </row>
    <row r="113" spans="10:10" ht="20.100000000000001" customHeight="1" x14ac:dyDescent="0.25">
      <c r="J113" s="10"/>
    </row>
    <row r="114" spans="10:10" ht="20.100000000000001" customHeight="1" x14ac:dyDescent="0.25">
      <c r="J114" s="10"/>
    </row>
    <row r="115" spans="10:10" ht="20.100000000000001" customHeight="1" x14ac:dyDescent="0.25">
      <c r="J115" s="10"/>
    </row>
    <row r="116" spans="10:10" ht="20.100000000000001" customHeight="1" x14ac:dyDescent="0.25">
      <c r="J116" s="10"/>
    </row>
    <row r="117" spans="10:10" ht="20.100000000000001" customHeight="1" x14ac:dyDescent="0.25">
      <c r="J117" s="10"/>
    </row>
    <row r="118" spans="10:10" ht="20.100000000000001" customHeight="1" x14ac:dyDescent="0.25">
      <c r="J118" s="10"/>
    </row>
    <row r="119" spans="10:10" ht="20.100000000000001" customHeight="1" x14ac:dyDescent="0.25">
      <c r="J119" s="10"/>
    </row>
    <row r="120" spans="10:10" ht="20.100000000000001" customHeight="1" x14ac:dyDescent="0.25">
      <c r="J120" s="10"/>
    </row>
    <row r="121" spans="10:10" ht="20.100000000000001" customHeight="1" x14ac:dyDescent="0.25">
      <c r="J121" s="10"/>
    </row>
    <row r="122" spans="10:10" ht="20.100000000000001" customHeight="1" x14ac:dyDescent="0.25">
      <c r="J122" s="10"/>
    </row>
    <row r="123" spans="10:10" ht="20.100000000000001" customHeight="1" x14ac:dyDescent="0.25">
      <c r="J123" s="10"/>
    </row>
    <row r="124" spans="10:10" ht="20.100000000000001" customHeight="1" x14ac:dyDescent="0.25">
      <c r="J124" s="10"/>
    </row>
    <row r="125" spans="10:10" ht="20.100000000000001" customHeight="1" x14ac:dyDescent="0.25">
      <c r="J125" s="10"/>
    </row>
    <row r="126" spans="10:10" ht="20.100000000000001" customHeight="1" x14ac:dyDescent="0.25">
      <c r="J126" s="10"/>
    </row>
    <row r="129" spans="1:19" ht="20.100000000000001" customHeight="1" x14ac:dyDescent="0.25">
      <c r="A129" s="119" t="s">
        <v>38</v>
      </c>
      <c r="B129" s="119"/>
      <c r="C129" s="119"/>
      <c r="D129" s="119"/>
      <c r="E129" s="119"/>
      <c r="F129" s="119"/>
      <c r="G129" s="119"/>
      <c r="H129" s="119"/>
      <c r="I129" s="119"/>
      <c r="J129" s="119"/>
      <c r="K129" s="119"/>
      <c r="L129" s="119"/>
      <c r="M129" s="119"/>
      <c r="N129" s="119"/>
      <c r="O129" s="119"/>
      <c r="P129" s="119"/>
      <c r="Q129" s="119"/>
      <c r="R129" s="119"/>
      <c r="S129" s="119"/>
    </row>
    <row r="131" spans="1:19" ht="39.950000000000003" customHeight="1" x14ac:dyDescent="0.25">
      <c r="A131" s="129" t="s">
        <v>40</v>
      </c>
      <c r="B131" s="129"/>
      <c r="C131" s="129"/>
      <c r="D131" s="129"/>
      <c r="E131" s="129"/>
      <c r="F131" s="129"/>
      <c r="G131" s="129"/>
      <c r="H131" s="129"/>
      <c r="I131" s="129"/>
      <c r="J131" s="11" t="s">
        <v>86</v>
      </c>
      <c r="K131" s="129" t="s">
        <v>39</v>
      </c>
      <c r="L131" s="129"/>
      <c r="M131" s="129"/>
      <c r="N131" s="129" t="s">
        <v>33</v>
      </c>
      <c r="O131" s="129"/>
      <c r="P131" s="129"/>
      <c r="Q131" s="129" t="s">
        <v>41</v>
      </c>
      <c r="R131" s="129"/>
      <c r="S131" s="129"/>
    </row>
    <row r="132" spans="1:19" ht="20.100000000000001" customHeight="1" x14ac:dyDescent="0.25">
      <c r="A132" s="134" t="s">
        <v>485</v>
      </c>
      <c r="B132" s="134"/>
      <c r="C132" s="134"/>
      <c r="D132" s="134"/>
      <c r="E132" s="134"/>
      <c r="F132" s="134"/>
      <c r="G132" s="134"/>
      <c r="H132" s="134"/>
      <c r="I132" s="134"/>
      <c r="J132" s="3" t="s">
        <v>99</v>
      </c>
      <c r="K132" s="155">
        <v>0.15</v>
      </c>
      <c r="L132" s="155"/>
      <c r="M132" s="155"/>
      <c r="N132" s="155">
        <f>K132</f>
        <v>0.15</v>
      </c>
      <c r="O132" s="155"/>
      <c r="P132" s="155"/>
      <c r="Q132" s="155">
        <f>(K132-N132)</f>
        <v>0</v>
      </c>
      <c r="R132" s="155"/>
      <c r="S132" s="155"/>
    </row>
    <row r="133" spans="1:19" ht="20.100000000000001" customHeight="1" x14ac:dyDescent="0.25">
      <c r="A133" s="148" t="s">
        <v>486</v>
      </c>
      <c r="B133" s="148"/>
      <c r="C133" s="148"/>
      <c r="D133" s="148"/>
      <c r="E133" s="148"/>
      <c r="F133" s="148"/>
      <c r="G133" s="148"/>
      <c r="H133" s="148"/>
      <c r="I133" s="148"/>
      <c r="J133" s="7" t="s">
        <v>100</v>
      </c>
      <c r="K133" s="149">
        <v>0.1</v>
      </c>
      <c r="L133" s="149"/>
      <c r="M133" s="149"/>
      <c r="N133" s="149">
        <f t="shared" ref="N133:N138" si="4">K133</f>
        <v>0.1</v>
      </c>
      <c r="O133" s="149"/>
      <c r="P133" s="149"/>
      <c r="Q133" s="149">
        <f t="shared" ref="Q133:Q138" si="5">(K133-N133)</f>
        <v>0</v>
      </c>
      <c r="R133" s="149"/>
      <c r="S133" s="149"/>
    </row>
    <row r="134" spans="1:19" ht="20.100000000000001" customHeight="1" x14ac:dyDescent="0.25">
      <c r="A134" s="148" t="s">
        <v>487</v>
      </c>
      <c r="B134" s="148"/>
      <c r="C134" s="148"/>
      <c r="D134" s="148"/>
      <c r="E134" s="148"/>
      <c r="F134" s="148"/>
      <c r="G134" s="148"/>
      <c r="H134" s="148"/>
      <c r="I134" s="148"/>
      <c r="J134" s="7" t="s">
        <v>101</v>
      </c>
      <c r="K134" s="149">
        <v>0.05</v>
      </c>
      <c r="L134" s="149"/>
      <c r="M134" s="149"/>
      <c r="N134" s="149">
        <f t="shared" si="4"/>
        <v>0.05</v>
      </c>
      <c r="O134" s="149"/>
      <c r="P134" s="149"/>
      <c r="Q134" s="149">
        <f t="shared" si="5"/>
        <v>0</v>
      </c>
      <c r="R134" s="149"/>
      <c r="S134" s="149"/>
    </row>
    <row r="135" spans="1:19" ht="20.100000000000001" customHeight="1" x14ac:dyDescent="0.25">
      <c r="A135" s="148" t="s">
        <v>488</v>
      </c>
      <c r="B135" s="148"/>
      <c r="C135" s="148"/>
      <c r="D135" s="148"/>
      <c r="E135" s="148"/>
      <c r="F135" s="148"/>
      <c r="G135" s="148"/>
      <c r="H135" s="148"/>
      <c r="I135" s="148"/>
      <c r="J135" s="7" t="s">
        <v>102</v>
      </c>
      <c r="K135" s="149">
        <v>0.15</v>
      </c>
      <c r="L135" s="149"/>
      <c r="M135" s="149"/>
      <c r="N135" s="149">
        <f t="shared" si="4"/>
        <v>0.15</v>
      </c>
      <c r="O135" s="149"/>
      <c r="P135" s="149"/>
      <c r="Q135" s="149">
        <f t="shared" si="5"/>
        <v>0</v>
      </c>
      <c r="R135" s="149"/>
      <c r="S135" s="149"/>
    </row>
    <row r="136" spans="1:19" ht="20.100000000000001" customHeight="1" x14ac:dyDescent="0.25">
      <c r="A136" s="148" t="s">
        <v>489</v>
      </c>
      <c r="B136" s="148"/>
      <c r="C136" s="148"/>
      <c r="D136" s="148"/>
      <c r="E136" s="148"/>
      <c r="F136" s="148"/>
      <c r="G136" s="148"/>
      <c r="H136" s="148"/>
      <c r="I136" s="148"/>
      <c r="J136" s="7" t="s">
        <v>103</v>
      </c>
      <c r="K136" s="149">
        <v>0.1</v>
      </c>
      <c r="L136" s="149"/>
      <c r="M136" s="149"/>
      <c r="N136" s="149">
        <f t="shared" si="4"/>
        <v>0.1</v>
      </c>
      <c r="O136" s="149"/>
      <c r="P136" s="149"/>
      <c r="Q136" s="149">
        <f t="shared" si="5"/>
        <v>0</v>
      </c>
      <c r="R136" s="149"/>
      <c r="S136" s="149"/>
    </row>
    <row r="137" spans="1:19" ht="20.100000000000001" customHeight="1" x14ac:dyDescent="0.25">
      <c r="A137" s="148" t="s">
        <v>1</v>
      </c>
      <c r="B137" s="148"/>
      <c r="C137" s="148"/>
      <c r="D137" s="148"/>
      <c r="E137" s="148"/>
      <c r="F137" s="148"/>
      <c r="G137" s="148"/>
      <c r="H137" s="148"/>
      <c r="I137" s="148"/>
      <c r="J137" s="7" t="s">
        <v>104</v>
      </c>
      <c r="K137" s="149">
        <v>0.3</v>
      </c>
      <c r="L137" s="149"/>
      <c r="M137" s="149"/>
      <c r="N137" s="149">
        <f t="shared" si="4"/>
        <v>0.3</v>
      </c>
      <c r="O137" s="149"/>
      <c r="P137" s="149"/>
      <c r="Q137" s="149">
        <f t="shared" si="5"/>
        <v>0</v>
      </c>
      <c r="R137" s="149"/>
      <c r="S137" s="149"/>
    </row>
    <row r="138" spans="1:19" ht="20.100000000000001" customHeight="1" x14ac:dyDescent="0.25">
      <c r="A138" s="148" t="s">
        <v>490</v>
      </c>
      <c r="B138" s="148"/>
      <c r="C138" s="148"/>
      <c r="D138" s="148"/>
      <c r="E138" s="148"/>
      <c r="F138" s="148"/>
      <c r="G138" s="148"/>
      <c r="H138" s="148"/>
      <c r="I138" s="148"/>
      <c r="J138" s="7" t="s">
        <v>105</v>
      </c>
      <c r="K138" s="149">
        <v>0.05</v>
      </c>
      <c r="L138" s="149"/>
      <c r="M138" s="149"/>
      <c r="N138" s="149">
        <f t="shared" si="4"/>
        <v>0.05</v>
      </c>
      <c r="O138" s="149"/>
      <c r="P138" s="149"/>
      <c r="Q138" s="149">
        <f t="shared" si="5"/>
        <v>0</v>
      </c>
      <c r="R138" s="149"/>
      <c r="S138" s="149"/>
    </row>
    <row r="140" spans="1:19" ht="20.100000000000001" customHeight="1" x14ac:dyDescent="0.25">
      <c r="A140" s="110" t="s">
        <v>280</v>
      </c>
      <c r="B140" s="110"/>
      <c r="C140" s="110"/>
      <c r="D140" s="110"/>
      <c r="E140" s="110"/>
      <c r="F140" s="110"/>
      <c r="G140" s="110"/>
      <c r="H140" s="110"/>
      <c r="I140" s="110"/>
      <c r="J140" s="110"/>
      <c r="K140" s="130">
        <f>1+(SUM(K132:M138))</f>
        <v>1.9</v>
      </c>
      <c r="L140" s="130"/>
      <c r="M140" s="130"/>
      <c r="N140" s="130">
        <f>1+(SUM(N132:P138))</f>
        <v>1.9</v>
      </c>
      <c r="O140" s="130"/>
      <c r="P140" s="130"/>
    </row>
    <row r="141" spans="1:19" ht="20.100000000000001" customHeight="1" x14ac:dyDescent="0.25">
      <c r="A141" s="150" t="s">
        <v>119</v>
      </c>
      <c r="B141" s="150"/>
      <c r="C141" s="150"/>
      <c r="D141" s="150"/>
      <c r="E141" s="150"/>
      <c r="F141" s="150"/>
      <c r="G141" s="150"/>
      <c r="H141" s="150"/>
      <c r="I141" s="150"/>
      <c r="J141" s="150"/>
      <c r="K141" s="150"/>
      <c r="L141" s="150"/>
      <c r="M141" s="150"/>
      <c r="N141" s="150"/>
      <c r="O141" s="150"/>
      <c r="P141" s="150"/>
    </row>
    <row r="142" spans="1:19" ht="20.100000000000001" customHeight="1" x14ac:dyDescent="0.25">
      <c r="A142" s="151"/>
      <c r="B142" s="151"/>
      <c r="C142" s="151"/>
      <c r="D142" s="151"/>
      <c r="E142" s="151"/>
      <c r="F142" s="151"/>
      <c r="G142" s="151"/>
      <c r="H142" s="151"/>
      <c r="I142" s="151"/>
      <c r="J142" s="151"/>
      <c r="K142" s="151"/>
      <c r="L142" s="151"/>
      <c r="M142" s="151"/>
      <c r="N142" s="151"/>
      <c r="O142" s="151"/>
      <c r="P142" s="151"/>
      <c r="Q142" s="130">
        <f>SUM(Q132:S138)</f>
        <v>0</v>
      </c>
      <c r="R142" s="130"/>
      <c r="S142" s="130"/>
    </row>
    <row r="144" spans="1:19" ht="20.100000000000001" customHeight="1" x14ac:dyDescent="0.25">
      <c r="A144" s="145" t="s">
        <v>491</v>
      </c>
      <c r="B144" s="145"/>
      <c r="C144" s="145"/>
      <c r="D144" s="145"/>
      <c r="E144" s="145"/>
      <c r="F144" s="145" t="s">
        <v>34</v>
      </c>
      <c r="G144" s="145"/>
      <c r="H144" s="145"/>
      <c r="I144" s="145"/>
      <c r="J144" s="145"/>
      <c r="K144" s="145"/>
      <c r="L144" s="145"/>
      <c r="M144" s="145"/>
      <c r="N144" s="145"/>
      <c r="O144" s="145"/>
      <c r="P144" s="145"/>
      <c r="Q144" s="145" t="s">
        <v>15</v>
      </c>
      <c r="R144" s="145"/>
      <c r="S144" s="145"/>
    </row>
    <row r="145" spans="1:19" ht="20.100000000000001" customHeight="1" x14ac:dyDescent="0.25">
      <c r="A145" s="145"/>
      <c r="B145" s="145"/>
      <c r="C145" s="145"/>
      <c r="D145" s="145"/>
      <c r="E145" s="145"/>
      <c r="F145" s="11"/>
      <c r="G145" s="11"/>
      <c r="H145" s="11"/>
      <c r="I145" s="11"/>
      <c r="J145" s="11" t="s">
        <v>99</v>
      </c>
      <c r="K145" s="11" t="s">
        <v>100</v>
      </c>
      <c r="L145" s="11" t="s">
        <v>101</v>
      </c>
      <c r="M145" s="11" t="s">
        <v>102</v>
      </c>
      <c r="N145" s="11" t="s">
        <v>103</v>
      </c>
      <c r="O145" s="11" t="s">
        <v>104</v>
      </c>
      <c r="P145" s="11" t="s">
        <v>105</v>
      </c>
      <c r="Q145" s="146"/>
      <c r="R145" s="146"/>
      <c r="S145" s="146"/>
    </row>
    <row r="146" spans="1:19" ht="20.100000000000001" customHeight="1" thickBot="1" x14ac:dyDescent="0.3">
      <c r="A146" s="147"/>
      <c r="B146" s="147"/>
      <c r="C146" s="147"/>
      <c r="D146" s="147"/>
      <c r="E146" s="147"/>
      <c r="F146" s="92"/>
      <c r="G146" s="92"/>
      <c r="H146" s="92"/>
      <c r="I146" s="92"/>
      <c r="J146" s="92">
        <f>$N$132</f>
        <v>0.15</v>
      </c>
      <c r="K146" s="92">
        <f>$N$133</f>
        <v>0.1</v>
      </c>
      <c r="L146" s="92">
        <f>$N$134</f>
        <v>0.05</v>
      </c>
      <c r="M146" s="92">
        <f>$N$135</f>
        <v>0.15</v>
      </c>
      <c r="N146" s="92">
        <f>$N$136</f>
        <v>0.1</v>
      </c>
      <c r="O146" s="92">
        <f>$N$137</f>
        <v>0.3</v>
      </c>
      <c r="P146" s="92">
        <f>$N$138</f>
        <v>0.05</v>
      </c>
      <c r="Q146" s="152">
        <f>1+(SUM(J146:P146))</f>
        <v>1.9</v>
      </c>
      <c r="R146" s="152"/>
      <c r="S146" s="152"/>
    </row>
    <row r="148" spans="1:19" ht="20.100000000000001" customHeight="1" x14ac:dyDescent="0.25">
      <c r="A148" s="117" t="s">
        <v>277</v>
      </c>
      <c r="B148" s="117"/>
      <c r="C148" s="117"/>
      <c r="D148" s="117"/>
      <c r="E148" s="117"/>
      <c r="F148" s="117"/>
      <c r="G148" s="117"/>
      <c r="H148" s="117"/>
      <c r="I148" s="117"/>
      <c r="J148" s="117"/>
      <c r="K148" s="117"/>
      <c r="L148" s="117"/>
      <c r="M148" s="117"/>
      <c r="N148" s="117"/>
      <c r="O148" s="117"/>
      <c r="P148" s="117"/>
      <c r="Q148" s="117"/>
      <c r="R148" s="117"/>
      <c r="S148" s="117"/>
    </row>
    <row r="149" spans="1:19" ht="20.100000000000001" customHeight="1" x14ac:dyDescent="0.25">
      <c r="A149" s="117"/>
      <c r="B149" s="117"/>
      <c r="C149" s="117"/>
      <c r="D149" s="117"/>
      <c r="E149" s="117"/>
      <c r="F149" s="117"/>
      <c r="G149" s="117"/>
      <c r="H149" s="117"/>
      <c r="I149" s="117"/>
      <c r="J149" s="117"/>
      <c r="K149" s="117"/>
      <c r="L149" s="117"/>
      <c r="M149" s="117"/>
      <c r="N149" s="117"/>
      <c r="O149" s="117"/>
      <c r="P149" s="117"/>
      <c r="Q149" s="117"/>
      <c r="R149" s="117"/>
      <c r="S149" s="117"/>
    </row>
    <row r="151" spans="1:19" ht="39.950000000000003" customHeight="1" x14ac:dyDescent="0.25">
      <c r="A151" s="129" t="s">
        <v>17</v>
      </c>
      <c r="B151" s="129"/>
      <c r="C151" s="129" t="str">
        <f>Q48</f>
        <v>Valor unitário homogeneizado</v>
      </c>
      <c r="D151" s="129"/>
      <c r="E151" s="129"/>
      <c r="F151" s="5"/>
      <c r="G151" s="5"/>
      <c r="H151" s="5"/>
      <c r="I151" s="5"/>
      <c r="J151" s="5" t="s">
        <v>99</v>
      </c>
      <c r="K151" s="5" t="s">
        <v>100</v>
      </c>
      <c r="L151" s="5" t="s">
        <v>101</v>
      </c>
      <c r="M151" s="5" t="s">
        <v>102</v>
      </c>
      <c r="N151" s="5" t="s">
        <v>103</v>
      </c>
      <c r="O151" s="5" t="s">
        <v>104</v>
      </c>
      <c r="P151" s="5" t="s">
        <v>105</v>
      </c>
      <c r="Q151" s="129" t="s">
        <v>15</v>
      </c>
      <c r="R151" s="129"/>
      <c r="S151" s="129"/>
    </row>
    <row r="152" spans="1:19" ht="20.100000000000001" customHeight="1" x14ac:dyDescent="0.25">
      <c r="A152" s="121">
        <v>1</v>
      </c>
      <c r="B152" s="121"/>
      <c r="C152" s="135">
        <f>Q49</f>
        <v>500</v>
      </c>
      <c r="D152" s="135"/>
      <c r="E152" s="135"/>
      <c r="F152" s="21"/>
      <c r="G152" s="21"/>
      <c r="H152" s="21"/>
      <c r="I152" s="21"/>
      <c r="J152" s="21">
        <f>$K$132</f>
        <v>0.15</v>
      </c>
      <c r="K152" s="21">
        <f>$K$133</f>
        <v>0.1</v>
      </c>
      <c r="L152" s="21">
        <f>$K$134</f>
        <v>0.05</v>
      </c>
      <c r="M152" s="21">
        <f>$K$135</f>
        <v>0.15</v>
      </c>
      <c r="N152" s="21">
        <f>$K$136</f>
        <v>0.1</v>
      </c>
      <c r="O152" s="21">
        <f>$K$137</f>
        <v>0.3</v>
      </c>
      <c r="P152" s="21">
        <f>$K$138</f>
        <v>0.05</v>
      </c>
      <c r="Q152" s="154">
        <f>1+(SUM(J152:P152))</f>
        <v>1.9</v>
      </c>
      <c r="R152" s="154"/>
      <c r="S152" s="154"/>
    </row>
    <row r="153" spans="1:19" ht="20.100000000000001" customHeight="1" x14ac:dyDescent="0.25">
      <c r="A153" s="121">
        <v>2</v>
      </c>
      <c r="B153" s="121"/>
      <c r="C153" s="142">
        <f>Q50</f>
        <v>578.57142857142867</v>
      </c>
      <c r="D153" s="142"/>
      <c r="E153" s="142"/>
      <c r="F153" s="21"/>
      <c r="G153" s="21"/>
      <c r="H153" s="21"/>
      <c r="I153" s="21"/>
      <c r="J153" s="21">
        <f t="shared" ref="J153:J154" si="6">$K$132</f>
        <v>0.15</v>
      </c>
      <c r="K153" s="21">
        <f t="shared" ref="K153:K154" si="7">$K$133</f>
        <v>0.1</v>
      </c>
      <c r="L153" s="21">
        <f t="shared" ref="L153:L154" si="8">$K$134</f>
        <v>0.05</v>
      </c>
      <c r="M153" s="21">
        <f t="shared" ref="M153:M154" si="9">$K$135</f>
        <v>0.15</v>
      </c>
      <c r="N153" s="21">
        <f t="shared" ref="N153:N154" si="10">$K$136</f>
        <v>0.1</v>
      </c>
      <c r="O153" s="21">
        <f t="shared" ref="O153:O154" si="11">$K$137</f>
        <v>0.3</v>
      </c>
      <c r="P153" s="21">
        <f t="shared" ref="P153:P154" si="12">$K$138</f>
        <v>0.05</v>
      </c>
      <c r="Q153" s="138">
        <f>1+(SUM(J153:P153))</f>
        <v>1.9</v>
      </c>
      <c r="R153" s="138"/>
      <c r="S153" s="138"/>
    </row>
    <row r="154" spans="1:19" ht="20.100000000000001" customHeight="1" thickBot="1" x14ac:dyDescent="0.3">
      <c r="A154" s="166">
        <v>3</v>
      </c>
      <c r="B154" s="166"/>
      <c r="C154" s="136">
        <f>Q51</f>
        <v>601.66666666666652</v>
      </c>
      <c r="D154" s="136"/>
      <c r="E154" s="136"/>
      <c r="F154" s="22"/>
      <c r="G154" s="22"/>
      <c r="H154" s="22"/>
      <c r="I154" s="22"/>
      <c r="J154" s="22">
        <f t="shared" si="6"/>
        <v>0.15</v>
      </c>
      <c r="K154" s="22">
        <f t="shared" si="7"/>
        <v>0.1</v>
      </c>
      <c r="L154" s="22">
        <f t="shared" si="8"/>
        <v>0.05</v>
      </c>
      <c r="M154" s="22">
        <f t="shared" si="9"/>
        <v>0.15</v>
      </c>
      <c r="N154" s="22">
        <f t="shared" si="10"/>
        <v>0.1</v>
      </c>
      <c r="O154" s="22">
        <f t="shared" si="11"/>
        <v>0.3</v>
      </c>
      <c r="P154" s="22">
        <f t="shared" si="12"/>
        <v>0.05</v>
      </c>
      <c r="Q154" s="139">
        <f>1+(SUM(J154:P154))</f>
        <v>1.9</v>
      </c>
      <c r="R154" s="139"/>
      <c r="S154" s="139"/>
    </row>
    <row r="156" spans="1:19" ht="39.950000000000003" customHeight="1" x14ac:dyDescent="0.25">
      <c r="A156" s="129" t="s">
        <v>17</v>
      </c>
      <c r="B156" s="129"/>
      <c r="C156" s="129" t="str">
        <f>C151</f>
        <v>Valor unitário homogeneizado</v>
      </c>
      <c r="D156" s="129"/>
      <c r="E156" s="129"/>
      <c r="F156" s="129" t="s">
        <v>106</v>
      </c>
      <c r="G156" s="129"/>
      <c r="H156" s="129"/>
      <c r="I156" s="129" t="s">
        <v>107</v>
      </c>
      <c r="J156" s="129"/>
      <c r="K156" s="129"/>
      <c r="L156" s="129" t="s">
        <v>23</v>
      </c>
      <c r="M156" s="129"/>
      <c r="N156" s="129"/>
      <c r="O156" s="129" t="s">
        <v>42</v>
      </c>
      <c r="P156" s="129"/>
      <c r="Q156" s="129"/>
      <c r="R156" s="129"/>
      <c r="S156" s="129"/>
    </row>
    <row r="157" spans="1:19" ht="20.100000000000001" customHeight="1" x14ac:dyDescent="0.25">
      <c r="A157" s="121">
        <v>1</v>
      </c>
      <c r="B157" s="121"/>
      <c r="C157" s="135">
        <f>C152</f>
        <v>500</v>
      </c>
      <c r="D157" s="135"/>
      <c r="E157" s="135"/>
      <c r="F157" s="156">
        <f>Q152</f>
        <v>1.9</v>
      </c>
      <c r="G157" s="156"/>
      <c r="H157" s="156"/>
      <c r="I157" s="156">
        <f>$Q$146</f>
        <v>1.9</v>
      </c>
      <c r="J157" s="156"/>
      <c r="K157" s="156"/>
      <c r="L157" s="156">
        <f>I157/F157</f>
        <v>1</v>
      </c>
      <c r="M157" s="156"/>
      <c r="N157" s="156"/>
      <c r="O157" s="135">
        <f t="shared" ref="O157:O159" si="13">C157*L157</f>
        <v>500</v>
      </c>
      <c r="P157" s="135"/>
      <c r="Q157" s="135"/>
      <c r="R157" s="135"/>
      <c r="S157" s="135"/>
    </row>
    <row r="158" spans="1:19" ht="20.100000000000001" customHeight="1" x14ac:dyDescent="0.25">
      <c r="A158" s="121">
        <v>2</v>
      </c>
      <c r="B158" s="121"/>
      <c r="C158" s="142">
        <f>C153</f>
        <v>578.57142857142867</v>
      </c>
      <c r="D158" s="142"/>
      <c r="E158" s="142"/>
      <c r="F158" s="157">
        <f>Q153</f>
        <v>1.9</v>
      </c>
      <c r="G158" s="157"/>
      <c r="H158" s="157"/>
      <c r="I158" s="157">
        <f>$Q$146</f>
        <v>1.9</v>
      </c>
      <c r="J158" s="157"/>
      <c r="K158" s="157"/>
      <c r="L158" s="157">
        <f t="shared" ref="L158:L159" si="14">I158/F158</f>
        <v>1</v>
      </c>
      <c r="M158" s="157"/>
      <c r="N158" s="157"/>
      <c r="O158" s="142">
        <f t="shared" si="13"/>
        <v>578.57142857142867</v>
      </c>
      <c r="P158" s="142"/>
      <c r="Q158" s="142"/>
      <c r="R158" s="142"/>
      <c r="S158" s="142"/>
    </row>
    <row r="159" spans="1:19" ht="20.100000000000001" customHeight="1" thickBot="1" x14ac:dyDescent="0.3">
      <c r="A159" s="166">
        <v>3</v>
      </c>
      <c r="B159" s="166"/>
      <c r="C159" s="136">
        <f>C154</f>
        <v>601.66666666666652</v>
      </c>
      <c r="D159" s="136"/>
      <c r="E159" s="136"/>
      <c r="F159" s="158">
        <f>Q154</f>
        <v>1.9</v>
      </c>
      <c r="G159" s="158"/>
      <c r="H159" s="158"/>
      <c r="I159" s="158">
        <f>$Q$146</f>
        <v>1.9</v>
      </c>
      <c r="J159" s="158"/>
      <c r="K159" s="158"/>
      <c r="L159" s="158">
        <f t="shared" si="14"/>
        <v>1</v>
      </c>
      <c r="M159" s="158"/>
      <c r="N159" s="158"/>
      <c r="O159" s="136">
        <f t="shared" si="13"/>
        <v>601.66666666666652</v>
      </c>
      <c r="P159" s="136"/>
      <c r="Q159" s="136"/>
      <c r="R159" s="136"/>
      <c r="S159" s="136"/>
    </row>
    <row r="161" spans="1:25" ht="20.100000000000001" customHeight="1" x14ac:dyDescent="0.25">
      <c r="M161" s="110" t="s">
        <v>36</v>
      </c>
      <c r="N161" s="110"/>
      <c r="O161" s="110"/>
      <c r="P161" s="110"/>
      <c r="Q161" s="116">
        <f>AVERAGE(O157:S159)</f>
        <v>560.07936507936506</v>
      </c>
      <c r="R161" s="116"/>
      <c r="S161" s="116"/>
    </row>
    <row r="162" spans="1:25" ht="20.100000000000001" customHeight="1" x14ac:dyDescent="0.25">
      <c r="M162" s="117" t="s">
        <v>37</v>
      </c>
      <c r="N162" s="117"/>
      <c r="O162" s="117"/>
      <c r="P162" s="117"/>
      <c r="Q162" s="116">
        <f>STDEVA(O157:S159)</f>
        <v>53.296295245764071</v>
      </c>
      <c r="R162" s="116"/>
      <c r="S162" s="116"/>
    </row>
    <row r="163" spans="1:25" ht="20.100000000000001" customHeight="1" x14ac:dyDescent="0.25">
      <c r="M163" s="128" t="s">
        <v>35</v>
      </c>
      <c r="N163" s="128"/>
      <c r="O163" s="128"/>
      <c r="P163" s="128"/>
      <c r="Q163" s="153">
        <f>Q162/Q161</f>
        <v>9.5158469618340277E-2</v>
      </c>
      <c r="R163" s="153"/>
      <c r="S163" s="153"/>
    </row>
    <row r="166" spans="1:25" ht="20.100000000000001" customHeight="1" x14ac:dyDescent="0.25">
      <c r="A166" s="119" t="s">
        <v>49</v>
      </c>
      <c r="B166" s="119"/>
      <c r="C166" s="119"/>
      <c r="D166" s="119"/>
      <c r="E166" s="119"/>
      <c r="F166" s="119"/>
      <c r="G166" s="119"/>
      <c r="H166" s="119"/>
      <c r="I166" s="119"/>
      <c r="J166" s="119"/>
      <c r="K166" s="119"/>
      <c r="L166" s="119"/>
      <c r="M166" s="119"/>
      <c r="N166" s="119"/>
      <c r="O166" s="119"/>
      <c r="P166" s="119"/>
      <c r="Q166" s="119"/>
      <c r="R166" s="119"/>
      <c r="S166" s="119"/>
    </row>
    <row r="168" spans="1:25" ht="20.100000000000001" customHeight="1" x14ac:dyDescent="0.25">
      <c r="A168" s="129" t="s">
        <v>17</v>
      </c>
      <c r="B168" s="129"/>
      <c r="C168" s="129" t="s">
        <v>32</v>
      </c>
      <c r="D168" s="129"/>
      <c r="E168" s="129"/>
      <c r="F168" s="129"/>
      <c r="G168" s="129"/>
      <c r="M168" s="110" t="s">
        <v>43</v>
      </c>
      <c r="N168" s="110"/>
      <c r="O168" s="110"/>
      <c r="P168" s="110"/>
      <c r="Q168" s="110"/>
      <c r="R168" s="165">
        <v>0.3</v>
      </c>
      <c r="S168" s="165"/>
    </row>
    <row r="169" spans="1:25" ht="20.100000000000001" customHeight="1" x14ac:dyDescent="0.25">
      <c r="A169" s="121">
        <v>1</v>
      </c>
      <c r="B169" s="121"/>
      <c r="C169" s="122">
        <f>O157</f>
        <v>500</v>
      </c>
      <c r="D169" s="122"/>
      <c r="E169" s="122"/>
      <c r="F169" s="122"/>
      <c r="G169" s="122"/>
      <c r="H169" s="4">
        <f t="shared" ref="H169:H171" si="15">A169</f>
        <v>1</v>
      </c>
    </row>
    <row r="170" spans="1:25" ht="20.100000000000001" customHeight="1" x14ac:dyDescent="0.25">
      <c r="A170" s="121">
        <v>2</v>
      </c>
      <c r="B170" s="121"/>
      <c r="C170" s="124">
        <f>O158</f>
        <v>578.57142857142867</v>
      </c>
      <c r="D170" s="124"/>
      <c r="E170" s="124"/>
      <c r="F170" s="124"/>
      <c r="G170" s="124"/>
      <c r="H170" s="4">
        <f t="shared" si="15"/>
        <v>2</v>
      </c>
      <c r="M170" s="110" t="s">
        <v>36</v>
      </c>
      <c r="N170" s="110"/>
      <c r="O170" s="110"/>
      <c r="P170" s="110"/>
      <c r="Q170" s="116">
        <f>AVERAGE(C169:C171)</f>
        <v>560.07936507936506</v>
      </c>
      <c r="R170" s="116"/>
      <c r="S170" s="116"/>
    </row>
    <row r="171" spans="1:25" ht="20.100000000000001" customHeight="1" x14ac:dyDescent="0.25">
      <c r="A171" s="121">
        <v>3</v>
      </c>
      <c r="B171" s="121"/>
      <c r="C171" s="124">
        <f>O159</f>
        <v>601.66666666666652</v>
      </c>
      <c r="D171" s="124"/>
      <c r="E171" s="124"/>
      <c r="F171" s="124"/>
      <c r="G171" s="124"/>
      <c r="H171" s="4">
        <f t="shared" si="15"/>
        <v>3</v>
      </c>
      <c r="M171" s="110" t="s">
        <v>45</v>
      </c>
      <c r="N171" s="110"/>
      <c r="O171" s="110"/>
      <c r="P171" s="110"/>
      <c r="Q171" s="116">
        <f>Q170*(1+R168)</f>
        <v>728.10317460317458</v>
      </c>
      <c r="R171" s="116"/>
      <c r="S171" s="116"/>
    </row>
    <row r="172" spans="1:25" ht="20.100000000000001" customHeight="1" x14ac:dyDescent="0.25">
      <c r="M172" s="110" t="s">
        <v>44</v>
      </c>
      <c r="N172" s="110"/>
      <c r="O172" s="110"/>
      <c r="P172" s="110"/>
      <c r="Q172" s="116">
        <f>Q170*(1-R168)</f>
        <v>392.05555555555554</v>
      </c>
      <c r="R172" s="116"/>
      <c r="S172" s="116"/>
    </row>
    <row r="173" spans="1:25" ht="20.100000000000001" customHeight="1" x14ac:dyDescent="0.25">
      <c r="M173" s="110" t="s">
        <v>47</v>
      </c>
      <c r="N173" s="110"/>
      <c r="O173" s="110"/>
      <c r="P173" s="110"/>
      <c r="Q173" s="116">
        <f>MAX(C169:C171)</f>
        <v>601.66666666666652</v>
      </c>
      <c r="R173" s="116"/>
      <c r="S173" s="116"/>
      <c r="W173" s="12"/>
    </row>
    <row r="174" spans="1:25" ht="20.100000000000001" customHeight="1" x14ac:dyDescent="0.25">
      <c r="M174" s="110" t="s">
        <v>46</v>
      </c>
      <c r="N174" s="110"/>
      <c r="O174" s="110"/>
      <c r="P174" s="110"/>
      <c r="Q174" s="116">
        <f>MIN(C169:C171)</f>
        <v>500</v>
      </c>
      <c r="R174" s="116"/>
      <c r="S174" s="116"/>
      <c r="W174" s="12"/>
    </row>
    <row r="175" spans="1:25" ht="20.100000000000001" customHeight="1" x14ac:dyDescent="0.25">
      <c r="M175" s="117"/>
      <c r="N175" s="117"/>
      <c r="O175" s="117"/>
      <c r="P175" s="117"/>
      <c r="Q175" s="135"/>
      <c r="R175" s="135"/>
      <c r="S175" s="135"/>
    </row>
    <row r="176" spans="1:25" ht="20.100000000000001" customHeight="1" x14ac:dyDescent="0.25">
      <c r="M176" s="110" t="s">
        <v>51</v>
      </c>
      <c r="N176" s="110"/>
      <c r="O176" s="110" t="str">
        <f>IF(Q176="Nada a excluir","",Y176)</f>
        <v/>
      </c>
      <c r="P176" s="110"/>
      <c r="Q176" s="116" t="str" cm="1">
        <f t="array" ref="Q176">_xlfn.IFS(AND(OR(Q173&gt;Q171,Q174&lt;Q172),(Q173-Q170)&gt;(Q170-Q174)),Q173,AND(OR(Q174&lt;Q172,Q173&gt;Q171),(Q170-Q174)&gt;(Q173-Q170)),Q174,AND(Q173&lt;=Q171,Q174&gt;=Q172),"Nada a excluir")</f>
        <v>Nada a excluir</v>
      </c>
      <c r="R176" s="116"/>
      <c r="S176" s="116"/>
      <c r="Y176" s="4" t="e">
        <f>VLOOKUP(Q176,C169:H171,6,0)</f>
        <v>#N/A</v>
      </c>
    </row>
    <row r="177" spans="13:26" ht="20.100000000000001" customHeight="1" x14ac:dyDescent="0.25">
      <c r="M177" s="128" t="s">
        <v>50</v>
      </c>
      <c r="N177" s="128"/>
      <c r="O177" s="128"/>
      <c r="P177" s="128"/>
      <c r="Q177" s="160" t="str">
        <f>IF(Q176="Nada a excluir","Encerrar","Continuar")</f>
        <v>Encerrar</v>
      </c>
      <c r="R177" s="160"/>
      <c r="S177" s="160"/>
    </row>
    <row r="179" spans="13:26" ht="20.100000000000001" customHeight="1" x14ac:dyDescent="0.25">
      <c r="M179" s="110" t="s">
        <v>48</v>
      </c>
      <c r="N179" s="110"/>
      <c r="O179" s="110"/>
      <c r="P179" s="110"/>
      <c r="Q179" s="111">
        <f>STDEVA(C169:C171)</f>
        <v>53.296295245764071</v>
      </c>
      <c r="R179" s="112"/>
      <c r="S179" s="112"/>
    </row>
    <row r="180" spans="13:26" ht="20.100000000000001" customHeight="1" x14ac:dyDescent="0.25">
      <c r="M180" s="128" t="s">
        <v>35</v>
      </c>
      <c r="N180" s="128"/>
      <c r="O180" s="128"/>
      <c r="P180" s="128"/>
      <c r="Q180" s="159">
        <f>Q179/Q170</f>
        <v>9.5158469618340277E-2</v>
      </c>
      <c r="R180" s="159"/>
      <c r="S180" s="159"/>
    </row>
    <row r="181" spans="13:26" ht="20.100000000000001" customHeight="1" x14ac:dyDescent="0.25">
      <c r="Q181" s="13"/>
      <c r="R181" s="13"/>
      <c r="S181" s="13"/>
    </row>
    <row r="182" spans="13:26" ht="20.100000000000001" customHeight="1" x14ac:dyDescent="0.25">
      <c r="Q182" s="13"/>
      <c r="R182" s="13"/>
      <c r="S182" s="13"/>
    </row>
    <row r="183" spans="13:26" ht="20.100000000000001" customHeight="1" x14ac:dyDescent="0.25">
      <c r="Q183" s="13"/>
      <c r="R183" s="13"/>
      <c r="S183" s="13"/>
      <c r="X183" s="4" t="s">
        <v>44</v>
      </c>
      <c r="Y183" s="4" t="s">
        <v>45</v>
      </c>
      <c r="Z183" s="4" t="s">
        <v>36</v>
      </c>
    </row>
    <row r="184" spans="13:26" ht="20.100000000000001" customHeight="1" x14ac:dyDescent="0.25">
      <c r="Q184" s="13"/>
      <c r="R184" s="13"/>
      <c r="S184" s="13"/>
      <c r="X184" s="12">
        <f>$Q$172</f>
        <v>392.05555555555554</v>
      </c>
      <c r="Y184" s="12">
        <f>$Q$171</f>
        <v>728.10317460317458</v>
      </c>
      <c r="Z184" s="12">
        <f>$Q$170</f>
        <v>560.07936507936506</v>
      </c>
    </row>
    <row r="185" spans="13:26" ht="20.100000000000001" customHeight="1" x14ac:dyDescent="0.25">
      <c r="Q185" s="13"/>
      <c r="R185" s="13"/>
      <c r="S185" s="13"/>
      <c r="X185" s="12">
        <f t="shared" ref="X185:X186" si="16">$Q$172</f>
        <v>392.05555555555554</v>
      </c>
      <c r="Y185" s="12">
        <f t="shared" ref="Y185:Y186" si="17">$Q$171</f>
        <v>728.10317460317458</v>
      </c>
      <c r="Z185" s="12">
        <f t="shared" ref="Z185:Z186" si="18">$Q$170</f>
        <v>560.07936507936506</v>
      </c>
    </row>
    <row r="186" spans="13:26" ht="20.100000000000001" customHeight="1" x14ac:dyDescent="0.25">
      <c r="Q186" s="13"/>
      <c r="R186" s="13"/>
      <c r="S186" s="13"/>
      <c r="X186" s="12">
        <f t="shared" si="16"/>
        <v>392.05555555555554</v>
      </c>
      <c r="Y186" s="12">
        <f t="shared" si="17"/>
        <v>728.10317460317458</v>
      </c>
      <c r="Z186" s="12">
        <f t="shared" si="18"/>
        <v>560.07936507936506</v>
      </c>
    </row>
    <row r="187" spans="13:26" ht="20.100000000000001" customHeight="1" x14ac:dyDescent="0.25">
      <c r="Q187" s="13"/>
      <c r="R187" s="13"/>
      <c r="S187" s="13"/>
      <c r="X187" s="12"/>
      <c r="Y187" s="12"/>
      <c r="Z187" s="12"/>
    </row>
    <row r="188" spans="13:26" ht="20.100000000000001" customHeight="1" x14ac:dyDescent="0.25">
      <c r="Q188" s="13"/>
      <c r="R188" s="13"/>
      <c r="S188" s="13"/>
      <c r="X188" s="12"/>
      <c r="Y188" s="12"/>
      <c r="Z188" s="12"/>
    </row>
    <row r="189" spans="13:26" ht="20.100000000000001" customHeight="1" x14ac:dyDescent="0.25">
      <c r="Q189" s="13"/>
      <c r="R189" s="13"/>
      <c r="S189" s="13"/>
      <c r="X189" s="12"/>
      <c r="Y189" s="12"/>
      <c r="Z189" s="12"/>
    </row>
    <row r="190" spans="13:26" ht="20.100000000000001" customHeight="1" x14ac:dyDescent="0.25">
      <c r="Q190" s="13"/>
      <c r="R190" s="13"/>
      <c r="S190" s="13"/>
      <c r="X190" s="12"/>
      <c r="Y190" s="12"/>
      <c r="Z190" s="12"/>
    </row>
    <row r="191" spans="13:26" ht="20.100000000000001" customHeight="1" x14ac:dyDescent="0.25">
      <c r="Q191" s="13"/>
      <c r="R191" s="13"/>
      <c r="S191" s="13"/>
    </row>
    <row r="192" spans="13:26" ht="20.100000000000001" customHeight="1" x14ac:dyDescent="0.25">
      <c r="Q192" s="13"/>
      <c r="R192" s="13"/>
      <c r="S192" s="13"/>
    </row>
    <row r="193" spans="1:31" ht="20.100000000000001" customHeight="1" x14ac:dyDescent="0.25">
      <c r="Q193" s="13"/>
      <c r="R193" s="13"/>
      <c r="S193" s="13"/>
    </row>
    <row r="194" spans="1:31" ht="20.100000000000001" customHeight="1" x14ac:dyDescent="0.25">
      <c r="Q194" s="13"/>
      <c r="R194" s="13"/>
      <c r="S194" s="13"/>
    </row>
    <row r="195" spans="1:31" ht="20.100000000000001" customHeight="1" x14ac:dyDescent="0.25">
      <c r="Q195" s="13"/>
      <c r="R195" s="13"/>
      <c r="S195" s="13"/>
    </row>
    <row r="196" spans="1:31" ht="20.100000000000001" customHeight="1" x14ac:dyDescent="0.25">
      <c r="Q196" s="13"/>
      <c r="R196" s="13"/>
      <c r="S196" s="13"/>
    </row>
    <row r="197" spans="1:31" ht="20.100000000000001" customHeight="1" x14ac:dyDescent="0.25">
      <c r="Q197" s="13"/>
      <c r="R197" s="13"/>
      <c r="S197" s="13"/>
    </row>
    <row r="199" spans="1:31" ht="20.100000000000001" customHeight="1" x14ac:dyDescent="0.25">
      <c r="A199" s="119" t="s">
        <v>52</v>
      </c>
      <c r="B199" s="119"/>
      <c r="C199" s="119"/>
      <c r="D199" s="119"/>
      <c r="E199" s="119"/>
      <c r="F199" s="119"/>
      <c r="G199" s="119"/>
      <c r="H199" s="119"/>
      <c r="I199" s="119"/>
      <c r="J199" s="119"/>
      <c r="K199" s="119"/>
      <c r="L199" s="119"/>
      <c r="M199" s="119"/>
      <c r="N199" s="119"/>
      <c r="O199" s="119"/>
      <c r="P199" s="119"/>
      <c r="Q199" s="119"/>
      <c r="R199" s="119"/>
      <c r="S199" s="119"/>
    </row>
    <row r="201" spans="1:31" ht="20.100000000000001" customHeight="1" x14ac:dyDescent="0.25">
      <c r="A201" s="129" t="s">
        <v>17</v>
      </c>
      <c r="B201" s="129"/>
      <c r="C201" s="129" t="s">
        <v>32</v>
      </c>
      <c r="D201" s="129"/>
      <c r="E201" s="129"/>
      <c r="F201" s="129"/>
      <c r="G201" s="129"/>
      <c r="M201" s="110" t="s">
        <v>261</v>
      </c>
      <c r="N201" s="110"/>
      <c r="O201" s="110"/>
      <c r="P201" s="110"/>
      <c r="Q201" s="110"/>
      <c r="R201" s="161">
        <v>3</v>
      </c>
      <c r="S201" s="161"/>
      <c r="T201" s="109" t="s">
        <v>276</v>
      </c>
      <c r="U201" s="109"/>
      <c r="V201" s="109"/>
      <c r="AE201" s="4" t="s">
        <v>44</v>
      </c>
    </row>
    <row r="202" spans="1:31" ht="20.100000000000001" customHeight="1" x14ac:dyDescent="0.25">
      <c r="A202" s="121">
        <v>1</v>
      </c>
      <c r="B202" s="121"/>
      <c r="C202" s="122">
        <f>O157</f>
        <v>500</v>
      </c>
      <c r="D202" s="122"/>
      <c r="E202" s="122"/>
      <c r="F202" s="122"/>
      <c r="G202" s="122"/>
      <c r="H202" s="4">
        <f>A202</f>
        <v>1</v>
      </c>
      <c r="M202" s="110" t="s">
        <v>53</v>
      </c>
      <c r="N202" s="110"/>
      <c r="O202" s="110"/>
      <c r="P202" s="110"/>
      <c r="Q202" s="110"/>
      <c r="R202" s="120">
        <f>_xlfn.NORM.S.INV(1-((1/R201)/4))</f>
        <v>1.3829941271006372</v>
      </c>
      <c r="S202" s="120"/>
      <c r="Z202" s="14"/>
      <c r="AC202" s="12"/>
      <c r="AD202" s="12"/>
      <c r="AE202" s="12">
        <f>$Q$208</f>
        <v>486.37090175825176</v>
      </c>
    </row>
    <row r="203" spans="1:31" ht="20.100000000000001" customHeight="1" x14ac:dyDescent="0.25">
      <c r="A203" s="121">
        <v>2</v>
      </c>
      <c r="B203" s="121"/>
      <c r="C203" s="124">
        <f>O158</f>
        <v>578.57142857142867</v>
      </c>
      <c r="D203" s="124"/>
      <c r="E203" s="124"/>
      <c r="F203" s="124"/>
      <c r="G203" s="124"/>
      <c r="H203" s="4">
        <f t="shared" ref="H203:H204" si="19">A203</f>
        <v>2</v>
      </c>
      <c r="AC203" s="12"/>
      <c r="AD203" s="12"/>
      <c r="AE203" s="12">
        <f t="shared" ref="AE203:AE208" si="20">$Q$208</f>
        <v>486.37090175825176</v>
      </c>
    </row>
    <row r="204" spans="1:31" ht="20.100000000000001" customHeight="1" x14ac:dyDescent="0.25">
      <c r="A204" s="121">
        <v>3</v>
      </c>
      <c r="B204" s="121"/>
      <c r="C204" s="124">
        <f>O159</f>
        <v>601.66666666666652</v>
      </c>
      <c r="D204" s="124"/>
      <c r="E204" s="124"/>
      <c r="F204" s="124"/>
      <c r="G204" s="124"/>
      <c r="H204" s="4">
        <f t="shared" si="19"/>
        <v>3</v>
      </c>
      <c r="M204" s="110" t="s">
        <v>36</v>
      </c>
      <c r="N204" s="110"/>
      <c r="O204" s="110"/>
      <c r="P204" s="110"/>
      <c r="Q204" s="116">
        <f>AVERAGE(C202:C204)</f>
        <v>560.07936507936506</v>
      </c>
      <c r="R204" s="116"/>
      <c r="S204" s="116"/>
      <c r="AC204" s="12"/>
      <c r="AD204" s="12"/>
      <c r="AE204" s="12">
        <f t="shared" si="20"/>
        <v>486.37090175825176</v>
      </c>
    </row>
    <row r="205" spans="1:31" ht="20.100000000000001" customHeight="1" x14ac:dyDescent="0.25">
      <c r="M205" s="110" t="s">
        <v>37</v>
      </c>
      <c r="N205" s="110"/>
      <c r="O205" s="110"/>
      <c r="P205" s="110"/>
      <c r="Q205" s="116">
        <f>STDEVA(C202:G204)</f>
        <v>53.296295245764071</v>
      </c>
      <c r="R205" s="116"/>
      <c r="S205" s="116"/>
      <c r="AC205" s="12"/>
      <c r="AD205" s="12"/>
      <c r="AE205" s="12">
        <f t="shared" si="20"/>
        <v>486.37090175825176</v>
      </c>
    </row>
    <row r="206" spans="1:31" ht="20.100000000000001" customHeight="1" x14ac:dyDescent="0.25">
      <c r="AC206" s="12"/>
      <c r="AD206" s="12"/>
      <c r="AE206" s="12">
        <f t="shared" si="20"/>
        <v>486.37090175825176</v>
      </c>
    </row>
    <row r="207" spans="1:31" ht="20.100000000000001" customHeight="1" x14ac:dyDescent="0.25">
      <c r="M207" s="110" t="s">
        <v>45</v>
      </c>
      <c r="N207" s="110"/>
      <c r="O207" s="110"/>
      <c r="P207" s="110"/>
      <c r="Q207" s="116">
        <f>Q204+(R202*Q205)</f>
        <v>633.78782840047836</v>
      </c>
      <c r="R207" s="116"/>
      <c r="S207" s="116"/>
      <c r="AC207" s="12"/>
      <c r="AD207" s="12"/>
      <c r="AE207" s="12">
        <f t="shared" si="20"/>
        <v>486.37090175825176</v>
      </c>
    </row>
    <row r="208" spans="1:31" ht="20.100000000000001" customHeight="1" x14ac:dyDescent="0.25">
      <c r="M208" s="110" t="s">
        <v>44</v>
      </c>
      <c r="N208" s="110"/>
      <c r="O208" s="110"/>
      <c r="P208" s="110"/>
      <c r="Q208" s="116">
        <f>Q204-(R202*Q205)</f>
        <v>486.37090175825176</v>
      </c>
      <c r="R208" s="116"/>
      <c r="S208" s="116"/>
      <c r="AC208" s="12"/>
      <c r="AD208" s="12"/>
      <c r="AE208" s="12">
        <f t="shared" si="20"/>
        <v>486.37090175825176</v>
      </c>
    </row>
    <row r="209" spans="13:26" ht="20.100000000000001" customHeight="1" x14ac:dyDescent="0.25">
      <c r="M209" s="110" t="s">
        <v>47</v>
      </c>
      <c r="N209" s="110"/>
      <c r="O209" s="110"/>
      <c r="P209" s="110"/>
      <c r="Q209" s="116">
        <f>MAX(C202:C204)</f>
        <v>601.66666666666652</v>
      </c>
      <c r="R209" s="116"/>
      <c r="S209" s="116"/>
    </row>
    <row r="210" spans="13:26" ht="20.100000000000001" customHeight="1" x14ac:dyDescent="0.25">
      <c r="M210" s="110" t="s">
        <v>46</v>
      </c>
      <c r="N210" s="110"/>
      <c r="O210" s="110"/>
      <c r="P210" s="110"/>
      <c r="Q210" s="116">
        <f>MIN(C202:C204)</f>
        <v>500</v>
      </c>
      <c r="R210" s="116"/>
      <c r="S210" s="116"/>
    </row>
    <row r="212" spans="13:26" ht="20.100000000000001" customHeight="1" x14ac:dyDescent="0.25">
      <c r="M212" s="110" t="s">
        <v>51</v>
      </c>
      <c r="N212" s="110"/>
      <c r="O212" s="110" t="str">
        <f>IF(Q212="Nada a excluir","",Y212)</f>
        <v/>
      </c>
      <c r="P212" s="110"/>
      <c r="Q212" s="116" t="str" cm="1">
        <f t="array" ref="Q212">_xlfn.IFS(AND(OR(Q209&gt;Q207,Q210&lt;Q208),(Q209-Q204)&gt;(Q204-Q210)),Q209,AND(OR(Q210&lt;Q208,Q209&gt;Q207),(Q204-Q210)&gt;(Q209-Q204)),Q210,AND(Q209&lt;=Q207,Q210&gt;=Q208),"Nada a excluir")</f>
        <v>Nada a excluir</v>
      </c>
      <c r="R212" s="116"/>
      <c r="S212" s="116"/>
      <c r="Y212" s="4" t="e">
        <f>VLOOKUP(Q212,C202:H204,6,0)</f>
        <v>#N/A</v>
      </c>
    </row>
    <row r="213" spans="13:26" ht="20.100000000000001" customHeight="1" x14ac:dyDescent="0.25">
      <c r="M213" s="128" t="s">
        <v>50</v>
      </c>
      <c r="N213" s="128"/>
      <c r="O213" s="128"/>
      <c r="P213" s="128"/>
      <c r="Q213" s="160" t="str">
        <f>IF(Q212="Nada a excluir","Encerrar","Continuar")</f>
        <v>Encerrar</v>
      </c>
      <c r="R213" s="160"/>
      <c r="S213" s="160"/>
    </row>
    <row r="215" spans="13:26" ht="20.100000000000001" customHeight="1" x14ac:dyDescent="0.25">
      <c r="M215" s="110" t="s">
        <v>48</v>
      </c>
      <c r="N215" s="110"/>
      <c r="O215" s="110"/>
      <c r="P215" s="110"/>
      <c r="Q215" s="111">
        <f>Q205</f>
        <v>53.296295245764071</v>
      </c>
      <c r="R215" s="112"/>
      <c r="S215" s="112"/>
    </row>
    <row r="216" spans="13:26" ht="20.100000000000001" customHeight="1" x14ac:dyDescent="0.25">
      <c r="M216" s="128" t="s">
        <v>35</v>
      </c>
      <c r="N216" s="128"/>
      <c r="O216" s="128"/>
      <c r="P216" s="128"/>
      <c r="Q216" s="159">
        <f>Q205/Q204</f>
        <v>9.5158469618340277E-2</v>
      </c>
      <c r="R216" s="159"/>
      <c r="S216" s="159"/>
    </row>
    <row r="218" spans="13:26" ht="20.100000000000001" customHeight="1" x14ac:dyDescent="0.25">
      <c r="X218" s="4" t="s">
        <v>44</v>
      </c>
      <c r="Y218" s="4" t="s">
        <v>45</v>
      </c>
      <c r="Z218" s="4" t="s">
        <v>36</v>
      </c>
    </row>
    <row r="219" spans="13:26" ht="20.100000000000001" customHeight="1" x14ac:dyDescent="0.25">
      <c r="X219" s="12">
        <f>$Q$208</f>
        <v>486.37090175825176</v>
      </c>
      <c r="Y219" s="12">
        <f>$Q$207</f>
        <v>633.78782840047836</v>
      </c>
      <c r="Z219" s="12">
        <f>$Q$170</f>
        <v>560.07936507936506</v>
      </c>
    </row>
    <row r="220" spans="13:26" ht="20.100000000000001" customHeight="1" x14ac:dyDescent="0.25">
      <c r="X220" s="12">
        <f t="shared" ref="X220:X221" si="21">$Q$208</f>
        <v>486.37090175825176</v>
      </c>
      <c r="Y220" s="12">
        <f t="shared" ref="Y220:Y221" si="22">$Q$207</f>
        <v>633.78782840047836</v>
      </c>
      <c r="Z220" s="12">
        <f t="shared" ref="Z220:Z221" si="23">$Q$170</f>
        <v>560.07936507936506</v>
      </c>
    </row>
    <row r="221" spans="13:26" ht="20.100000000000001" customHeight="1" x14ac:dyDescent="0.25">
      <c r="X221" s="12">
        <f t="shared" si="21"/>
        <v>486.37090175825176</v>
      </c>
      <c r="Y221" s="12">
        <f t="shared" si="22"/>
        <v>633.78782840047836</v>
      </c>
      <c r="Z221" s="12">
        <f t="shared" si="23"/>
        <v>560.07936507936506</v>
      </c>
    </row>
    <row r="222" spans="13:26" ht="20.100000000000001" customHeight="1" x14ac:dyDescent="0.25">
      <c r="X222" s="12"/>
      <c r="Y222" s="12"/>
      <c r="Z222" s="12"/>
    </row>
    <row r="223" spans="13:26" ht="20.100000000000001" customHeight="1" x14ac:dyDescent="0.25">
      <c r="X223" s="12"/>
      <c r="Y223" s="12"/>
      <c r="Z223" s="12"/>
    </row>
    <row r="224" spans="13:26" ht="20.100000000000001" customHeight="1" x14ac:dyDescent="0.25">
      <c r="X224" s="12"/>
      <c r="Y224" s="12"/>
      <c r="Z224" s="12"/>
    </row>
    <row r="225" spans="1:26" ht="20.100000000000001" customHeight="1" x14ac:dyDescent="0.25">
      <c r="X225" s="12"/>
      <c r="Y225" s="12"/>
      <c r="Z225" s="12"/>
    </row>
    <row r="235" spans="1:26" ht="20.100000000000001" customHeight="1" x14ac:dyDescent="0.25">
      <c r="A235" s="119" t="s">
        <v>54</v>
      </c>
      <c r="B235" s="119"/>
      <c r="C235" s="119"/>
      <c r="D235" s="119"/>
      <c r="E235" s="119"/>
      <c r="F235" s="119"/>
      <c r="G235" s="119"/>
      <c r="H235" s="119"/>
      <c r="I235" s="119"/>
      <c r="J235" s="119"/>
      <c r="K235" s="119"/>
      <c r="L235" s="119"/>
      <c r="M235" s="119"/>
      <c r="N235" s="119"/>
      <c r="O235" s="119"/>
      <c r="P235" s="119"/>
      <c r="Q235" s="119"/>
      <c r="R235" s="119"/>
      <c r="S235" s="119"/>
    </row>
    <row r="237" spans="1:26" ht="20.100000000000001" customHeight="1" x14ac:dyDescent="0.25">
      <c r="A237" s="129" t="s">
        <v>17</v>
      </c>
      <c r="B237" s="129"/>
      <c r="C237" s="129" t="s">
        <v>32</v>
      </c>
      <c r="D237" s="129"/>
      <c r="E237" s="129"/>
      <c r="F237" s="129"/>
      <c r="G237" s="129"/>
      <c r="M237" s="110" t="s">
        <v>261</v>
      </c>
      <c r="N237" s="110"/>
      <c r="O237" s="110"/>
      <c r="P237" s="110"/>
      <c r="Q237" s="110"/>
      <c r="R237" s="163">
        <v>3</v>
      </c>
      <c r="S237" s="163"/>
      <c r="T237" s="109" t="s">
        <v>276</v>
      </c>
      <c r="U237" s="109"/>
      <c r="V237" s="109"/>
    </row>
    <row r="238" spans="1:26" ht="20.100000000000001" customHeight="1" x14ac:dyDescent="0.25">
      <c r="A238" s="121">
        <v>1</v>
      </c>
      <c r="B238" s="121"/>
      <c r="C238" s="122">
        <f>O157</f>
        <v>500</v>
      </c>
      <c r="D238" s="122"/>
      <c r="E238" s="122"/>
      <c r="F238" s="122"/>
      <c r="G238" s="122"/>
      <c r="H238" s="4">
        <f>A238</f>
        <v>1</v>
      </c>
      <c r="M238" s="110" t="s">
        <v>55</v>
      </c>
      <c r="N238" s="110"/>
      <c r="O238" s="110"/>
      <c r="P238" s="110"/>
      <c r="Q238" s="110"/>
      <c r="R238" s="123" cm="1">
        <f t="array" ref="R238">_xlfn.IFS(R237&lt;=5,0.1,AND(R237&gt;=6,R237&lt;=10),0.05,AND(R237&gt;=11,R237&lt;=50),0.01,R237&gt;50,0.001)</f>
        <v>0.1</v>
      </c>
      <c r="S238" s="123"/>
    </row>
    <row r="239" spans="1:26" ht="20.100000000000001" customHeight="1" x14ac:dyDescent="0.25">
      <c r="A239" s="121">
        <v>2</v>
      </c>
      <c r="B239" s="121"/>
      <c r="C239" s="124">
        <f>O158</f>
        <v>578.57142857142867</v>
      </c>
      <c r="D239" s="124"/>
      <c r="E239" s="124"/>
      <c r="F239" s="124"/>
      <c r="G239" s="124"/>
      <c r="H239" s="4">
        <f t="shared" ref="H239:H240" si="24">A239</f>
        <v>2</v>
      </c>
      <c r="M239" s="110" t="s">
        <v>56</v>
      </c>
      <c r="N239" s="110"/>
      <c r="O239" s="110"/>
      <c r="P239" s="110"/>
      <c r="Q239" s="110"/>
      <c r="R239" s="125">
        <f>R237-2</f>
        <v>1</v>
      </c>
      <c r="S239" s="125"/>
    </row>
    <row r="240" spans="1:26" ht="20.100000000000001" customHeight="1" x14ac:dyDescent="0.25">
      <c r="A240" s="121">
        <v>3</v>
      </c>
      <c r="B240" s="121"/>
      <c r="C240" s="124">
        <f>O159</f>
        <v>601.66666666666652</v>
      </c>
      <c r="D240" s="124"/>
      <c r="E240" s="124"/>
      <c r="F240" s="124"/>
      <c r="G240" s="124"/>
      <c r="H240" s="4">
        <f t="shared" si="24"/>
        <v>3</v>
      </c>
      <c r="M240" s="110" t="s">
        <v>53</v>
      </c>
      <c r="N240" s="110"/>
      <c r="O240" s="110"/>
      <c r="P240" s="110"/>
      <c r="Q240" s="110"/>
      <c r="R240" s="120">
        <f>Y242</f>
        <v>1.3968022466674204</v>
      </c>
      <c r="S240" s="120"/>
    </row>
    <row r="241" spans="13:25" ht="20.100000000000001" customHeight="1" x14ac:dyDescent="0.25">
      <c r="Y241" s="4">
        <f>_xlfn.T.INV.2T(R238,R239)</f>
        <v>6.3137515146750438</v>
      </c>
    </row>
    <row r="242" spans="13:25" ht="20.100000000000001" customHeight="1" x14ac:dyDescent="0.25">
      <c r="Y242" s="4">
        <f>((((Y241^2)*(R237))-Y241^2)/(R237-2+Y241^2))^(1/2)</f>
        <v>1.3968022466674204</v>
      </c>
    </row>
    <row r="243" spans="13:25" ht="20.100000000000001" customHeight="1" x14ac:dyDescent="0.25">
      <c r="M243" s="110" t="s">
        <v>36</v>
      </c>
      <c r="N243" s="110"/>
      <c r="O243" s="110"/>
      <c r="P243" s="110"/>
      <c r="Q243" s="116">
        <f>AVERAGE(C238:C240)</f>
        <v>560.07936507936506</v>
      </c>
      <c r="R243" s="116"/>
      <c r="S243" s="116"/>
    </row>
    <row r="244" spans="13:25" ht="20.100000000000001" customHeight="1" x14ac:dyDescent="0.25">
      <c r="M244" s="110" t="s">
        <v>37</v>
      </c>
      <c r="N244" s="110"/>
      <c r="O244" s="110"/>
      <c r="P244" s="110"/>
      <c r="Q244" s="116">
        <f>STDEVA(C238:G240)</f>
        <v>53.296295245764071</v>
      </c>
      <c r="R244" s="116"/>
      <c r="S244" s="116"/>
    </row>
    <row r="246" spans="13:25" ht="20.100000000000001" customHeight="1" x14ac:dyDescent="0.25">
      <c r="M246" s="110" t="s">
        <v>45</v>
      </c>
      <c r="N246" s="110"/>
      <c r="O246" s="110"/>
      <c r="P246" s="110"/>
      <c r="Q246" s="116">
        <f>Q243+(R240*Q244)</f>
        <v>634.52375001769849</v>
      </c>
      <c r="R246" s="116"/>
      <c r="S246" s="116"/>
    </row>
    <row r="247" spans="13:25" ht="20.100000000000001" customHeight="1" x14ac:dyDescent="0.25">
      <c r="M247" s="110" t="s">
        <v>44</v>
      </c>
      <c r="N247" s="110"/>
      <c r="O247" s="110"/>
      <c r="P247" s="110"/>
      <c r="Q247" s="116">
        <f>Q243-(R240*Q244)</f>
        <v>485.63498014103163</v>
      </c>
      <c r="R247" s="116"/>
      <c r="S247" s="116"/>
    </row>
    <row r="248" spans="13:25" ht="20.100000000000001" customHeight="1" x14ac:dyDescent="0.25">
      <c r="M248" s="110" t="s">
        <v>47</v>
      </c>
      <c r="N248" s="110"/>
      <c r="O248" s="110"/>
      <c r="P248" s="110"/>
      <c r="Q248" s="116">
        <f>MAX(C238:C240)</f>
        <v>601.66666666666652</v>
      </c>
      <c r="R248" s="116"/>
      <c r="S248" s="116"/>
    </row>
    <row r="249" spans="13:25" ht="20.100000000000001" customHeight="1" x14ac:dyDescent="0.25">
      <c r="M249" s="110" t="s">
        <v>46</v>
      </c>
      <c r="N249" s="110"/>
      <c r="O249" s="110"/>
      <c r="P249" s="110"/>
      <c r="Q249" s="116">
        <f>MIN(C238:C240)</f>
        <v>500</v>
      </c>
      <c r="R249" s="116"/>
      <c r="S249" s="116"/>
    </row>
    <row r="251" spans="13:25" ht="20.100000000000001" customHeight="1" x14ac:dyDescent="0.25">
      <c r="M251" s="110" t="s">
        <v>51</v>
      </c>
      <c r="N251" s="110"/>
      <c r="O251" s="110" t="str">
        <f>IF(Q251="Nada a excluir","",Y251)</f>
        <v/>
      </c>
      <c r="P251" s="110"/>
      <c r="Q251" s="116" t="str" cm="1">
        <f t="array" ref="Q251">_xlfn.IFS(AND(OR(Q248&gt;Q246,Q249&lt;Q247),(Q248-Q243)&gt;(Q243-Q249)),Q248,AND(OR(Q249&lt;Q247,Q248&gt;Q246),(Q243-Q249)&gt;(Q248-Q243)),Q249,AND(Q248&lt;=Q246,Q249&gt;=Q247),"Nada a excluir")</f>
        <v>Nada a excluir</v>
      </c>
      <c r="R251" s="116"/>
      <c r="S251" s="116"/>
      <c r="Y251" s="4" t="e">
        <f>VLOOKUP(Q251,C238:H240,6,0)</f>
        <v>#N/A</v>
      </c>
    </row>
    <row r="252" spans="13:25" ht="20.100000000000001" customHeight="1" x14ac:dyDescent="0.25">
      <c r="M252" s="128" t="s">
        <v>50</v>
      </c>
      <c r="N252" s="128"/>
      <c r="O252" s="128"/>
      <c r="P252" s="128"/>
      <c r="Q252" s="160" t="str">
        <f>IF(Q251="Nada a excluir","Encerrar","Continuar")</f>
        <v>Encerrar</v>
      </c>
      <c r="R252" s="160"/>
      <c r="S252" s="160"/>
    </row>
    <row r="254" spans="13:25" ht="20.100000000000001" customHeight="1" x14ac:dyDescent="0.25">
      <c r="M254" s="110" t="s">
        <v>48</v>
      </c>
      <c r="N254" s="110"/>
      <c r="O254" s="110"/>
      <c r="P254" s="110"/>
      <c r="Q254" s="111">
        <f>Q244</f>
        <v>53.296295245764071</v>
      </c>
      <c r="R254" s="112"/>
      <c r="S254" s="112"/>
    </row>
    <row r="255" spans="13:25" ht="20.100000000000001" customHeight="1" x14ac:dyDescent="0.25">
      <c r="M255" s="128" t="s">
        <v>35</v>
      </c>
      <c r="N255" s="128"/>
      <c r="O255" s="128"/>
      <c r="P255" s="128"/>
      <c r="Q255" s="159">
        <f>Q244/Q243</f>
        <v>9.5158469618340277E-2</v>
      </c>
      <c r="R255" s="159"/>
      <c r="S255" s="159"/>
    </row>
    <row r="257" spans="24:26" ht="20.100000000000001" customHeight="1" x14ac:dyDescent="0.25">
      <c r="X257" s="4" t="s">
        <v>44</v>
      </c>
      <c r="Y257" s="4" t="s">
        <v>45</v>
      </c>
      <c r="Z257" s="4" t="s">
        <v>36</v>
      </c>
    </row>
    <row r="258" spans="24:26" ht="20.100000000000001" customHeight="1" x14ac:dyDescent="0.25">
      <c r="X258" s="12">
        <f>$Q$247</f>
        <v>485.63498014103163</v>
      </c>
      <c r="Y258" s="12">
        <f>$Q$246</f>
        <v>634.52375001769849</v>
      </c>
      <c r="Z258" s="12">
        <f>$Q$243</f>
        <v>560.07936507936506</v>
      </c>
    </row>
    <row r="259" spans="24:26" ht="20.100000000000001" customHeight="1" x14ac:dyDescent="0.25">
      <c r="X259" s="12">
        <f t="shared" ref="X259:X260" si="25">$Q$247</f>
        <v>485.63498014103163</v>
      </c>
      <c r="Y259" s="12">
        <f t="shared" ref="Y259:Y260" si="26">$Q$246</f>
        <v>634.52375001769849</v>
      </c>
      <c r="Z259" s="12">
        <f t="shared" ref="Z259:Z260" si="27">$Q$243</f>
        <v>560.07936507936506</v>
      </c>
    </row>
    <row r="260" spans="24:26" ht="20.100000000000001" customHeight="1" x14ac:dyDescent="0.25">
      <c r="X260" s="12">
        <f t="shared" si="25"/>
        <v>485.63498014103163</v>
      </c>
      <c r="Y260" s="12">
        <f t="shared" si="26"/>
        <v>634.52375001769849</v>
      </c>
      <c r="Z260" s="12">
        <f t="shared" si="27"/>
        <v>560.07936507936506</v>
      </c>
    </row>
    <row r="261" spans="24:26" ht="20.100000000000001" customHeight="1" x14ac:dyDescent="0.25">
      <c r="X261" s="12"/>
      <c r="Y261" s="12"/>
      <c r="Z261" s="12"/>
    </row>
    <row r="262" spans="24:26" ht="20.100000000000001" customHeight="1" x14ac:dyDescent="0.25">
      <c r="X262" s="12"/>
      <c r="Y262" s="12"/>
      <c r="Z262" s="12"/>
    </row>
    <row r="263" spans="24:26" ht="20.100000000000001" customHeight="1" x14ac:dyDescent="0.25">
      <c r="X263" s="12"/>
      <c r="Y263" s="12"/>
      <c r="Z263" s="12"/>
    </row>
    <row r="264" spans="24:26" ht="20.100000000000001" customHeight="1" x14ac:dyDescent="0.25">
      <c r="X264" s="12"/>
      <c r="Y264" s="12"/>
      <c r="Z264" s="12"/>
    </row>
    <row r="274" spans="1:28" ht="20.100000000000001" customHeight="1" x14ac:dyDescent="0.25">
      <c r="A274" s="114" t="s">
        <v>57</v>
      </c>
      <c r="B274" s="114"/>
      <c r="C274" s="114"/>
      <c r="D274" s="114"/>
      <c r="E274" s="114"/>
      <c r="F274" s="114"/>
      <c r="G274" s="114"/>
      <c r="H274" s="114" t="s">
        <v>36</v>
      </c>
      <c r="I274" s="114"/>
      <c r="J274" s="114"/>
      <c r="K274" s="114"/>
      <c r="L274" s="114" t="s">
        <v>37</v>
      </c>
      <c r="M274" s="114"/>
      <c r="N274" s="114"/>
      <c r="O274" s="114"/>
      <c r="P274" s="114" t="s">
        <v>35</v>
      </c>
      <c r="Q274" s="114"/>
      <c r="R274" s="114"/>
      <c r="S274" s="114"/>
    </row>
    <row r="275" spans="1:28" ht="20.100000000000001" customHeight="1" x14ac:dyDescent="0.25">
      <c r="A275" s="117" t="s">
        <v>58</v>
      </c>
      <c r="B275" s="117"/>
      <c r="C275" s="117"/>
      <c r="D275" s="117"/>
      <c r="E275" s="117"/>
      <c r="F275" s="117"/>
      <c r="G275" s="117"/>
      <c r="H275" s="116">
        <f>Q170</f>
        <v>560.07936507936506</v>
      </c>
      <c r="I275" s="116"/>
      <c r="J275" s="116"/>
      <c r="K275" s="116"/>
      <c r="L275" s="116">
        <f>Q179</f>
        <v>53.296295245764071</v>
      </c>
      <c r="M275" s="116"/>
      <c r="N275" s="116"/>
      <c r="O275" s="116"/>
      <c r="P275" s="176">
        <f>Q180</f>
        <v>9.5158469618340277E-2</v>
      </c>
      <c r="Q275" s="176"/>
      <c r="R275" s="176"/>
      <c r="S275" s="176"/>
      <c r="Y275" s="15">
        <f>P275</f>
        <v>9.5158469618340277E-2</v>
      </c>
      <c r="Z275" s="4" t="str">
        <f>A275</f>
        <v>Intervalo em torno da média</v>
      </c>
      <c r="AA275" s="12">
        <f>H275</f>
        <v>560.07936507936506</v>
      </c>
      <c r="AB275" s="12">
        <f>L275</f>
        <v>53.296295245764071</v>
      </c>
    </row>
    <row r="276" spans="1:28" ht="20.100000000000001" customHeight="1" x14ac:dyDescent="0.25">
      <c r="A276" s="128" t="s">
        <v>59</v>
      </c>
      <c r="B276" s="128"/>
      <c r="C276" s="128"/>
      <c r="D276" s="128"/>
      <c r="E276" s="128"/>
      <c r="F276" s="128"/>
      <c r="G276" s="128"/>
      <c r="H276" s="142">
        <f>Q204</f>
        <v>560.07936507936506</v>
      </c>
      <c r="I276" s="142"/>
      <c r="J276" s="142"/>
      <c r="K276" s="142"/>
      <c r="L276" s="142">
        <f>Q205</f>
        <v>53.296295245764071</v>
      </c>
      <c r="M276" s="142"/>
      <c r="N276" s="142"/>
      <c r="O276" s="142"/>
      <c r="P276" s="115">
        <f>Q216</f>
        <v>9.5158469618340277E-2</v>
      </c>
      <c r="Q276" s="115"/>
      <c r="R276" s="115"/>
      <c r="S276" s="115"/>
      <c r="Y276" s="15">
        <f>P276</f>
        <v>9.5158469618340277E-2</v>
      </c>
      <c r="Z276" s="4" t="str">
        <f>A276</f>
        <v>Critério de Chauvenet</v>
      </c>
      <c r="AA276" s="12">
        <f>H276</f>
        <v>560.07936507936506</v>
      </c>
      <c r="AB276" s="12">
        <f>L276</f>
        <v>53.296295245764071</v>
      </c>
    </row>
    <row r="277" spans="1:28" ht="20.100000000000001" customHeight="1" x14ac:dyDescent="0.25">
      <c r="A277" s="128" t="s">
        <v>60</v>
      </c>
      <c r="B277" s="128"/>
      <c r="C277" s="128"/>
      <c r="D277" s="128"/>
      <c r="E277" s="128"/>
      <c r="F277" s="128"/>
      <c r="G277" s="128"/>
      <c r="H277" s="142">
        <f>Q243</f>
        <v>560.07936507936506</v>
      </c>
      <c r="I277" s="142"/>
      <c r="J277" s="142"/>
      <c r="K277" s="142"/>
      <c r="L277" s="142">
        <f>Q254</f>
        <v>53.296295245764071</v>
      </c>
      <c r="M277" s="142"/>
      <c r="N277" s="142"/>
      <c r="O277" s="142"/>
      <c r="P277" s="115">
        <f>Q255</f>
        <v>9.5158469618340277E-2</v>
      </c>
      <c r="Q277" s="115"/>
      <c r="R277" s="115"/>
      <c r="S277" s="115"/>
      <c r="Y277" s="15">
        <f>P277</f>
        <v>9.5158469618340277E-2</v>
      </c>
      <c r="Z277" s="4" t="str">
        <f>A277</f>
        <v>Critério de Arley</v>
      </c>
      <c r="AA277" s="12">
        <f>H277</f>
        <v>560.07936507936506</v>
      </c>
      <c r="AB277" s="12">
        <f>L277</f>
        <v>53.296295245764071</v>
      </c>
    </row>
    <row r="279" spans="1:28" ht="20.100000000000001" customHeight="1" x14ac:dyDescent="0.25">
      <c r="A279" s="110" t="s">
        <v>61</v>
      </c>
      <c r="B279" s="110"/>
      <c r="C279" s="110"/>
      <c r="D279" s="110"/>
      <c r="E279" s="110"/>
      <c r="F279" s="110"/>
      <c r="G279" s="110"/>
      <c r="H279" s="164">
        <f>MIN(P275:S277)</f>
        <v>9.5158469618340277E-2</v>
      </c>
      <c r="I279" s="164"/>
      <c r="J279" s="164"/>
      <c r="K279" s="164"/>
      <c r="L279" s="164"/>
      <c r="M279" s="164"/>
    </row>
    <row r="280" spans="1:28" ht="20.100000000000001" customHeight="1" x14ac:dyDescent="0.25">
      <c r="A280" s="128" t="s">
        <v>62</v>
      </c>
      <c r="B280" s="128"/>
      <c r="C280" s="128"/>
      <c r="D280" s="128"/>
      <c r="E280" s="128"/>
      <c r="F280" s="128"/>
      <c r="G280" s="128"/>
      <c r="H280" s="160" t="str">
        <f>VLOOKUP(H279,Y275:AA277,2,0)</f>
        <v>Intervalo em torno da média</v>
      </c>
      <c r="I280" s="160"/>
      <c r="J280" s="160"/>
      <c r="K280" s="160"/>
      <c r="L280" s="160"/>
      <c r="M280" s="160"/>
    </row>
    <row r="281" spans="1:28" ht="20.100000000000001" customHeight="1" x14ac:dyDescent="0.25">
      <c r="A281" s="128" t="s">
        <v>63</v>
      </c>
      <c r="B281" s="128"/>
      <c r="C281" s="128"/>
      <c r="D281" s="128"/>
      <c r="E281" s="128"/>
      <c r="F281" s="128"/>
      <c r="G281" s="128"/>
      <c r="H281" s="142">
        <f>VLOOKUP(H279,Y275:AA277,3,0)</f>
        <v>560.07936507936506</v>
      </c>
      <c r="I281" s="142"/>
      <c r="J281" s="142"/>
      <c r="K281" s="142"/>
      <c r="L281" s="142"/>
      <c r="M281" s="142"/>
    </row>
    <row r="282" spans="1:28" ht="20.100000000000001" customHeight="1" x14ac:dyDescent="0.25">
      <c r="A282" s="128" t="s">
        <v>70</v>
      </c>
      <c r="B282" s="128"/>
      <c r="C282" s="128"/>
      <c r="D282" s="128"/>
      <c r="E282" s="128"/>
      <c r="F282" s="128"/>
      <c r="G282" s="128"/>
      <c r="H282" s="142">
        <f>VLOOKUP(H279,Y275:AB277,4,0)</f>
        <v>53.296295245764071</v>
      </c>
      <c r="I282" s="142"/>
      <c r="J282" s="142"/>
      <c r="K282" s="142"/>
      <c r="L282" s="142"/>
      <c r="M282" s="142"/>
    </row>
    <row r="285" spans="1:28" ht="20.100000000000001" customHeight="1" x14ac:dyDescent="0.25">
      <c r="A285" s="127" t="s">
        <v>492</v>
      </c>
      <c r="B285" s="127"/>
      <c r="C285" s="127"/>
      <c r="D285" s="127"/>
      <c r="E285" s="127"/>
      <c r="F285" s="127"/>
      <c r="G285" s="127"/>
      <c r="H285" s="127"/>
      <c r="I285" s="127"/>
      <c r="J285" s="127"/>
      <c r="K285" s="127"/>
      <c r="L285" s="127"/>
      <c r="M285" s="127"/>
      <c r="N285" s="127"/>
      <c r="O285" s="127"/>
      <c r="P285" s="127"/>
      <c r="Q285" s="127"/>
      <c r="R285" s="127"/>
      <c r="S285" s="127"/>
    </row>
    <row r="287" spans="1:28" ht="39.950000000000003" customHeight="1" x14ac:dyDescent="0.25">
      <c r="A287" s="150" t="s">
        <v>259</v>
      </c>
      <c r="B287" s="150"/>
      <c r="C287" s="150"/>
      <c r="D287" s="150"/>
      <c r="E287" s="150"/>
      <c r="F287" s="150"/>
      <c r="G287" s="150"/>
      <c r="H287" s="150"/>
      <c r="I287" s="150"/>
      <c r="J287" s="150"/>
      <c r="K287" s="150"/>
      <c r="L287" s="150"/>
      <c r="M287" s="150"/>
      <c r="N287" s="150"/>
      <c r="O287" s="150"/>
      <c r="P287" s="150"/>
      <c r="Q287" s="150"/>
      <c r="R287" s="150"/>
      <c r="S287" s="150"/>
    </row>
    <row r="289" spans="1:22" ht="20.100000000000001" customHeight="1" x14ac:dyDescent="0.25">
      <c r="A289" s="110" t="s">
        <v>36</v>
      </c>
      <c r="B289" s="110"/>
      <c r="C289" s="110"/>
      <c r="D289" s="110"/>
      <c r="E289" s="110"/>
      <c r="F289" s="111">
        <f>H281</f>
        <v>560.07936507936506</v>
      </c>
      <c r="G289" s="112"/>
      <c r="H289" s="112"/>
      <c r="I289" s="112"/>
    </row>
    <row r="290" spans="1:22" ht="20.100000000000001" customHeight="1" x14ac:dyDescent="0.25">
      <c r="A290" s="128" t="s">
        <v>37</v>
      </c>
      <c r="B290" s="128"/>
      <c r="C290" s="128"/>
      <c r="D290" s="128"/>
      <c r="E290" s="128"/>
      <c r="F290" s="157">
        <f>H282</f>
        <v>53.296295245764071</v>
      </c>
      <c r="G290" s="160"/>
      <c r="H290" s="160"/>
      <c r="I290" s="160"/>
    </row>
    <row r="291" spans="1:22" ht="20.100000000000001" customHeight="1" x14ac:dyDescent="0.25">
      <c r="A291" s="128" t="s">
        <v>261</v>
      </c>
      <c r="B291" s="128"/>
      <c r="C291" s="128"/>
      <c r="D291" s="128"/>
      <c r="E291" s="128"/>
      <c r="F291" s="172">
        <v>3</v>
      </c>
      <c r="G291" s="172"/>
      <c r="H291" s="172"/>
      <c r="I291" s="172"/>
      <c r="T291" s="109" t="s">
        <v>276</v>
      </c>
      <c r="U291" s="109"/>
      <c r="V291" s="109"/>
    </row>
    <row r="292" spans="1:22" ht="20.100000000000001" customHeight="1" x14ac:dyDescent="0.25">
      <c r="A292" s="128" t="s">
        <v>69</v>
      </c>
      <c r="B292" s="128"/>
      <c r="C292" s="128"/>
      <c r="D292" s="128"/>
      <c r="E292" s="128"/>
      <c r="F292" s="173">
        <v>0.8</v>
      </c>
      <c r="G292" s="173"/>
      <c r="H292" s="173"/>
      <c r="I292" s="173"/>
    </row>
    <row r="293" spans="1:22" ht="20.100000000000001" customHeight="1" x14ac:dyDescent="0.25">
      <c r="A293" s="128" t="s">
        <v>108</v>
      </c>
      <c r="B293" s="128"/>
      <c r="C293" s="128"/>
      <c r="D293" s="128"/>
      <c r="E293" s="128"/>
      <c r="F293" s="171">
        <f>_xlfn.T.INV.2T(1-F292,F291-1)</f>
        <v>1.8856180831641269</v>
      </c>
      <c r="G293" s="171"/>
      <c r="H293" s="171"/>
      <c r="I293" s="171"/>
    </row>
    <row r="294" spans="1:22" ht="20.100000000000001" customHeight="1" x14ac:dyDescent="0.25">
      <c r="A294" s="117"/>
      <c r="B294" s="117"/>
      <c r="C294" s="117"/>
      <c r="D294" s="117"/>
      <c r="E294" s="117"/>
      <c r="F294" s="118"/>
      <c r="G294" s="118"/>
      <c r="H294" s="118"/>
      <c r="I294" s="118"/>
    </row>
    <row r="295" spans="1:22" ht="20.100000000000001" customHeight="1" x14ac:dyDescent="0.25">
      <c r="A295" s="117"/>
      <c r="B295" s="117"/>
      <c r="C295" s="117"/>
      <c r="D295" s="117"/>
      <c r="E295" s="117"/>
      <c r="F295" s="118"/>
      <c r="G295" s="118"/>
      <c r="H295" s="118"/>
      <c r="I295" s="118"/>
    </row>
    <row r="296" spans="1:22" ht="20.100000000000001" customHeight="1" x14ac:dyDescent="0.25">
      <c r="A296" s="119" t="s">
        <v>494</v>
      </c>
      <c r="B296" s="119"/>
      <c r="C296" s="119"/>
      <c r="D296" s="119"/>
      <c r="E296" s="119"/>
      <c r="F296" s="119"/>
      <c r="G296" s="119"/>
      <c r="H296" s="119"/>
      <c r="I296" s="119"/>
      <c r="J296" s="119"/>
      <c r="K296" s="119"/>
      <c r="L296" s="119"/>
      <c r="M296" s="119"/>
      <c r="N296" s="119"/>
      <c r="O296" s="119"/>
      <c r="P296" s="119"/>
      <c r="Q296" s="119"/>
      <c r="R296" s="119"/>
      <c r="S296" s="119"/>
    </row>
    <row r="298" spans="1:22" ht="20.100000000000001" customHeight="1" x14ac:dyDescent="0.25">
      <c r="A298" s="110" t="s">
        <v>44</v>
      </c>
      <c r="B298" s="110"/>
      <c r="C298" s="110"/>
      <c r="D298" s="110"/>
      <c r="E298" s="110"/>
      <c r="F298" s="111">
        <f>F289-(_xlfn.CONFIDENCE.T(1-F292,F290,F291))</f>
        <v>502.05770795365709</v>
      </c>
      <c r="G298" s="112"/>
      <c r="H298" s="112"/>
      <c r="I298" s="112"/>
      <c r="L298" s="110" t="s">
        <v>71</v>
      </c>
      <c r="M298" s="110"/>
      <c r="N298" s="110"/>
      <c r="O298" s="110"/>
      <c r="P298" s="111">
        <f>F299-F298</f>
        <v>116.04331425141595</v>
      </c>
      <c r="Q298" s="112"/>
      <c r="R298" s="112"/>
      <c r="S298" s="112"/>
    </row>
    <row r="299" spans="1:22" ht="20.100000000000001" customHeight="1" x14ac:dyDescent="0.25">
      <c r="A299" s="110" t="s">
        <v>45</v>
      </c>
      <c r="B299" s="110"/>
      <c r="C299" s="110"/>
      <c r="D299" s="110"/>
      <c r="E299" s="110"/>
      <c r="F299" s="111">
        <f>F289+(_xlfn.CONFIDENCE.T(1-F292,F290,F291))</f>
        <v>618.10102220507304</v>
      </c>
      <c r="G299" s="112"/>
      <c r="H299" s="112"/>
      <c r="I299" s="112"/>
      <c r="L299" s="110" t="s">
        <v>36</v>
      </c>
      <c r="M299" s="110"/>
      <c r="N299" s="110"/>
      <c r="O299" s="110"/>
      <c r="P299" s="111">
        <f>F289</f>
        <v>560.07936507936506</v>
      </c>
      <c r="Q299" s="112"/>
      <c r="R299" s="112"/>
      <c r="S299" s="112"/>
    </row>
    <row r="300" spans="1:22" ht="20.100000000000001" customHeight="1" x14ac:dyDescent="0.25">
      <c r="L300" s="110" t="s">
        <v>72</v>
      </c>
      <c r="M300" s="110"/>
      <c r="N300" s="110"/>
      <c r="O300" s="110"/>
      <c r="P300" s="113">
        <f>P298/P299</f>
        <v>0.20719084023917259</v>
      </c>
      <c r="Q300" s="113"/>
      <c r="R300" s="113"/>
      <c r="S300" s="113"/>
    </row>
    <row r="302" spans="1:22" ht="20.100000000000001" customHeight="1" x14ac:dyDescent="0.25">
      <c r="A302" s="179" t="str" cm="1">
        <f t="array" ref="A302">_xlfn.IFS(P300&lt;=0.3,X307,AND(P300&gt;0.3,P300&lt;=0.4),X308,AND(P300&gt;0.4,P300&lt;=0.5),X309,P300&gt;0.5,X310)</f>
        <v>O grau de precisão calculado foi inferior a 30% (trinta por cento); em razão disso, o laudo atingiu o grau de fundamentação III, máximo previsto na tabela 5 do item 9.2.3 da NBR 14653-2:2011 (Avaliação de bens. Parte 2: Imóveis urbanos).</v>
      </c>
      <c r="B302" s="179"/>
      <c r="C302" s="179"/>
      <c r="D302" s="179"/>
      <c r="E302" s="179"/>
      <c r="F302" s="179"/>
      <c r="G302" s="179"/>
      <c r="H302" s="179"/>
      <c r="I302" s="179"/>
      <c r="J302" s="179"/>
      <c r="K302" s="179"/>
      <c r="L302" s="179"/>
      <c r="M302" s="179"/>
      <c r="N302" s="179"/>
      <c r="O302" s="179"/>
      <c r="P302" s="179"/>
      <c r="Q302" s="179"/>
      <c r="R302" s="179"/>
      <c r="S302" s="179"/>
    </row>
    <row r="303" spans="1:22" ht="20.100000000000001" customHeight="1" x14ac:dyDescent="0.25">
      <c r="A303" s="179"/>
      <c r="B303" s="179"/>
      <c r="C303" s="179"/>
      <c r="D303" s="179"/>
      <c r="E303" s="179"/>
      <c r="F303" s="179"/>
      <c r="G303" s="179"/>
      <c r="H303" s="179"/>
      <c r="I303" s="179"/>
      <c r="J303" s="179"/>
      <c r="K303" s="179"/>
      <c r="L303" s="179"/>
      <c r="M303" s="179"/>
      <c r="N303" s="179"/>
      <c r="O303" s="179"/>
      <c r="P303" s="179"/>
      <c r="Q303" s="179"/>
      <c r="R303" s="179"/>
      <c r="S303" s="179"/>
    </row>
    <row r="304" spans="1:22" ht="20.100000000000001" customHeight="1" x14ac:dyDescent="0.2">
      <c r="A304" s="16"/>
      <c r="B304" s="16"/>
      <c r="C304" s="16"/>
      <c r="D304" s="16"/>
      <c r="E304" s="16"/>
      <c r="F304" s="16"/>
      <c r="G304" s="16"/>
      <c r="H304" s="16"/>
      <c r="I304" s="16"/>
      <c r="J304" s="16"/>
      <c r="K304" s="16"/>
      <c r="L304" s="16"/>
      <c r="M304" s="16"/>
      <c r="N304" s="16"/>
      <c r="O304" s="16"/>
      <c r="P304" s="16"/>
      <c r="Q304" s="16"/>
      <c r="R304" s="16"/>
      <c r="S304" s="16"/>
    </row>
    <row r="305" spans="1:67" ht="20.100000000000001" customHeight="1" x14ac:dyDescent="0.25">
      <c r="A305" s="175" t="s">
        <v>93</v>
      </c>
      <c r="B305" s="175"/>
      <c r="C305" s="175"/>
      <c r="D305" s="175"/>
      <c r="E305" s="175"/>
      <c r="F305" s="175"/>
      <c r="G305" s="175"/>
      <c r="H305" s="175"/>
      <c r="I305" s="175"/>
      <c r="J305" s="175"/>
      <c r="K305" s="175"/>
      <c r="L305" s="175"/>
      <c r="M305" s="175"/>
      <c r="N305" s="175"/>
      <c r="O305" s="175"/>
      <c r="P305" s="175"/>
      <c r="Q305" s="175"/>
      <c r="R305" s="175"/>
      <c r="S305" s="175"/>
    </row>
    <row r="306" spans="1:67" ht="20.100000000000001" customHeight="1" x14ac:dyDescent="0.25">
      <c r="A306" s="175"/>
      <c r="B306" s="175"/>
      <c r="C306" s="175"/>
      <c r="D306" s="175"/>
      <c r="E306" s="175"/>
      <c r="F306" s="175"/>
      <c r="G306" s="175"/>
      <c r="H306" s="175"/>
      <c r="I306" s="175"/>
      <c r="J306" s="175"/>
      <c r="K306" s="175"/>
      <c r="L306" s="175"/>
      <c r="M306" s="175"/>
      <c r="N306" s="175"/>
      <c r="O306" s="175"/>
      <c r="P306" s="175"/>
      <c r="Q306" s="175"/>
      <c r="R306" s="175"/>
      <c r="S306" s="175"/>
    </row>
    <row r="307" spans="1:67" ht="20.100000000000001" customHeight="1" x14ac:dyDescent="0.25">
      <c r="A307" s="162" t="s">
        <v>90</v>
      </c>
      <c r="B307" s="162"/>
      <c r="C307" s="162"/>
      <c r="D307" s="162"/>
      <c r="E307" s="162"/>
      <c r="F307" s="162"/>
      <c r="G307" s="162"/>
      <c r="H307" s="162"/>
      <c r="I307" s="162"/>
      <c r="J307" s="162"/>
      <c r="K307" s="162"/>
      <c r="L307" s="162"/>
      <c r="M307" s="162"/>
      <c r="N307" s="162"/>
      <c r="O307" s="162"/>
      <c r="P307" s="162"/>
      <c r="Q307" s="162"/>
      <c r="R307" s="162"/>
      <c r="S307" s="162"/>
      <c r="X307" s="178" t="s">
        <v>116</v>
      </c>
      <c r="Y307" s="178"/>
      <c r="Z307" s="178"/>
      <c r="AA307" s="178"/>
      <c r="AB307" s="178"/>
      <c r="AC307" s="178"/>
      <c r="AD307" s="178"/>
      <c r="AE307" s="178"/>
      <c r="AF307" s="178"/>
      <c r="AG307" s="178"/>
      <c r="AH307" s="178"/>
      <c r="AI307" s="178"/>
      <c r="AJ307" s="178"/>
      <c r="AK307" s="178"/>
      <c r="AL307" s="178"/>
      <c r="AM307" s="178"/>
      <c r="AN307" s="178"/>
      <c r="AO307" s="178"/>
      <c r="AP307" s="178"/>
      <c r="AQ307" s="178"/>
      <c r="AR307" s="178"/>
      <c r="AS307" s="178"/>
      <c r="AT307" s="178"/>
      <c r="AU307" s="178"/>
      <c r="AV307" s="178"/>
      <c r="AW307" s="178"/>
      <c r="AX307" s="178"/>
      <c r="AY307" s="178"/>
      <c r="AZ307" s="178"/>
      <c r="BA307" s="178"/>
      <c r="BB307" s="178"/>
      <c r="BC307" s="178"/>
      <c r="BD307" s="178"/>
      <c r="BE307" s="178"/>
      <c r="BF307" s="178"/>
      <c r="BG307" s="178"/>
      <c r="BH307" s="178"/>
      <c r="BI307" s="178"/>
      <c r="BJ307" s="178"/>
      <c r="BK307" s="178"/>
      <c r="BL307" s="178"/>
      <c r="BM307" s="178"/>
      <c r="BN307" s="178"/>
      <c r="BO307" s="178"/>
    </row>
    <row r="308" spans="1:67" ht="20.100000000000001" customHeight="1" x14ac:dyDescent="0.25">
      <c r="A308" s="162"/>
      <c r="B308" s="162"/>
      <c r="C308" s="162"/>
      <c r="D308" s="162"/>
      <c r="E308" s="162"/>
      <c r="F308" s="162"/>
      <c r="G308" s="162"/>
      <c r="H308" s="162"/>
      <c r="I308" s="162"/>
      <c r="J308" s="162"/>
      <c r="K308" s="162"/>
      <c r="L308" s="162"/>
      <c r="M308" s="162"/>
      <c r="N308" s="162"/>
      <c r="O308" s="162"/>
      <c r="P308" s="162"/>
      <c r="Q308" s="162"/>
      <c r="R308" s="162"/>
      <c r="S308" s="162"/>
      <c r="X308" s="178" t="s">
        <v>117</v>
      </c>
      <c r="Y308" s="178"/>
      <c r="Z308" s="178"/>
      <c r="AA308" s="178"/>
      <c r="AB308" s="178"/>
      <c r="AC308" s="178"/>
      <c r="AD308" s="178"/>
      <c r="AE308" s="178"/>
      <c r="AF308" s="178"/>
      <c r="AG308" s="178"/>
      <c r="AH308" s="178"/>
      <c r="AI308" s="178"/>
      <c r="AJ308" s="178"/>
      <c r="AK308" s="178"/>
      <c r="AL308" s="178"/>
      <c r="AM308" s="178"/>
      <c r="AN308" s="178"/>
      <c r="AO308" s="178"/>
      <c r="AP308" s="178"/>
      <c r="AQ308" s="178"/>
      <c r="AR308" s="178"/>
      <c r="AS308" s="178"/>
      <c r="AT308" s="178"/>
      <c r="AU308" s="178"/>
      <c r="AV308" s="178"/>
      <c r="AW308" s="178"/>
      <c r="AX308" s="178"/>
      <c r="AY308" s="178"/>
      <c r="AZ308" s="178"/>
      <c r="BA308" s="178"/>
      <c r="BB308" s="178"/>
      <c r="BC308" s="178"/>
      <c r="BD308" s="178"/>
      <c r="BE308" s="178"/>
      <c r="BF308" s="178"/>
      <c r="BG308" s="178"/>
      <c r="BH308" s="178"/>
      <c r="BI308" s="178"/>
      <c r="BJ308" s="178"/>
      <c r="BK308" s="178"/>
      <c r="BL308" s="178"/>
      <c r="BM308" s="178"/>
      <c r="BN308" s="178"/>
      <c r="BO308" s="178"/>
    </row>
    <row r="309" spans="1:67" ht="20.100000000000001" customHeight="1" x14ac:dyDescent="0.25">
      <c r="A309" s="174" t="s">
        <v>87</v>
      </c>
      <c r="B309" s="174"/>
      <c r="C309" s="174"/>
      <c r="D309" s="174"/>
      <c r="E309" s="174"/>
      <c r="F309" s="174"/>
      <c r="G309" s="174"/>
      <c r="H309" s="174" t="s">
        <v>88</v>
      </c>
      <c r="I309" s="174"/>
      <c r="J309" s="174"/>
      <c r="K309" s="174"/>
      <c r="L309" s="174"/>
      <c r="M309" s="174"/>
      <c r="N309" s="174"/>
      <c r="O309" s="174"/>
      <c r="P309" s="174"/>
      <c r="Q309" s="174"/>
      <c r="R309" s="174"/>
      <c r="S309" s="174"/>
      <c r="X309" s="178" t="s">
        <v>118</v>
      </c>
      <c r="Y309" s="178"/>
      <c r="Z309" s="178"/>
      <c r="AA309" s="178"/>
      <c r="AB309" s="178"/>
      <c r="AC309" s="178"/>
      <c r="AD309" s="178"/>
      <c r="AE309" s="178"/>
      <c r="AF309" s="178"/>
      <c r="AG309" s="178"/>
      <c r="AH309" s="178"/>
      <c r="AI309" s="178"/>
      <c r="AJ309" s="178"/>
      <c r="AK309" s="178"/>
      <c r="AL309" s="178"/>
      <c r="AM309" s="178"/>
      <c r="AN309" s="178"/>
      <c r="AO309" s="178"/>
      <c r="AP309" s="178"/>
      <c r="AQ309" s="178"/>
      <c r="AR309" s="178"/>
      <c r="AS309" s="178"/>
      <c r="AT309" s="178"/>
      <c r="AU309" s="178"/>
      <c r="AV309" s="178"/>
      <c r="AW309" s="178"/>
      <c r="AX309" s="178"/>
      <c r="AY309" s="178"/>
      <c r="AZ309" s="178"/>
      <c r="BA309" s="178"/>
      <c r="BB309" s="178"/>
      <c r="BC309" s="178"/>
      <c r="BD309" s="178"/>
      <c r="BE309" s="178"/>
      <c r="BF309" s="178"/>
      <c r="BG309" s="178"/>
      <c r="BH309" s="178"/>
      <c r="BI309" s="178"/>
      <c r="BJ309" s="178"/>
      <c r="BK309" s="178"/>
      <c r="BL309" s="178"/>
      <c r="BM309" s="178"/>
      <c r="BN309" s="178"/>
      <c r="BO309" s="178"/>
    </row>
    <row r="310" spans="1:67" ht="20.100000000000001" customHeight="1" x14ac:dyDescent="0.25">
      <c r="A310" s="174"/>
      <c r="B310" s="174"/>
      <c r="C310" s="174"/>
      <c r="D310" s="174"/>
      <c r="E310" s="174"/>
      <c r="F310" s="174"/>
      <c r="G310" s="174"/>
      <c r="H310" s="174" t="s">
        <v>91</v>
      </c>
      <c r="I310" s="174"/>
      <c r="J310" s="174"/>
      <c r="K310" s="174"/>
      <c r="L310" s="174" t="s">
        <v>92</v>
      </c>
      <c r="M310" s="174"/>
      <c r="N310" s="174"/>
      <c r="O310" s="174"/>
      <c r="P310" s="174" t="s">
        <v>82</v>
      </c>
      <c r="Q310" s="174"/>
      <c r="R310" s="174"/>
      <c r="S310" s="174"/>
      <c r="X310" s="178" t="s">
        <v>465</v>
      </c>
      <c r="Y310" s="178"/>
      <c r="Z310" s="178"/>
      <c r="AA310" s="178"/>
      <c r="AB310" s="178"/>
      <c r="AC310" s="178"/>
      <c r="AD310" s="178"/>
      <c r="AE310" s="178"/>
      <c r="AF310" s="178"/>
      <c r="AG310" s="178"/>
      <c r="AH310" s="178"/>
      <c r="AI310" s="178"/>
      <c r="AJ310" s="178"/>
      <c r="AK310" s="178"/>
      <c r="AL310" s="178"/>
      <c r="AM310" s="178"/>
      <c r="AN310" s="178"/>
      <c r="AO310" s="178"/>
      <c r="AP310" s="178"/>
      <c r="AQ310" s="178"/>
      <c r="AR310" s="178"/>
      <c r="AS310" s="178"/>
      <c r="AT310" s="178"/>
      <c r="AU310" s="178"/>
      <c r="AV310" s="178"/>
      <c r="AW310" s="178"/>
      <c r="AX310" s="178"/>
      <c r="AY310" s="178"/>
      <c r="AZ310" s="178"/>
      <c r="BA310" s="178"/>
      <c r="BB310" s="178"/>
      <c r="BC310" s="178"/>
      <c r="BD310" s="178"/>
      <c r="BE310" s="178"/>
      <c r="BF310" s="178"/>
      <c r="BG310" s="178"/>
      <c r="BH310" s="178"/>
      <c r="BI310" s="178"/>
      <c r="BJ310" s="178"/>
      <c r="BK310" s="178"/>
      <c r="BL310" s="178"/>
      <c r="BM310" s="178"/>
      <c r="BN310" s="178"/>
      <c r="BO310" s="178"/>
    </row>
    <row r="311" spans="1:67" ht="20.100000000000001" customHeight="1" x14ac:dyDescent="0.25">
      <c r="A311" s="143" t="s">
        <v>89</v>
      </c>
      <c r="B311" s="143"/>
      <c r="C311" s="143"/>
      <c r="D311" s="143"/>
      <c r="E311" s="143"/>
      <c r="F311" s="143"/>
      <c r="G311" s="143"/>
      <c r="H311" s="170" t="s">
        <v>113</v>
      </c>
      <c r="I311" s="170"/>
      <c r="J311" s="170"/>
      <c r="K311" s="170"/>
      <c r="L311" s="170" t="s">
        <v>114</v>
      </c>
      <c r="M311" s="170"/>
      <c r="N311" s="170"/>
      <c r="O311" s="170"/>
      <c r="P311" s="170" t="s">
        <v>115</v>
      </c>
      <c r="Q311" s="170"/>
      <c r="R311" s="170"/>
      <c r="S311" s="170"/>
    </row>
    <row r="312" spans="1:67" ht="20.100000000000001" customHeight="1" x14ac:dyDescent="0.25">
      <c r="A312" s="143"/>
      <c r="B312" s="143"/>
      <c r="C312" s="143"/>
      <c r="D312" s="143"/>
      <c r="E312" s="143"/>
      <c r="F312" s="143"/>
      <c r="G312" s="143"/>
      <c r="H312" s="170"/>
      <c r="I312" s="170"/>
      <c r="J312" s="170"/>
      <c r="K312" s="170"/>
      <c r="L312" s="170"/>
      <c r="M312" s="170"/>
      <c r="N312" s="170"/>
      <c r="O312" s="170"/>
      <c r="P312" s="170"/>
      <c r="Q312" s="170"/>
      <c r="R312" s="170"/>
      <c r="S312" s="170"/>
    </row>
    <row r="315" spans="1:67" ht="20.100000000000001" customHeight="1" x14ac:dyDescent="0.25">
      <c r="A315" s="119" t="s">
        <v>493</v>
      </c>
      <c r="B315" s="119"/>
      <c r="C315" s="119"/>
      <c r="D315" s="119"/>
      <c r="E315" s="119"/>
      <c r="F315" s="119"/>
      <c r="G315" s="119"/>
      <c r="H315" s="119"/>
      <c r="I315" s="119"/>
      <c r="J315" s="119"/>
      <c r="K315" s="119"/>
      <c r="L315" s="119"/>
      <c r="M315" s="119"/>
      <c r="N315" s="119"/>
      <c r="O315" s="119"/>
      <c r="P315" s="119"/>
      <c r="Q315" s="119"/>
      <c r="R315" s="119"/>
      <c r="S315" s="119"/>
    </row>
    <row r="316" spans="1:67" ht="20.100000000000001" customHeight="1" x14ac:dyDescent="0.25">
      <c r="W316" s="18"/>
    </row>
    <row r="317" spans="1:67" ht="20.100000000000001" customHeight="1" x14ac:dyDescent="0.25">
      <c r="A317" s="110" t="s">
        <v>73</v>
      </c>
      <c r="B317" s="110"/>
      <c r="C317" s="110"/>
      <c r="D317" s="110"/>
      <c r="E317" s="110"/>
      <c r="F317" s="110"/>
      <c r="G317" s="110"/>
      <c r="H317" s="110"/>
      <c r="I317" s="110"/>
      <c r="J317" s="110"/>
      <c r="K317" s="110"/>
      <c r="L317" s="110"/>
      <c r="M317" s="110"/>
      <c r="N317" s="204">
        <v>320</v>
      </c>
      <c r="O317" s="204"/>
      <c r="P317" s="204"/>
      <c r="Q317" s="204"/>
      <c r="R317" s="204"/>
      <c r="S317" s="204"/>
      <c r="W317" s="18"/>
    </row>
    <row r="318" spans="1:67" ht="20.100000000000001" customHeight="1" x14ac:dyDescent="0.25">
      <c r="A318" s="110" t="s">
        <v>74</v>
      </c>
      <c r="B318" s="110"/>
      <c r="C318" s="110"/>
      <c r="D318" s="110"/>
      <c r="E318" s="110"/>
      <c r="F318" s="110"/>
      <c r="G318" s="110"/>
      <c r="H318" s="110"/>
      <c r="I318" s="110"/>
      <c r="J318" s="110"/>
      <c r="K318" s="110"/>
      <c r="L318" s="110"/>
      <c r="M318" s="110"/>
      <c r="N318" s="111">
        <f>F289</f>
        <v>560.07936507936506</v>
      </c>
      <c r="O318" s="111"/>
      <c r="P318" s="111"/>
      <c r="Q318" s="111"/>
      <c r="R318" s="111"/>
      <c r="S318" s="111"/>
    </row>
    <row r="319" spans="1:67" ht="20.100000000000001" customHeight="1" x14ac:dyDescent="0.25">
      <c r="A319" s="110" t="s">
        <v>112</v>
      </c>
      <c r="B319" s="110"/>
      <c r="C319" s="110"/>
      <c r="D319" s="110"/>
      <c r="E319" s="110"/>
      <c r="F319" s="110"/>
      <c r="G319" s="110"/>
      <c r="H319" s="110"/>
      <c r="I319" s="110"/>
      <c r="J319" s="110"/>
      <c r="K319" s="110"/>
      <c r="L319" s="110"/>
      <c r="M319" s="110"/>
      <c r="N319" s="111">
        <f>N317*N318</f>
        <v>179225.39682539681</v>
      </c>
      <c r="O319" s="111"/>
      <c r="P319" s="111"/>
      <c r="Q319" s="111"/>
      <c r="R319" s="111"/>
      <c r="S319" s="111"/>
      <c r="AB319" s="18"/>
    </row>
    <row r="320" spans="1:67" ht="20.100000000000001" customHeight="1" x14ac:dyDescent="0.25">
      <c r="AB320" s="18"/>
    </row>
    <row r="322" spans="1:36" s="79" customFormat="1" ht="20.100000000000001" customHeight="1" x14ac:dyDescent="0.25">
      <c r="A322" s="194" t="s">
        <v>404</v>
      </c>
      <c r="B322" s="194"/>
      <c r="C322" s="194"/>
      <c r="D322" s="194"/>
      <c r="E322" s="194"/>
      <c r="F322" s="194"/>
      <c r="G322" s="194"/>
      <c r="H322" s="194"/>
      <c r="I322" s="194"/>
      <c r="J322" s="194"/>
      <c r="K322" s="194"/>
      <c r="L322" s="194"/>
      <c r="M322" s="194"/>
      <c r="N322" s="194"/>
      <c r="O322" s="194"/>
      <c r="P322" s="194"/>
      <c r="Q322" s="194"/>
      <c r="R322" s="194"/>
      <c r="S322" s="194"/>
      <c r="T322" s="74"/>
      <c r="U322" s="74"/>
      <c r="V322" s="74"/>
      <c r="W322" s="78"/>
      <c r="X322" s="78"/>
      <c r="Y322" s="78"/>
      <c r="Z322" s="78"/>
      <c r="AA322" s="78"/>
      <c r="AB322" s="78"/>
      <c r="AC322" s="78"/>
      <c r="AD322" s="78"/>
      <c r="AE322" s="78"/>
      <c r="AF322" s="78"/>
      <c r="AG322" s="78"/>
      <c r="AI322" s="79" t="s">
        <v>405</v>
      </c>
      <c r="AJ322" s="79" t="s">
        <v>406</v>
      </c>
    </row>
    <row r="323" spans="1:36" s="79" customFormat="1" ht="20.100000000000001" customHeight="1" x14ac:dyDescent="0.25">
      <c r="A323" s="74"/>
      <c r="B323" s="74"/>
      <c r="C323" s="74"/>
      <c r="D323" s="74"/>
      <c r="E323" s="74"/>
      <c r="F323" s="74"/>
      <c r="G323" s="74"/>
      <c r="H323" s="74"/>
      <c r="I323" s="74"/>
      <c r="J323" s="74"/>
      <c r="K323" s="74"/>
      <c r="L323" s="74"/>
      <c r="M323" s="74"/>
      <c r="N323" s="74"/>
      <c r="O323" s="74"/>
      <c r="P323" s="74"/>
      <c r="Q323" s="74"/>
      <c r="R323" s="74"/>
      <c r="S323" s="74"/>
      <c r="T323" s="74"/>
      <c r="U323" s="74"/>
      <c r="V323" s="74"/>
      <c r="AI323" s="79" t="s">
        <v>407</v>
      </c>
      <c r="AJ323" s="79" t="s">
        <v>408</v>
      </c>
    </row>
    <row r="324" spans="1:36" s="79" customFormat="1" ht="20.100000000000001" customHeight="1" x14ac:dyDescent="0.25">
      <c r="A324" s="195" t="s">
        <v>466</v>
      </c>
      <c r="B324" s="195"/>
      <c r="C324" s="195"/>
      <c r="D324" s="195"/>
      <c r="E324" s="195"/>
      <c r="F324" s="195"/>
      <c r="G324" s="195"/>
      <c r="H324" s="195"/>
      <c r="I324" s="195"/>
      <c r="J324" s="195"/>
      <c r="K324" s="195"/>
      <c r="L324" s="195"/>
      <c r="M324" s="195"/>
      <c r="N324" s="195"/>
      <c r="O324" s="195"/>
      <c r="P324" s="195"/>
      <c r="Q324" s="195"/>
      <c r="R324" s="195"/>
      <c r="S324" s="195"/>
      <c r="T324" s="74"/>
      <c r="U324" s="74"/>
      <c r="V324" s="74"/>
      <c r="AI324" s="79" t="s">
        <v>409</v>
      </c>
      <c r="AJ324" s="79" t="s">
        <v>410</v>
      </c>
    </row>
    <row r="325" spans="1:36" s="79" customFormat="1" ht="20.100000000000001" customHeight="1" x14ac:dyDescent="0.25">
      <c r="A325" s="195"/>
      <c r="B325" s="195"/>
      <c r="C325" s="195"/>
      <c r="D325" s="195"/>
      <c r="E325" s="195"/>
      <c r="F325" s="195"/>
      <c r="G325" s="195"/>
      <c r="H325" s="195"/>
      <c r="I325" s="195"/>
      <c r="J325" s="195"/>
      <c r="K325" s="195"/>
      <c r="L325" s="195"/>
      <c r="M325" s="195"/>
      <c r="N325" s="195"/>
      <c r="O325" s="195"/>
      <c r="P325" s="195"/>
      <c r="Q325" s="195"/>
      <c r="R325" s="195"/>
      <c r="S325" s="195"/>
      <c r="T325" s="74"/>
      <c r="U325" s="74"/>
      <c r="V325" s="74"/>
      <c r="AI325" s="79" t="s">
        <v>411</v>
      </c>
    </row>
    <row r="326" spans="1:36" s="79" customFormat="1" ht="20.100000000000001" customHeight="1" x14ac:dyDescent="0.25">
      <c r="A326" s="195"/>
      <c r="B326" s="195"/>
      <c r="C326" s="195"/>
      <c r="D326" s="195"/>
      <c r="E326" s="195"/>
      <c r="F326" s="195"/>
      <c r="G326" s="195"/>
      <c r="H326" s="195"/>
      <c r="I326" s="195"/>
      <c r="J326" s="195"/>
      <c r="K326" s="195"/>
      <c r="L326" s="195"/>
      <c r="M326" s="195"/>
      <c r="N326" s="195"/>
      <c r="O326" s="195"/>
      <c r="P326" s="195"/>
      <c r="Q326" s="195"/>
      <c r="R326" s="195"/>
      <c r="S326" s="195"/>
      <c r="T326" s="74"/>
      <c r="U326" s="74"/>
      <c r="V326" s="74"/>
      <c r="AI326" s="79" t="s">
        <v>412</v>
      </c>
      <c r="AJ326" s="79" t="s">
        <v>413</v>
      </c>
    </row>
    <row r="327" spans="1:36" s="79" customFormat="1" ht="20.100000000000001" customHeight="1" x14ac:dyDescent="0.25">
      <c r="A327" s="195"/>
      <c r="B327" s="195"/>
      <c r="C327" s="195"/>
      <c r="D327" s="195"/>
      <c r="E327" s="195"/>
      <c r="F327" s="195"/>
      <c r="G327" s="195"/>
      <c r="H327" s="195"/>
      <c r="I327" s="195"/>
      <c r="J327" s="195"/>
      <c r="K327" s="195"/>
      <c r="L327" s="195"/>
      <c r="M327" s="195"/>
      <c r="N327" s="195"/>
      <c r="O327" s="195"/>
      <c r="P327" s="195"/>
      <c r="Q327" s="195"/>
      <c r="R327" s="195"/>
      <c r="S327" s="195"/>
      <c r="T327" s="74"/>
      <c r="U327" s="74"/>
      <c r="V327" s="74"/>
      <c r="AI327" s="79" t="s">
        <v>504</v>
      </c>
      <c r="AJ327" s="79" t="s">
        <v>415</v>
      </c>
    </row>
    <row r="328" spans="1:36" s="79" customFormat="1" ht="20.100000000000001" customHeight="1" x14ac:dyDescent="0.25">
      <c r="A328" s="74"/>
      <c r="B328" s="74"/>
      <c r="C328" s="74"/>
      <c r="D328" s="74"/>
      <c r="E328" s="74"/>
      <c r="F328" s="74"/>
      <c r="G328" s="74"/>
      <c r="H328" s="74"/>
      <c r="I328" s="74"/>
      <c r="J328" s="74"/>
      <c r="K328" s="74"/>
      <c r="L328" s="74"/>
      <c r="M328" s="74"/>
      <c r="N328" s="74"/>
      <c r="O328" s="74"/>
      <c r="P328" s="74"/>
      <c r="Q328" s="74"/>
      <c r="R328" s="74"/>
      <c r="S328" s="74"/>
      <c r="T328" s="74"/>
      <c r="U328" s="74"/>
      <c r="V328" s="74"/>
      <c r="AI328" s="79" t="s">
        <v>414</v>
      </c>
      <c r="AJ328" s="79" t="s">
        <v>417</v>
      </c>
    </row>
    <row r="329" spans="1:36" s="79" customFormat="1" ht="20.100000000000001" customHeight="1" x14ac:dyDescent="0.25">
      <c r="A329" s="181" t="s">
        <v>418</v>
      </c>
      <c r="B329" s="181"/>
      <c r="C329" s="181"/>
      <c r="D329" s="181"/>
      <c r="E329" s="189" t="s">
        <v>413</v>
      </c>
      <c r="F329" s="189"/>
      <c r="G329" s="189"/>
      <c r="H329" s="189"/>
      <c r="I329" s="189"/>
      <c r="J329" s="189"/>
      <c r="K329" s="181" t="s">
        <v>419</v>
      </c>
      <c r="L329" s="181"/>
      <c r="M329" s="181"/>
      <c r="N329" s="181"/>
      <c r="O329" s="80"/>
      <c r="P329" s="196" t="s">
        <v>408</v>
      </c>
      <c r="Q329" s="196"/>
      <c r="R329" s="196"/>
      <c r="S329" s="196"/>
      <c r="T329" s="74"/>
      <c r="U329" s="74"/>
      <c r="V329" s="74"/>
      <c r="AI329" s="79" t="s">
        <v>416</v>
      </c>
      <c r="AJ329" s="79" t="s">
        <v>64</v>
      </c>
    </row>
    <row r="330" spans="1:36" s="79" customFormat="1" ht="20.100000000000001" customHeight="1" x14ac:dyDescent="0.25">
      <c r="A330" s="148" t="s">
        <v>421</v>
      </c>
      <c r="B330" s="148"/>
      <c r="C330" s="148"/>
      <c r="D330" s="148"/>
      <c r="E330" s="192" t="s">
        <v>405</v>
      </c>
      <c r="F330" s="192"/>
      <c r="G330" s="192"/>
      <c r="H330" s="192"/>
      <c r="I330" s="192"/>
      <c r="J330" s="192"/>
      <c r="K330" s="148" t="s">
        <v>422</v>
      </c>
      <c r="L330" s="148"/>
      <c r="M330" s="148"/>
      <c r="N330" s="148"/>
      <c r="O330" s="81"/>
      <c r="P330" s="193" t="s">
        <v>423</v>
      </c>
      <c r="Q330" s="193"/>
      <c r="R330" s="193"/>
      <c r="S330" s="193"/>
      <c r="T330" s="74"/>
      <c r="U330" s="74"/>
      <c r="V330" s="74"/>
      <c r="AI330" s="79" t="s">
        <v>420</v>
      </c>
    </row>
    <row r="331" spans="1:36" s="79" customFormat="1" ht="20.100000000000001" customHeight="1" x14ac:dyDescent="0.25">
      <c r="A331" s="74"/>
      <c r="B331" s="74"/>
      <c r="C331" s="74"/>
      <c r="D331" s="74"/>
      <c r="E331" s="74"/>
      <c r="F331" s="74"/>
      <c r="G331" s="74"/>
      <c r="H331" s="74"/>
      <c r="I331" s="74"/>
      <c r="J331" s="74"/>
      <c r="K331" s="74"/>
      <c r="L331" s="74"/>
      <c r="M331" s="74"/>
      <c r="N331" s="74"/>
      <c r="O331" s="74"/>
      <c r="P331" s="74"/>
      <c r="Q331" s="74"/>
      <c r="R331" s="74"/>
      <c r="S331" s="74"/>
      <c r="T331" s="74"/>
      <c r="U331" s="74"/>
      <c r="V331" s="74"/>
      <c r="AI331" s="79" t="s">
        <v>424</v>
      </c>
    </row>
    <row r="332" spans="1:36" s="79" customFormat="1" ht="20.100000000000001" customHeight="1" x14ac:dyDescent="0.25">
      <c r="A332" s="181" t="s">
        <v>425</v>
      </c>
      <c r="B332" s="181"/>
      <c r="C332" s="181"/>
      <c r="D332" s="181"/>
      <c r="E332" s="181"/>
      <c r="F332" s="181"/>
      <c r="G332" s="181"/>
      <c r="H332" s="181"/>
      <c r="I332" s="181"/>
      <c r="J332" s="181"/>
      <c r="K332" s="181"/>
      <c r="L332" s="181"/>
      <c r="M332" s="191">
        <v>1997.51</v>
      </c>
      <c r="N332" s="191"/>
      <c r="O332" s="191"/>
      <c r="P332" s="191"/>
      <c r="Q332" s="191"/>
      <c r="R332" s="191"/>
      <c r="S332" s="191"/>
      <c r="T332" s="74"/>
      <c r="U332" s="74"/>
      <c r="V332" s="74"/>
    </row>
    <row r="333" spans="1:36" s="79" customFormat="1" ht="20.100000000000001" customHeight="1" x14ac:dyDescent="0.25">
      <c r="A333" s="181" t="s">
        <v>426</v>
      </c>
      <c r="B333" s="181"/>
      <c r="C333" s="181"/>
      <c r="D333" s="181"/>
      <c r="E333" s="181"/>
      <c r="F333" s="181"/>
      <c r="G333" s="181"/>
      <c r="H333" s="181"/>
      <c r="I333" s="181"/>
      <c r="J333" s="181"/>
      <c r="K333" s="181"/>
      <c r="L333" s="181"/>
      <c r="M333" s="206">
        <v>129.5</v>
      </c>
      <c r="N333" s="206"/>
      <c r="O333" s="206"/>
      <c r="P333" s="206"/>
      <c r="Q333" s="206"/>
      <c r="R333" s="206"/>
      <c r="S333" s="206"/>
      <c r="T333" s="74"/>
      <c r="U333" s="74"/>
      <c r="V333" s="74"/>
    </row>
    <row r="334" spans="1:36" s="79" customFormat="1" ht="20.100000000000001" customHeight="1" x14ac:dyDescent="0.25">
      <c r="A334" s="181" t="s">
        <v>427</v>
      </c>
      <c r="B334" s="181"/>
      <c r="C334" s="181"/>
      <c r="D334" s="181"/>
      <c r="E334" s="181"/>
      <c r="F334" s="181"/>
      <c r="G334" s="181"/>
      <c r="H334" s="181"/>
      <c r="I334" s="181"/>
      <c r="J334" s="181"/>
      <c r="K334" s="181"/>
      <c r="L334" s="181"/>
      <c r="M334" s="205">
        <f>M332*M333</f>
        <v>258677.54500000001</v>
      </c>
      <c r="N334" s="205"/>
      <c r="O334" s="205"/>
      <c r="P334" s="205"/>
      <c r="Q334" s="205"/>
      <c r="R334" s="205"/>
      <c r="S334" s="205"/>
      <c r="T334" s="74"/>
      <c r="U334" s="74"/>
      <c r="V334" s="74"/>
    </row>
    <row r="335" spans="1:36" s="79" customFormat="1" ht="20.100000000000001" customHeight="1" x14ac:dyDescent="0.25">
      <c r="A335" s="74"/>
      <c r="B335" s="74"/>
      <c r="C335" s="74"/>
      <c r="D335" s="74"/>
      <c r="E335" s="74"/>
      <c r="F335" s="74"/>
      <c r="G335" s="74"/>
      <c r="H335" s="74"/>
      <c r="I335" s="74"/>
      <c r="J335" s="74"/>
      <c r="K335" s="74"/>
      <c r="L335" s="74"/>
      <c r="M335" s="74"/>
      <c r="N335" s="74"/>
      <c r="O335" s="74"/>
      <c r="P335" s="74"/>
      <c r="Q335" s="74"/>
      <c r="R335" s="74"/>
      <c r="S335" s="74"/>
      <c r="T335" s="74"/>
      <c r="U335" s="74"/>
      <c r="V335" s="74"/>
    </row>
    <row r="336" spans="1:36" s="79" customFormat="1" ht="20.100000000000001" customHeight="1" x14ac:dyDescent="0.25">
      <c r="A336" s="183" t="s">
        <v>428</v>
      </c>
      <c r="B336" s="183"/>
      <c r="C336" s="183"/>
      <c r="D336" s="183"/>
      <c r="E336" s="183"/>
      <c r="F336" s="183"/>
      <c r="G336" s="183"/>
      <c r="H336" s="183"/>
      <c r="I336" s="183"/>
      <c r="J336" s="183"/>
      <c r="K336" s="183"/>
      <c r="L336" s="183"/>
      <c r="M336" s="183"/>
      <c r="N336" s="183"/>
      <c r="O336" s="183"/>
      <c r="P336" s="183"/>
      <c r="Q336" s="183"/>
      <c r="R336" s="183"/>
      <c r="S336" s="183"/>
      <c r="T336" s="74"/>
      <c r="U336" s="74"/>
      <c r="V336" s="74"/>
    </row>
    <row r="337" spans="1:30" s="79" customFormat="1" ht="20.100000000000001" customHeight="1" x14ac:dyDescent="0.25">
      <c r="A337" s="74"/>
      <c r="B337" s="74"/>
      <c r="C337" s="74"/>
      <c r="D337" s="74"/>
      <c r="E337" s="74"/>
      <c r="F337" s="74"/>
      <c r="G337" s="74"/>
      <c r="H337" s="74"/>
      <c r="I337" s="74"/>
      <c r="J337" s="74"/>
      <c r="K337" s="74"/>
      <c r="L337" s="74"/>
      <c r="M337" s="74"/>
      <c r="N337" s="74"/>
      <c r="O337" s="74"/>
      <c r="P337" s="74"/>
      <c r="Q337" s="74"/>
      <c r="R337" s="74"/>
      <c r="S337" s="74"/>
      <c r="T337" s="74"/>
      <c r="U337" s="74"/>
      <c r="V337" s="74"/>
    </row>
    <row r="338" spans="1:30" s="79" customFormat="1" ht="20.100000000000001" customHeight="1" x14ac:dyDescent="0.25">
      <c r="A338" s="181" t="s">
        <v>429</v>
      </c>
      <c r="B338" s="181"/>
      <c r="C338" s="181"/>
      <c r="D338" s="181"/>
      <c r="E338" s="181"/>
      <c r="F338" s="182">
        <v>20</v>
      </c>
      <c r="G338" s="182"/>
      <c r="H338" s="182"/>
      <c r="I338" s="182"/>
      <c r="J338" s="74"/>
      <c r="K338" s="74"/>
      <c r="L338" s="74"/>
      <c r="M338" s="74"/>
      <c r="N338" s="74"/>
      <c r="O338" s="74"/>
      <c r="P338" s="74"/>
      <c r="Q338" s="74"/>
      <c r="R338" s="74"/>
      <c r="S338" s="74"/>
      <c r="T338" s="74"/>
      <c r="U338" s="74"/>
      <c r="V338" s="74"/>
    </row>
    <row r="339" spans="1:30" s="79" customFormat="1" ht="20.100000000000001" customHeight="1" x14ac:dyDescent="0.25">
      <c r="A339" s="181" t="s">
        <v>430</v>
      </c>
      <c r="B339" s="181"/>
      <c r="C339" s="181"/>
      <c r="D339" s="181"/>
      <c r="E339" s="181"/>
      <c r="F339" s="184">
        <v>70</v>
      </c>
      <c r="G339" s="184"/>
      <c r="H339" s="184"/>
      <c r="I339" s="184"/>
      <c r="J339" s="74"/>
      <c r="K339" s="74"/>
      <c r="L339" s="74"/>
      <c r="M339" s="74"/>
      <c r="N339" s="74"/>
      <c r="O339" s="74"/>
      <c r="P339" s="74"/>
      <c r="Q339" s="74"/>
      <c r="R339" s="74"/>
      <c r="S339" s="74"/>
      <c r="T339" s="74"/>
      <c r="U339" s="74"/>
      <c r="V339" s="74"/>
    </row>
    <row r="340" spans="1:30" s="79" customFormat="1" ht="20.100000000000001" customHeight="1" x14ac:dyDescent="0.25">
      <c r="A340" s="148" t="s">
        <v>431</v>
      </c>
      <c r="B340" s="148"/>
      <c r="C340" s="148"/>
      <c r="D340" s="148"/>
      <c r="E340" s="148"/>
      <c r="F340" s="185">
        <f>F338/F339</f>
        <v>0.2857142857142857</v>
      </c>
      <c r="G340" s="185"/>
      <c r="H340" s="185"/>
      <c r="I340" s="185"/>
      <c r="J340" s="74"/>
      <c r="K340" s="74"/>
      <c r="L340" s="74"/>
      <c r="M340" s="74"/>
      <c r="N340" s="74"/>
      <c r="O340" s="74"/>
      <c r="P340" s="74"/>
      <c r="Q340" s="74"/>
      <c r="R340" s="74"/>
      <c r="S340" s="74"/>
      <c r="T340" s="74"/>
      <c r="U340" s="74"/>
      <c r="V340" s="74"/>
    </row>
    <row r="341" spans="1:30" s="79" customFormat="1" ht="20.100000000000001" customHeight="1" x14ac:dyDescent="0.25">
      <c r="A341" s="74"/>
      <c r="B341" s="74"/>
      <c r="C341" s="74"/>
      <c r="D341" s="74"/>
      <c r="E341" s="74"/>
      <c r="F341" s="74"/>
      <c r="G341" s="74"/>
      <c r="H341" s="74"/>
      <c r="I341" s="74"/>
      <c r="J341" s="74"/>
      <c r="K341" s="74"/>
      <c r="L341" s="74"/>
      <c r="M341" s="74"/>
      <c r="N341" s="74"/>
      <c r="O341" s="74"/>
      <c r="P341" s="74"/>
      <c r="Q341" s="74"/>
      <c r="R341" s="74"/>
      <c r="S341" s="74"/>
      <c r="T341" s="74"/>
      <c r="U341" s="74"/>
      <c r="V341" s="74"/>
    </row>
    <row r="342" spans="1:30" s="79" customFormat="1" ht="20.100000000000001" customHeight="1" x14ac:dyDescent="0.25">
      <c r="A342" s="134" t="s">
        <v>432</v>
      </c>
      <c r="B342" s="134"/>
      <c r="C342" s="134"/>
      <c r="D342" s="134"/>
      <c r="E342" s="134"/>
      <c r="F342" s="134"/>
      <c r="G342" s="134"/>
      <c r="H342" s="134"/>
      <c r="I342" s="134"/>
      <c r="J342" s="134"/>
      <c r="K342" s="134"/>
      <c r="L342" s="134"/>
      <c r="M342" s="134"/>
      <c r="N342" s="134"/>
      <c r="O342" s="134"/>
      <c r="P342" s="134"/>
      <c r="Q342" s="134"/>
      <c r="R342" s="134"/>
      <c r="S342" s="134"/>
      <c r="T342" s="74"/>
      <c r="U342" s="74"/>
      <c r="V342" s="74"/>
    </row>
    <row r="343" spans="1:30" s="79" customFormat="1" ht="20.100000000000001" customHeight="1" x14ac:dyDescent="0.25">
      <c r="A343" s="74"/>
      <c r="B343" s="74"/>
      <c r="C343" s="74"/>
      <c r="D343" s="74"/>
      <c r="E343" s="74"/>
      <c r="F343" s="74"/>
      <c r="G343" s="74"/>
      <c r="H343" s="74"/>
      <c r="I343" s="74"/>
      <c r="J343" s="74"/>
      <c r="K343" s="74"/>
      <c r="L343" s="74"/>
      <c r="M343" s="74"/>
      <c r="N343" s="74"/>
      <c r="O343" s="74"/>
      <c r="P343" s="74"/>
      <c r="Q343" s="74"/>
      <c r="R343" s="74"/>
      <c r="S343" s="74"/>
      <c r="T343" s="74"/>
      <c r="U343" s="74"/>
      <c r="V343" s="74"/>
    </row>
    <row r="344" spans="1:30" s="79" customFormat="1" ht="20.100000000000001" customHeight="1" x14ac:dyDescent="0.25">
      <c r="A344" s="74"/>
      <c r="B344" s="82"/>
      <c r="C344" s="74"/>
      <c r="D344" s="74"/>
      <c r="E344" s="74"/>
      <c r="F344" s="74"/>
      <c r="G344" s="74"/>
      <c r="H344" s="74"/>
      <c r="I344" s="74"/>
      <c r="J344" s="74"/>
      <c r="K344" s="74"/>
      <c r="L344" s="74"/>
      <c r="M344" s="74"/>
      <c r="N344" s="74"/>
      <c r="O344" s="74"/>
      <c r="P344" s="74"/>
      <c r="Q344" s="74"/>
      <c r="R344" s="74"/>
      <c r="S344" s="74"/>
      <c r="T344" s="74"/>
      <c r="U344" s="74"/>
      <c r="V344" s="74"/>
    </row>
    <row r="345" spans="1:30" s="79" customFormat="1" ht="20.100000000000001" customHeight="1" x14ac:dyDescent="0.25">
      <c r="A345" s="74"/>
      <c r="B345" s="74"/>
      <c r="C345" s="74"/>
      <c r="D345" s="74"/>
      <c r="E345" s="74"/>
      <c r="F345" s="74"/>
      <c r="G345" s="74"/>
      <c r="H345" s="74"/>
      <c r="I345" s="74"/>
      <c r="J345" s="74"/>
      <c r="K345" s="74"/>
      <c r="L345" s="74"/>
      <c r="M345" s="74"/>
      <c r="N345" s="74"/>
      <c r="O345" s="74"/>
      <c r="P345" s="74"/>
      <c r="Q345" s="74"/>
      <c r="R345" s="74"/>
      <c r="S345" s="74"/>
      <c r="T345" s="74"/>
      <c r="U345" s="74"/>
      <c r="V345" s="74"/>
    </row>
    <row r="346" spans="1:30" s="79" customFormat="1" ht="20.100000000000001" customHeight="1" x14ac:dyDescent="0.25">
      <c r="A346" s="74"/>
      <c r="B346" s="74"/>
      <c r="C346" s="74"/>
      <c r="D346" s="74"/>
      <c r="E346" s="74"/>
      <c r="F346" s="74"/>
      <c r="G346" s="74"/>
      <c r="H346" s="74"/>
      <c r="I346" s="74"/>
      <c r="J346" s="74"/>
      <c r="K346" s="74"/>
      <c r="L346" s="74"/>
      <c r="M346" s="74"/>
      <c r="N346" s="74"/>
      <c r="O346" s="74"/>
      <c r="P346" s="74"/>
      <c r="Q346" s="74"/>
      <c r="R346" s="74"/>
      <c r="S346" s="74"/>
      <c r="T346" s="74"/>
      <c r="U346" s="74"/>
      <c r="V346" s="74"/>
    </row>
    <row r="347" spans="1:30" s="79" customFormat="1" ht="20.100000000000001" customHeight="1" x14ac:dyDescent="0.25">
      <c r="A347" s="74"/>
      <c r="B347" s="74"/>
      <c r="C347" s="74"/>
      <c r="D347" s="74"/>
      <c r="E347" s="74"/>
      <c r="F347" s="74"/>
      <c r="G347" s="74"/>
      <c r="H347" s="74"/>
      <c r="I347" s="74"/>
      <c r="J347" s="74"/>
      <c r="K347" s="74"/>
      <c r="L347" s="74"/>
      <c r="M347" s="74"/>
      <c r="N347" s="74"/>
      <c r="O347" s="74"/>
      <c r="P347" s="74"/>
      <c r="Q347" s="74"/>
      <c r="R347" s="74"/>
      <c r="S347" s="74"/>
      <c r="T347" s="74"/>
      <c r="U347" s="74"/>
      <c r="V347" s="74"/>
    </row>
    <row r="348" spans="1:30" s="79" customFormat="1" ht="20.100000000000001" customHeight="1" x14ac:dyDescent="0.25">
      <c r="A348" s="74"/>
      <c r="B348" s="74"/>
      <c r="C348" s="74"/>
      <c r="D348" s="74"/>
      <c r="E348" s="74"/>
      <c r="F348" s="74"/>
      <c r="G348" s="74"/>
      <c r="H348" s="74"/>
      <c r="I348" s="74"/>
      <c r="J348" s="74"/>
      <c r="K348" s="74"/>
      <c r="L348" s="74"/>
      <c r="M348" s="74"/>
      <c r="N348" s="74"/>
      <c r="O348" s="74"/>
      <c r="P348" s="74"/>
      <c r="Q348" s="74"/>
      <c r="R348" s="74"/>
      <c r="S348" s="74"/>
      <c r="T348" s="74"/>
      <c r="U348" s="74"/>
      <c r="V348" s="74"/>
    </row>
    <row r="349" spans="1:30" s="79" customFormat="1" ht="20.100000000000001" customHeight="1" x14ac:dyDescent="0.25">
      <c r="A349" s="74"/>
      <c r="B349" s="74"/>
      <c r="C349" s="74"/>
      <c r="D349" s="74"/>
      <c r="E349" s="74"/>
      <c r="F349" s="74"/>
      <c r="G349" s="74"/>
      <c r="H349" s="74"/>
      <c r="I349" s="74"/>
      <c r="J349" s="74"/>
      <c r="K349" s="74"/>
      <c r="L349" s="74"/>
      <c r="M349" s="74"/>
      <c r="N349" s="74"/>
      <c r="O349" s="74"/>
      <c r="P349" s="74"/>
      <c r="Q349" s="74"/>
      <c r="R349" s="74"/>
      <c r="S349" s="74"/>
      <c r="T349" s="74"/>
      <c r="U349" s="74"/>
      <c r="V349" s="74"/>
    </row>
    <row r="350" spans="1:30" s="79" customFormat="1" ht="20.100000000000001" customHeight="1" x14ac:dyDescent="0.25">
      <c r="A350" s="74"/>
      <c r="B350" s="74"/>
      <c r="C350" s="74"/>
      <c r="D350" s="74"/>
      <c r="E350" s="74"/>
      <c r="F350" s="74"/>
      <c r="G350" s="74"/>
      <c r="H350" s="74"/>
      <c r="I350" s="74"/>
      <c r="J350" s="74"/>
      <c r="K350" s="74"/>
      <c r="L350" s="74"/>
      <c r="M350" s="74"/>
      <c r="N350" s="74"/>
      <c r="O350" s="74"/>
      <c r="P350" s="74"/>
      <c r="Q350" s="74"/>
      <c r="R350" s="74"/>
      <c r="S350" s="74"/>
      <c r="T350" s="74"/>
      <c r="U350" s="74"/>
      <c r="V350" s="74"/>
    </row>
    <row r="351" spans="1:30" s="79" customFormat="1" ht="20.100000000000001" customHeight="1" x14ac:dyDescent="0.25">
      <c r="A351" s="74"/>
      <c r="B351" s="74"/>
      <c r="C351" s="74"/>
      <c r="D351" s="74"/>
      <c r="E351" s="74"/>
      <c r="F351" s="74"/>
      <c r="G351" s="74"/>
      <c r="H351" s="74"/>
      <c r="I351" s="74"/>
      <c r="J351" s="74"/>
      <c r="K351" s="74"/>
      <c r="L351" s="74"/>
      <c r="M351" s="74"/>
      <c r="N351" s="74"/>
      <c r="O351" s="74"/>
      <c r="P351" s="74"/>
      <c r="Q351" s="74"/>
      <c r="R351" s="74"/>
      <c r="S351" s="74"/>
      <c r="T351" s="74"/>
      <c r="U351" s="74"/>
      <c r="V351" s="74"/>
      <c r="AA351" s="79" t="s">
        <v>433</v>
      </c>
      <c r="AB351" s="79" t="s">
        <v>332</v>
      </c>
      <c r="AC351" s="79" t="s">
        <v>434</v>
      </c>
      <c r="AD351" s="79">
        <v>0</v>
      </c>
    </row>
    <row r="352" spans="1:30" s="79" customFormat="1" ht="20.100000000000001" customHeight="1" x14ac:dyDescent="0.25">
      <c r="A352" s="74"/>
      <c r="B352" s="74"/>
      <c r="C352" s="74"/>
      <c r="D352" s="74"/>
      <c r="E352" s="74"/>
      <c r="F352" s="74"/>
      <c r="G352" s="74"/>
      <c r="H352" s="74"/>
      <c r="I352" s="74"/>
      <c r="J352" s="74"/>
      <c r="K352" s="74"/>
      <c r="L352" s="74"/>
      <c r="M352" s="74"/>
      <c r="N352" s="74"/>
      <c r="O352" s="74"/>
      <c r="P352" s="74"/>
      <c r="Q352" s="74"/>
      <c r="R352" s="74"/>
      <c r="S352" s="74"/>
      <c r="T352" s="74"/>
      <c r="U352" s="74"/>
      <c r="V352" s="74"/>
      <c r="AA352" s="83">
        <f>1/2*((F338/F339)+(F338^2/F339^2))</f>
        <v>0.18367346938775508</v>
      </c>
      <c r="AB352" s="79" t="s">
        <v>334</v>
      </c>
      <c r="AC352" s="79" t="s">
        <v>435</v>
      </c>
      <c r="AD352" s="79">
        <v>0.32</v>
      </c>
    </row>
    <row r="353" spans="1:30" s="79" customFormat="1" ht="20.100000000000001" customHeight="1" x14ac:dyDescent="0.25">
      <c r="A353" s="74"/>
      <c r="B353" s="74"/>
      <c r="C353" s="74"/>
      <c r="D353" s="74"/>
      <c r="E353" s="74"/>
      <c r="F353" s="74"/>
      <c r="G353" s="74"/>
      <c r="H353" s="74"/>
      <c r="I353" s="74"/>
      <c r="J353" s="74"/>
      <c r="K353" s="74"/>
      <c r="L353" s="74"/>
      <c r="M353" s="74"/>
      <c r="N353" s="74"/>
      <c r="O353" s="74"/>
      <c r="P353" s="74"/>
      <c r="Q353" s="74"/>
      <c r="R353" s="74"/>
      <c r="S353" s="74"/>
      <c r="T353" s="74"/>
      <c r="U353" s="74"/>
      <c r="V353" s="74"/>
      <c r="AB353" s="79" t="s">
        <v>337</v>
      </c>
      <c r="AC353" s="79" t="s">
        <v>67</v>
      </c>
      <c r="AD353" s="79">
        <v>2.52</v>
      </c>
    </row>
    <row r="354" spans="1:30" s="79" customFormat="1" ht="20.100000000000001" customHeight="1" x14ac:dyDescent="0.25">
      <c r="A354" s="74"/>
      <c r="B354" s="74"/>
      <c r="C354" s="74"/>
      <c r="D354" s="74"/>
      <c r="E354" s="74"/>
      <c r="F354" s="74"/>
      <c r="G354" s="74"/>
      <c r="H354" s="74"/>
      <c r="I354" s="74"/>
      <c r="J354" s="74"/>
      <c r="K354" s="74"/>
      <c r="L354" s="74"/>
      <c r="M354" s="74"/>
      <c r="N354" s="74"/>
      <c r="O354" s="74"/>
      <c r="P354" s="74"/>
      <c r="Q354" s="74"/>
      <c r="R354" s="74"/>
      <c r="S354" s="74"/>
      <c r="T354" s="74"/>
      <c r="U354" s="74"/>
      <c r="V354" s="74"/>
      <c r="AB354" s="79" t="s">
        <v>339</v>
      </c>
      <c r="AC354" s="79" t="s">
        <v>436</v>
      </c>
      <c r="AD354" s="79">
        <v>8.09</v>
      </c>
    </row>
    <row r="355" spans="1:30" s="79" customFormat="1" ht="20.100000000000001" customHeight="1" x14ac:dyDescent="0.25">
      <c r="A355" s="134" t="s">
        <v>437</v>
      </c>
      <c r="B355" s="134"/>
      <c r="C355" s="134"/>
      <c r="D355" s="134"/>
      <c r="E355" s="134"/>
      <c r="F355" s="134"/>
      <c r="G355" s="134"/>
      <c r="H355" s="134"/>
      <c r="I355" s="134"/>
      <c r="J355" s="134"/>
      <c r="K355" s="134"/>
      <c r="L355" s="134"/>
      <c r="M355" s="134"/>
      <c r="N355" s="134"/>
      <c r="O355" s="134"/>
      <c r="P355" s="134"/>
      <c r="Q355" s="134"/>
      <c r="R355" s="134"/>
      <c r="S355" s="134"/>
      <c r="T355" s="74"/>
      <c r="U355" s="74"/>
      <c r="V355" s="74"/>
      <c r="AB355" s="79" t="s">
        <v>342</v>
      </c>
      <c r="AC355" s="79" t="s">
        <v>438</v>
      </c>
      <c r="AD355" s="79">
        <v>18.100000000000001</v>
      </c>
    </row>
    <row r="356" spans="1:30" s="79" customFormat="1" ht="20.100000000000001" customHeight="1" x14ac:dyDescent="0.25">
      <c r="A356" s="74"/>
      <c r="B356" s="74"/>
      <c r="C356" s="74"/>
      <c r="D356" s="74"/>
      <c r="E356" s="74"/>
      <c r="F356" s="74"/>
      <c r="G356" s="74"/>
      <c r="H356" s="74"/>
      <c r="I356" s="74"/>
      <c r="J356" s="74"/>
      <c r="K356" s="74"/>
      <c r="L356" s="74"/>
      <c r="M356" s="74"/>
      <c r="N356" s="74"/>
      <c r="O356" s="74"/>
      <c r="P356" s="74"/>
      <c r="Q356" s="74"/>
      <c r="R356" s="74"/>
      <c r="S356" s="74"/>
      <c r="T356" s="74"/>
      <c r="U356" s="74"/>
      <c r="V356" s="74"/>
      <c r="AB356" s="79" t="s">
        <v>345</v>
      </c>
      <c r="AC356" s="79" t="s">
        <v>439</v>
      </c>
      <c r="AD356" s="79">
        <v>33.200000000000003</v>
      </c>
    </row>
    <row r="357" spans="1:30" s="79" customFormat="1" ht="20.100000000000001" customHeight="1" x14ac:dyDescent="0.25">
      <c r="A357" s="74"/>
      <c r="B357" s="74"/>
      <c r="C357" s="74"/>
      <c r="D357" s="74"/>
      <c r="E357" s="74"/>
      <c r="F357" s="74"/>
      <c r="G357" s="74"/>
      <c r="H357" s="74"/>
      <c r="I357" s="74"/>
      <c r="J357" s="74"/>
      <c r="K357" s="74"/>
      <c r="L357" s="74"/>
      <c r="M357" s="74"/>
      <c r="N357" s="74"/>
      <c r="O357" s="74"/>
      <c r="P357" s="74"/>
      <c r="Q357" s="74"/>
      <c r="R357" s="74"/>
      <c r="S357" s="74"/>
      <c r="T357" s="74"/>
      <c r="U357" s="74"/>
      <c r="V357" s="74"/>
      <c r="AB357" s="79" t="s">
        <v>348</v>
      </c>
      <c r="AC357" s="79" t="s">
        <v>440</v>
      </c>
      <c r="AD357" s="79">
        <v>52.6</v>
      </c>
    </row>
    <row r="358" spans="1:30" s="79" customFormat="1" ht="20.100000000000001" customHeight="1" x14ac:dyDescent="0.25">
      <c r="A358" s="74"/>
      <c r="B358" s="82"/>
      <c r="C358" s="74"/>
      <c r="D358" s="74"/>
      <c r="E358" s="74"/>
      <c r="F358" s="74"/>
      <c r="G358" s="74"/>
      <c r="H358" s="74"/>
      <c r="I358" s="74"/>
      <c r="J358" s="74"/>
      <c r="K358" s="74"/>
      <c r="L358" s="74"/>
      <c r="M358" s="74"/>
      <c r="N358" s="74"/>
      <c r="O358" s="74"/>
      <c r="P358" s="74"/>
      <c r="Q358" s="74"/>
      <c r="R358" s="74"/>
      <c r="S358" s="74"/>
      <c r="T358" s="74"/>
      <c r="U358" s="74"/>
      <c r="V358" s="74"/>
      <c r="AB358" s="79" t="s">
        <v>351</v>
      </c>
      <c r="AC358" s="79" t="s">
        <v>441</v>
      </c>
      <c r="AD358" s="79">
        <v>75.2</v>
      </c>
    </row>
    <row r="359" spans="1:30" s="79" customFormat="1" ht="20.100000000000001" customHeight="1" x14ac:dyDescent="0.25">
      <c r="A359" s="74"/>
      <c r="B359" s="74"/>
      <c r="C359" s="74"/>
      <c r="D359" s="74"/>
      <c r="E359" s="74"/>
      <c r="F359" s="74"/>
      <c r="G359" s="74"/>
      <c r="H359" s="74"/>
      <c r="I359" s="74"/>
      <c r="J359" s="74"/>
      <c r="K359" s="74"/>
      <c r="L359" s="74"/>
      <c r="M359" s="74"/>
      <c r="N359" s="74"/>
      <c r="O359" s="74"/>
      <c r="P359" s="74"/>
      <c r="Q359" s="74"/>
      <c r="R359" s="74"/>
      <c r="S359" s="74"/>
      <c r="T359" s="74"/>
      <c r="U359" s="74"/>
      <c r="V359" s="74"/>
      <c r="AB359" s="79" t="s">
        <v>82</v>
      </c>
      <c r="AC359" s="79" t="s">
        <v>442</v>
      </c>
      <c r="AD359" s="79">
        <v>100</v>
      </c>
    </row>
    <row r="360" spans="1:30" s="79" customFormat="1" ht="20.100000000000001" customHeight="1" x14ac:dyDescent="0.25">
      <c r="A360" s="134" t="s">
        <v>443</v>
      </c>
      <c r="B360" s="134"/>
      <c r="C360" s="134"/>
      <c r="D360" s="134"/>
      <c r="E360" s="134"/>
      <c r="F360" s="134"/>
      <c r="G360" s="189" t="s">
        <v>337</v>
      </c>
      <c r="H360" s="189"/>
      <c r="I360" s="189"/>
      <c r="J360" s="189"/>
      <c r="K360" s="189"/>
      <c r="L360" s="189"/>
      <c r="M360" s="189"/>
      <c r="N360" s="74"/>
      <c r="O360" s="74"/>
      <c r="P360" s="74"/>
      <c r="Q360" s="74"/>
      <c r="R360" s="74"/>
      <c r="S360" s="74"/>
      <c r="T360" s="74"/>
      <c r="U360" s="74"/>
      <c r="V360" s="74"/>
    </row>
    <row r="361" spans="1:30" s="79" customFormat="1" ht="20.100000000000001" customHeight="1" x14ac:dyDescent="0.25">
      <c r="A361" s="148" t="s">
        <v>444</v>
      </c>
      <c r="B361" s="148"/>
      <c r="C361" s="148"/>
      <c r="D361" s="148"/>
      <c r="E361" s="148"/>
      <c r="F361" s="148"/>
      <c r="G361" s="148" t="str">
        <f>VLOOKUP(G360,AB351:AD359,2,0)</f>
        <v>regular</v>
      </c>
      <c r="H361" s="148"/>
      <c r="I361" s="148"/>
      <c r="J361" s="148"/>
      <c r="K361" s="148"/>
      <c r="L361" s="148"/>
      <c r="M361" s="148"/>
      <c r="N361" s="74"/>
      <c r="O361" s="74"/>
      <c r="P361" s="74"/>
      <c r="Q361" s="74"/>
      <c r="R361" s="74"/>
      <c r="S361" s="74"/>
      <c r="T361" s="74"/>
      <c r="U361" s="74"/>
      <c r="V361" s="74"/>
    </row>
    <row r="362" spans="1:30" s="79" customFormat="1" ht="20.100000000000001" customHeight="1" x14ac:dyDescent="0.25">
      <c r="A362" s="148" t="s">
        <v>445</v>
      </c>
      <c r="B362" s="148"/>
      <c r="C362" s="148"/>
      <c r="D362" s="148"/>
      <c r="E362" s="148"/>
      <c r="F362" s="148"/>
      <c r="G362" s="190">
        <f>VLOOKUP(G360,AB351:AD359,3,0)</f>
        <v>2.52</v>
      </c>
      <c r="H362" s="190"/>
      <c r="I362" s="190"/>
      <c r="J362" s="190"/>
      <c r="K362" s="190"/>
      <c r="L362" s="190"/>
      <c r="M362" s="190"/>
      <c r="N362" s="74"/>
      <c r="O362" s="74"/>
      <c r="P362" s="74"/>
      <c r="Q362" s="74"/>
      <c r="R362" s="74"/>
      <c r="S362" s="74"/>
      <c r="T362" s="74"/>
      <c r="U362" s="74"/>
      <c r="V362" s="74"/>
    </row>
    <row r="363" spans="1:30" s="79" customFormat="1" ht="20.100000000000001" customHeight="1" x14ac:dyDescent="0.25">
      <c r="A363" s="74"/>
      <c r="B363" s="74"/>
      <c r="C363" s="74"/>
      <c r="D363" s="74"/>
      <c r="E363" s="74"/>
      <c r="F363" s="74"/>
      <c r="G363" s="74"/>
      <c r="H363" s="74"/>
      <c r="I363" s="74"/>
      <c r="J363" s="74"/>
      <c r="K363" s="74"/>
      <c r="L363" s="74"/>
      <c r="M363" s="74"/>
      <c r="N363" s="74"/>
      <c r="O363" s="74"/>
      <c r="P363" s="74"/>
      <c r="Q363" s="74"/>
      <c r="R363" s="74"/>
      <c r="S363" s="74"/>
      <c r="T363" s="74"/>
      <c r="U363" s="74"/>
      <c r="V363" s="74"/>
    </row>
    <row r="364" spans="1:30" s="79" customFormat="1" ht="20.100000000000001" customHeight="1" x14ac:dyDescent="0.25">
      <c r="A364" s="134" t="s">
        <v>446</v>
      </c>
      <c r="B364" s="134"/>
      <c r="C364" s="134"/>
      <c r="D364" s="134"/>
      <c r="E364" s="134"/>
      <c r="F364" s="134"/>
      <c r="G364" s="134"/>
      <c r="H364" s="134"/>
      <c r="I364" s="134"/>
      <c r="J364" s="134">
        <f>AA352+((1-AA352)*(G362/100))</f>
        <v>0.20424489795918366</v>
      </c>
      <c r="K364" s="134"/>
      <c r="L364" s="134"/>
      <c r="M364" s="134"/>
      <c r="N364" s="74"/>
      <c r="O364" s="74"/>
      <c r="P364" s="74"/>
      <c r="Q364" s="74"/>
      <c r="R364" s="74"/>
      <c r="S364" s="74"/>
      <c r="T364" s="74"/>
      <c r="U364" s="74"/>
      <c r="V364" s="74"/>
    </row>
    <row r="365" spans="1:30" s="79" customFormat="1" ht="20.100000000000001" customHeight="1" x14ac:dyDescent="0.25">
      <c r="A365" s="148" t="s">
        <v>447</v>
      </c>
      <c r="B365" s="148"/>
      <c r="C365" s="148"/>
      <c r="D365" s="148"/>
      <c r="E365" s="148"/>
      <c r="F365" s="148"/>
      <c r="G365" s="148"/>
      <c r="H365" s="148"/>
      <c r="I365" s="148"/>
      <c r="J365" s="185">
        <f>-(J364)</f>
        <v>-0.20424489795918366</v>
      </c>
      <c r="K365" s="185"/>
      <c r="L365" s="185"/>
      <c r="M365" s="185"/>
      <c r="N365" s="74"/>
      <c r="O365" s="74"/>
      <c r="P365" s="74"/>
      <c r="Q365" s="74"/>
      <c r="R365" s="74"/>
      <c r="S365" s="74"/>
      <c r="T365" s="74"/>
      <c r="U365" s="74"/>
      <c r="V365" s="74"/>
    </row>
    <row r="366" spans="1:30" s="79" customFormat="1" ht="20.100000000000001" customHeight="1" x14ac:dyDescent="0.25">
      <c r="A366" s="148" t="s">
        <v>448</v>
      </c>
      <c r="B366" s="148"/>
      <c r="C366" s="148"/>
      <c r="D366" s="148"/>
      <c r="E366" s="148"/>
      <c r="F366" s="148"/>
      <c r="G366" s="148"/>
      <c r="H366" s="148"/>
      <c r="I366" s="148"/>
      <c r="J366" s="180">
        <f>1+J365</f>
        <v>0.79575510204081634</v>
      </c>
      <c r="K366" s="180"/>
      <c r="L366" s="180"/>
      <c r="M366" s="180"/>
      <c r="N366" s="74"/>
      <c r="O366" s="74"/>
      <c r="P366" s="74"/>
      <c r="Q366" s="74"/>
      <c r="R366" s="74"/>
      <c r="S366" s="74"/>
      <c r="T366" s="74"/>
      <c r="U366" s="74"/>
      <c r="V366" s="74"/>
    </row>
    <row r="367" spans="1:30" s="79" customFormat="1" ht="20.100000000000001" customHeight="1" x14ac:dyDescent="0.25">
      <c r="A367" s="74"/>
      <c r="B367" s="74"/>
      <c r="C367" s="74"/>
      <c r="D367" s="74"/>
      <c r="E367" s="74"/>
      <c r="F367" s="74"/>
      <c r="G367" s="74"/>
      <c r="H367" s="74"/>
      <c r="I367" s="74"/>
      <c r="J367" s="74"/>
      <c r="K367" s="74"/>
      <c r="L367" s="74"/>
      <c r="M367" s="74"/>
      <c r="N367" s="74"/>
      <c r="O367" s="74"/>
      <c r="P367" s="74"/>
      <c r="Q367" s="74"/>
      <c r="R367" s="74"/>
      <c r="S367" s="74"/>
      <c r="T367" s="74"/>
      <c r="U367" s="74"/>
      <c r="V367" s="74"/>
    </row>
    <row r="368" spans="1:30" s="79" customFormat="1" ht="20.100000000000001" customHeight="1" x14ac:dyDescent="0.25">
      <c r="A368" s="74"/>
      <c r="B368" s="74"/>
      <c r="C368" s="74"/>
      <c r="D368" s="74"/>
      <c r="E368" s="74"/>
      <c r="F368" s="74"/>
      <c r="G368" s="74"/>
      <c r="H368" s="74"/>
      <c r="I368" s="74"/>
      <c r="J368" s="74"/>
      <c r="K368" s="74"/>
      <c r="L368" s="74"/>
      <c r="M368" s="74"/>
      <c r="N368" s="74"/>
      <c r="O368" s="74"/>
      <c r="P368" s="74"/>
      <c r="Q368" s="74"/>
      <c r="R368" s="74"/>
      <c r="S368" s="74"/>
      <c r="T368" s="74"/>
      <c r="U368" s="74"/>
      <c r="V368" s="74"/>
    </row>
    <row r="369" spans="1:24" s="79" customFormat="1" ht="20.100000000000001" customHeight="1" x14ac:dyDescent="0.25">
      <c r="A369" s="188" t="s">
        <v>427</v>
      </c>
      <c r="B369" s="188"/>
      <c r="C369" s="188"/>
      <c r="D369" s="188"/>
      <c r="E369" s="188"/>
      <c r="F369" s="188"/>
      <c r="G369" s="188"/>
      <c r="H369" s="188"/>
      <c r="I369" s="188"/>
      <c r="J369" s="188"/>
      <c r="K369" s="188"/>
      <c r="L369" s="188"/>
      <c r="M369" s="186">
        <f>M334</f>
        <v>258677.54500000001</v>
      </c>
      <c r="N369" s="186"/>
      <c r="O369" s="186"/>
      <c r="P369" s="186"/>
      <c r="Q369" s="186"/>
      <c r="R369" s="186"/>
      <c r="S369" s="186"/>
      <c r="T369" s="74"/>
      <c r="U369" s="74"/>
      <c r="V369" s="74"/>
    </row>
    <row r="370" spans="1:24" s="79" customFormat="1" ht="20.100000000000001" customHeight="1" x14ac:dyDescent="0.25">
      <c r="A370" s="188" t="s">
        <v>449</v>
      </c>
      <c r="B370" s="188"/>
      <c r="C370" s="188"/>
      <c r="D370" s="188"/>
      <c r="E370" s="188"/>
      <c r="F370" s="188"/>
      <c r="G370" s="188"/>
      <c r="H370" s="188"/>
      <c r="I370" s="188"/>
      <c r="J370" s="188"/>
      <c r="K370" s="188"/>
      <c r="L370" s="188"/>
      <c r="M370" s="186">
        <f>M369*J365</f>
        <v>-52833.568782857139</v>
      </c>
      <c r="N370" s="186"/>
      <c r="O370" s="186"/>
      <c r="P370" s="186"/>
      <c r="Q370" s="186"/>
      <c r="R370" s="186"/>
      <c r="S370" s="186"/>
      <c r="T370" s="74"/>
      <c r="U370" s="74"/>
      <c r="V370" s="74"/>
    </row>
    <row r="371" spans="1:24" s="79" customFormat="1" ht="20.100000000000001" customHeight="1" x14ac:dyDescent="0.25">
      <c r="A371" s="74"/>
      <c r="B371" s="74"/>
      <c r="C371" s="74"/>
      <c r="D371" s="74"/>
      <c r="E371" s="74"/>
      <c r="F371" s="74"/>
      <c r="G371" s="74"/>
      <c r="H371" s="74"/>
      <c r="I371" s="74"/>
      <c r="J371" s="74"/>
      <c r="K371" s="74"/>
      <c r="L371" s="74"/>
      <c r="M371" s="74"/>
      <c r="N371" s="74"/>
      <c r="O371" s="74"/>
      <c r="P371" s="74"/>
      <c r="Q371" s="74"/>
      <c r="R371" s="74"/>
      <c r="S371" s="74"/>
      <c r="T371" s="74"/>
      <c r="U371" s="74"/>
      <c r="V371" s="74"/>
    </row>
    <row r="372" spans="1:24" s="79" customFormat="1" ht="20.100000000000001" customHeight="1" x14ac:dyDescent="0.25">
      <c r="A372" s="183" t="s">
        <v>450</v>
      </c>
      <c r="B372" s="183"/>
      <c r="C372" s="183"/>
      <c r="D372" s="183"/>
      <c r="E372" s="183"/>
      <c r="F372" s="183"/>
      <c r="G372" s="183"/>
      <c r="H372" s="183"/>
      <c r="I372" s="183"/>
      <c r="J372" s="183"/>
      <c r="K372" s="183"/>
      <c r="L372" s="183"/>
      <c r="M372" s="186">
        <f>M369+M370</f>
        <v>205843.97621714289</v>
      </c>
      <c r="N372" s="186"/>
      <c r="O372" s="186"/>
      <c r="P372" s="186"/>
      <c r="Q372" s="186"/>
      <c r="R372" s="186"/>
      <c r="S372" s="186"/>
      <c r="T372" s="74"/>
      <c r="U372" s="74"/>
      <c r="V372" s="74"/>
    </row>
    <row r="373" spans="1:24" s="79" customFormat="1" ht="20.100000000000001" customHeight="1" x14ac:dyDescent="0.25">
      <c r="A373" s="74"/>
      <c r="B373" s="74"/>
      <c r="C373" s="74"/>
      <c r="D373" s="74"/>
      <c r="E373" s="74"/>
      <c r="F373" s="74"/>
      <c r="G373" s="74"/>
      <c r="H373" s="74"/>
      <c r="I373" s="74"/>
      <c r="J373" s="74"/>
      <c r="K373" s="74"/>
      <c r="L373" s="74"/>
      <c r="M373" s="74"/>
      <c r="N373" s="74"/>
      <c r="O373" s="74"/>
      <c r="P373" s="74"/>
      <c r="Q373" s="74"/>
      <c r="R373" s="74"/>
      <c r="S373" s="74"/>
      <c r="T373" s="74"/>
      <c r="U373" s="74"/>
      <c r="V373" s="74"/>
    </row>
    <row r="374" spans="1:24" s="79" customFormat="1" ht="20.100000000000001" customHeight="1" thickBot="1" x14ac:dyDescent="0.3">
      <c r="A374" s="84"/>
      <c r="B374" s="84"/>
      <c r="C374" s="84"/>
      <c r="D374" s="84"/>
      <c r="E374" s="84"/>
      <c r="F374" s="84"/>
      <c r="G374" s="84"/>
      <c r="H374" s="84"/>
      <c r="I374" s="84"/>
      <c r="J374" s="84"/>
      <c r="K374" s="84"/>
      <c r="L374" s="84"/>
      <c r="M374" s="84"/>
      <c r="N374" s="84"/>
      <c r="O374" s="84"/>
      <c r="P374" s="84"/>
      <c r="Q374" s="84"/>
      <c r="R374" s="84"/>
      <c r="S374" s="84"/>
      <c r="T374" s="74"/>
      <c r="U374" s="74"/>
      <c r="V374" s="74"/>
    </row>
    <row r="375" spans="1:24" s="79" customFormat="1" ht="20.100000000000001" customHeight="1" x14ac:dyDescent="0.25">
      <c r="A375" s="74"/>
      <c r="B375" s="74"/>
      <c r="C375" s="74"/>
      <c r="D375" s="74"/>
      <c r="E375" s="74"/>
      <c r="F375" s="74"/>
      <c r="G375" s="74"/>
      <c r="H375" s="74"/>
      <c r="I375" s="74"/>
      <c r="J375" s="74"/>
      <c r="K375" s="74"/>
      <c r="L375" s="74"/>
      <c r="M375" s="74"/>
      <c r="N375" s="74"/>
      <c r="O375" s="74"/>
      <c r="P375" s="74"/>
      <c r="Q375" s="74"/>
      <c r="R375" s="74"/>
      <c r="S375" s="74"/>
      <c r="T375" s="74"/>
      <c r="U375" s="74"/>
      <c r="V375" s="74"/>
    </row>
    <row r="376" spans="1:24" s="79" customFormat="1" ht="20.100000000000001" customHeight="1" x14ac:dyDescent="0.25">
      <c r="A376" s="187" t="s">
        <v>451</v>
      </c>
      <c r="B376" s="187"/>
      <c r="C376" s="187"/>
      <c r="D376" s="187"/>
      <c r="E376" s="187"/>
      <c r="F376" s="187"/>
      <c r="G376" s="187"/>
      <c r="H376" s="187"/>
      <c r="I376" s="187"/>
      <c r="J376" s="187"/>
      <c r="K376" s="187"/>
      <c r="L376" s="187"/>
      <c r="M376" s="187"/>
      <c r="N376" s="187"/>
      <c r="O376" s="187"/>
      <c r="P376" s="187"/>
      <c r="Q376" s="187"/>
      <c r="R376" s="187"/>
      <c r="S376" s="187"/>
      <c r="T376" s="74"/>
      <c r="U376" s="74"/>
      <c r="V376" s="74"/>
      <c r="W376" s="201" t="s">
        <v>452</v>
      </c>
      <c r="X376" s="201"/>
    </row>
    <row r="377" spans="1:24" s="79" customFormat="1" ht="20.100000000000001" customHeight="1" x14ac:dyDescent="0.25">
      <c r="A377" s="181" t="s">
        <v>453</v>
      </c>
      <c r="B377" s="181"/>
      <c r="C377" s="181"/>
      <c r="D377" s="181"/>
      <c r="E377" s="80"/>
      <c r="F377" s="80"/>
      <c r="G377" s="80"/>
      <c r="H377" s="80"/>
      <c r="I377" s="80"/>
      <c r="J377" s="80"/>
      <c r="K377" s="80"/>
      <c r="L377" s="181" t="s">
        <v>293</v>
      </c>
      <c r="M377" s="181"/>
      <c r="N377" s="181"/>
      <c r="O377" s="181"/>
      <c r="P377" s="181"/>
      <c r="Q377" s="181"/>
      <c r="R377" s="181"/>
      <c r="S377" s="181"/>
      <c r="T377" s="74"/>
      <c r="U377" s="74"/>
      <c r="V377" s="74"/>
      <c r="W377" s="85" t="s">
        <v>290</v>
      </c>
      <c r="X377" s="86">
        <f>MATCH(L377,'VANTAGEM DA COISA FEITA'!$AN$11:$AQ$11,0)</f>
        <v>3</v>
      </c>
    </row>
    <row r="378" spans="1:24" s="79" customFormat="1" ht="20.100000000000001" customHeight="1" x14ac:dyDescent="0.25">
      <c r="A378" s="148" t="s">
        <v>454</v>
      </c>
      <c r="B378" s="148"/>
      <c r="C378" s="148"/>
      <c r="D378" s="148"/>
      <c r="E378" s="81"/>
      <c r="F378" s="81"/>
      <c r="G378" s="81"/>
      <c r="H378" s="81"/>
      <c r="I378" s="81"/>
      <c r="J378" s="81"/>
      <c r="K378" s="81"/>
      <c r="L378" s="91">
        <f>F338</f>
        <v>20</v>
      </c>
      <c r="M378" s="81" t="s">
        <v>455</v>
      </c>
      <c r="N378" s="81"/>
      <c r="O378" s="81"/>
      <c r="P378" s="81"/>
      <c r="Q378" s="81"/>
      <c r="R378" s="81"/>
      <c r="S378" s="81"/>
      <c r="T378" s="74"/>
      <c r="U378" s="74"/>
      <c r="V378" s="74"/>
      <c r="W378" s="85" t="s">
        <v>292</v>
      </c>
      <c r="X378" s="86">
        <f>MATCH(L378,'VANTAGEM DA COISA FEITA'!$AM$12:$AM$81,0)</f>
        <v>20</v>
      </c>
    </row>
    <row r="379" spans="1:24" s="79" customFormat="1" ht="20.100000000000001" customHeight="1" x14ac:dyDescent="0.25">
      <c r="A379" s="74"/>
      <c r="B379" s="74"/>
      <c r="C379" s="74"/>
      <c r="D379" s="74"/>
      <c r="E379" s="74"/>
      <c r="F379" s="74"/>
      <c r="G379" s="74"/>
      <c r="H379" s="74"/>
      <c r="I379" s="74"/>
      <c r="J379" s="74"/>
      <c r="K379" s="74"/>
      <c r="L379" s="74"/>
      <c r="M379" s="74"/>
      <c r="N379" s="74"/>
      <c r="O379" s="74"/>
      <c r="P379" s="74"/>
      <c r="Q379" s="74"/>
      <c r="R379" s="74"/>
      <c r="S379" s="74"/>
      <c r="T379" s="74"/>
      <c r="U379" s="74"/>
      <c r="V379" s="74"/>
      <c r="X379" s="87" cm="1">
        <f t="array" ref="X379">INDEX('VANTAGEM DA COISA FEITA'!$AN$12:$AQ$81,X378,X377)</f>
        <v>5.2000000000000005E-2</v>
      </c>
    </row>
    <row r="380" spans="1:24" s="79" customFormat="1" ht="20.100000000000001" customHeight="1" x14ac:dyDescent="0.25">
      <c r="A380" s="181" t="s">
        <v>456</v>
      </c>
      <c r="B380" s="181"/>
      <c r="C380" s="181"/>
      <c r="D380" s="181"/>
      <c r="E380" s="181"/>
      <c r="F380" s="181"/>
      <c r="G380" s="181"/>
      <c r="H380" s="181"/>
      <c r="I380" s="181"/>
      <c r="J380" s="181"/>
      <c r="K380" s="181"/>
      <c r="L380" s="181"/>
      <c r="M380" s="186">
        <f>N319</f>
        <v>179225.39682539681</v>
      </c>
      <c r="N380" s="186"/>
      <c r="O380" s="186"/>
      <c r="P380" s="186"/>
      <c r="Q380" s="186"/>
      <c r="R380" s="186"/>
      <c r="S380" s="186"/>
      <c r="T380" s="74"/>
      <c r="U380" s="74"/>
      <c r="V380" s="74"/>
    </row>
    <row r="381" spans="1:24" s="79" customFormat="1" ht="20.100000000000001" customHeight="1" x14ac:dyDescent="0.25">
      <c r="A381" s="181" t="s">
        <v>457</v>
      </c>
      <c r="B381" s="181"/>
      <c r="C381" s="181"/>
      <c r="D381" s="181"/>
      <c r="E381" s="181"/>
      <c r="F381" s="181"/>
      <c r="G381" s="181"/>
      <c r="H381" s="181"/>
      <c r="I381" s="181"/>
      <c r="J381" s="181"/>
      <c r="K381" s="181"/>
      <c r="L381" s="181"/>
      <c r="M381" s="186">
        <f>M372</f>
        <v>205843.97621714289</v>
      </c>
      <c r="N381" s="186"/>
      <c r="O381" s="186"/>
      <c r="P381" s="186"/>
      <c r="Q381" s="186"/>
      <c r="R381" s="186"/>
      <c r="S381" s="186"/>
      <c r="T381" s="74"/>
      <c r="U381" s="74"/>
      <c r="V381" s="74"/>
    </row>
    <row r="382" spans="1:24" s="79" customFormat="1" ht="20.100000000000001" customHeight="1" x14ac:dyDescent="0.25">
      <c r="A382" s="74"/>
      <c r="B382" s="74"/>
      <c r="C382" s="74"/>
      <c r="D382" s="74"/>
      <c r="E382" s="74"/>
      <c r="F382" s="74"/>
      <c r="G382" s="74"/>
      <c r="H382" s="74"/>
      <c r="I382" s="74"/>
      <c r="J382" s="74"/>
      <c r="K382" s="74"/>
      <c r="L382" s="74"/>
      <c r="M382" s="74"/>
      <c r="N382" s="74"/>
      <c r="O382" s="74"/>
      <c r="P382" s="74"/>
      <c r="Q382" s="74"/>
      <c r="R382" s="74"/>
      <c r="S382" s="74"/>
      <c r="T382" s="74"/>
      <c r="U382" s="74"/>
      <c r="V382" s="74"/>
    </row>
    <row r="383" spans="1:24" s="79" customFormat="1" ht="20.100000000000001" customHeight="1" x14ac:dyDescent="0.25">
      <c r="A383" s="181" t="s">
        <v>458</v>
      </c>
      <c r="B383" s="181"/>
      <c r="C383" s="181"/>
      <c r="D383" s="181"/>
      <c r="E383" s="181"/>
      <c r="F383" s="181"/>
      <c r="G383" s="181"/>
      <c r="H383" s="181"/>
      <c r="I383" s="181"/>
      <c r="J383" s="181"/>
      <c r="K383" s="181"/>
      <c r="L383" s="181"/>
      <c r="M383" s="186">
        <f>M380+M381</f>
        <v>385069.37304253969</v>
      </c>
      <c r="N383" s="186"/>
      <c r="O383" s="186"/>
      <c r="P383" s="186"/>
      <c r="Q383" s="186"/>
      <c r="R383" s="186"/>
      <c r="S383" s="186"/>
      <c r="T383" s="74"/>
      <c r="U383" s="74"/>
      <c r="V383" s="74"/>
    </row>
    <row r="384" spans="1:24" s="79" customFormat="1" ht="20.100000000000001" customHeight="1" x14ac:dyDescent="0.25">
      <c r="A384" s="181" t="s">
        <v>459</v>
      </c>
      <c r="B384" s="181"/>
      <c r="C384" s="181"/>
      <c r="D384" s="181"/>
      <c r="E384" s="181"/>
      <c r="F384" s="181"/>
      <c r="G384" s="181"/>
      <c r="H384" s="181"/>
      <c r="I384" s="181"/>
      <c r="J384" s="181"/>
      <c r="K384" s="181"/>
      <c r="L384" s="181"/>
      <c r="M384" s="202">
        <f>1+X379</f>
        <v>1.052</v>
      </c>
      <c r="N384" s="202"/>
      <c r="O384" s="202"/>
      <c r="P384" s="202"/>
      <c r="Q384" s="202"/>
      <c r="R384" s="202"/>
      <c r="S384" s="202"/>
      <c r="T384" s="74"/>
      <c r="U384" s="74"/>
      <c r="V384" s="74"/>
    </row>
    <row r="385" spans="1:25" s="79" customFormat="1" ht="20.100000000000001" customHeight="1" x14ac:dyDescent="0.25">
      <c r="A385" s="74"/>
      <c r="B385" s="74"/>
      <c r="C385" s="74"/>
      <c r="D385" s="74"/>
      <c r="E385" s="74"/>
      <c r="F385" s="74"/>
      <c r="G385" s="74"/>
      <c r="H385" s="74"/>
      <c r="I385" s="74"/>
      <c r="J385" s="74"/>
      <c r="K385" s="74"/>
      <c r="L385" s="74"/>
      <c r="M385" s="74"/>
      <c r="N385" s="74"/>
      <c r="O385" s="74"/>
      <c r="P385" s="74"/>
      <c r="Q385" s="74"/>
      <c r="R385" s="74"/>
      <c r="S385" s="74"/>
      <c r="T385" s="74"/>
      <c r="U385" s="74"/>
      <c r="V385" s="74"/>
      <c r="W385" s="79" t="s">
        <v>460</v>
      </c>
      <c r="X385" s="87">
        <f>Y385/(SUM($Y$385:$Y$386))</f>
        <v>0.46543664433576565</v>
      </c>
      <c r="Y385" s="88">
        <f>M380</f>
        <v>179225.39682539681</v>
      </c>
    </row>
    <row r="386" spans="1:25" s="79" customFormat="1" ht="20.100000000000001" customHeight="1" x14ac:dyDescent="0.25">
      <c r="A386" s="181" t="s">
        <v>461</v>
      </c>
      <c r="B386" s="181"/>
      <c r="C386" s="181"/>
      <c r="D386" s="181"/>
      <c r="E386" s="181"/>
      <c r="F386" s="181"/>
      <c r="G386" s="181"/>
      <c r="H386" s="181"/>
      <c r="I386" s="181"/>
      <c r="J386" s="181"/>
      <c r="K386" s="181"/>
      <c r="L386" s="181"/>
      <c r="M386" s="186">
        <f>M383*M384</f>
        <v>405092.98044075177</v>
      </c>
      <c r="N386" s="186"/>
      <c r="O386" s="186"/>
      <c r="P386" s="186"/>
      <c r="Q386" s="186"/>
      <c r="R386" s="186"/>
      <c r="S386" s="186"/>
      <c r="T386" s="74"/>
      <c r="U386" s="74"/>
      <c r="V386" s="74"/>
      <c r="W386" s="79" t="s">
        <v>462</v>
      </c>
      <c r="X386" s="87">
        <f>Y386/(SUM($Y$385:$Y$386))</f>
        <v>0.53456335566423441</v>
      </c>
      <c r="Y386" s="88">
        <f>M381</f>
        <v>205843.97621714289</v>
      </c>
    </row>
    <row r="387" spans="1:25" s="79" customFormat="1" ht="20.100000000000001" customHeight="1" x14ac:dyDescent="0.25">
      <c r="A387" s="74"/>
      <c r="B387" s="74"/>
      <c r="C387" s="74"/>
      <c r="D387" s="74"/>
      <c r="E387" s="74"/>
      <c r="F387" s="74"/>
      <c r="G387" s="74"/>
      <c r="H387" s="74"/>
      <c r="I387" s="74"/>
      <c r="J387" s="74"/>
      <c r="K387" s="74"/>
      <c r="L387" s="74"/>
      <c r="M387" s="74"/>
      <c r="N387" s="74"/>
      <c r="O387" s="74"/>
      <c r="P387" s="74"/>
      <c r="Q387" s="74"/>
      <c r="R387" s="74"/>
      <c r="S387" s="74"/>
      <c r="T387" s="74"/>
      <c r="U387" s="74"/>
      <c r="V387" s="74"/>
    </row>
    <row r="388" spans="1:25" s="79" customFormat="1" ht="20.100000000000001" customHeight="1" x14ac:dyDescent="0.25">
      <c r="A388" s="74"/>
      <c r="B388" s="74"/>
      <c r="C388" s="74"/>
      <c r="D388" s="74"/>
      <c r="E388" s="74"/>
      <c r="F388" s="74"/>
      <c r="G388" s="74"/>
      <c r="H388" s="74"/>
      <c r="I388" s="74"/>
      <c r="J388" s="74"/>
      <c r="K388" s="74"/>
      <c r="L388" s="74"/>
      <c r="M388" s="74"/>
      <c r="N388" s="74"/>
      <c r="O388" s="74"/>
      <c r="P388" s="74"/>
      <c r="Q388" s="74"/>
      <c r="R388" s="74"/>
      <c r="S388" s="74"/>
      <c r="T388" s="74"/>
      <c r="U388" s="74"/>
      <c r="V388" s="74"/>
    </row>
    <row r="389" spans="1:25" s="79" customFormat="1" ht="20.100000000000001" customHeight="1" x14ac:dyDescent="0.25">
      <c r="A389" s="181" t="s">
        <v>463</v>
      </c>
      <c r="B389" s="181"/>
      <c r="C389" s="181"/>
      <c r="D389" s="181"/>
      <c r="E389" s="181"/>
      <c r="F389" s="181"/>
      <c r="G389" s="181"/>
      <c r="H389" s="181"/>
      <c r="I389" s="181"/>
      <c r="J389" s="181"/>
      <c r="K389" s="181"/>
      <c r="L389" s="181"/>
      <c r="M389" s="181"/>
      <c r="N389" s="181"/>
      <c r="O389" s="181"/>
      <c r="P389" s="181"/>
      <c r="Q389" s="181"/>
      <c r="R389" s="181"/>
      <c r="S389" s="181"/>
      <c r="T389" s="74"/>
      <c r="U389" s="74"/>
      <c r="V389" s="74"/>
    </row>
    <row r="390" spans="1:25" s="79" customFormat="1" ht="20.100000000000001" customHeight="1" x14ac:dyDescent="0.25">
      <c r="A390" s="74"/>
      <c r="B390" s="74"/>
      <c r="C390" s="74"/>
      <c r="D390" s="74"/>
      <c r="E390" s="74"/>
      <c r="F390" s="74"/>
      <c r="G390" s="74"/>
      <c r="H390" s="74"/>
      <c r="I390" s="74"/>
      <c r="J390" s="74"/>
      <c r="K390" s="74"/>
      <c r="L390" s="74"/>
      <c r="M390" s="74"/>
      <c r="N390" s="74"/>
      <c r="O390" s="74"/>
      <c r="P390" s="74"/>
      <c r="Q390" s="74"/>
      <c r="R390" s="74"/>
      <c r="S390" s="74"/>
      <c r="T390" s="74"/>
      <c r="U390" s="74"/>
      <c r="V390" s="74"/>
    </row>
    <row r="391" spans="1:25" s="79" customFormat="1" ht="20.100000000000001" customHeight="1" x14ac:dyDescent="0.25">
      <c r="A391" s="74"/>
      <c r="B391" s="74"/>
      <c r="C391" s="74"/>
      <c r="D391" s="74"/>
      <c r="E391" s="74"/>
      <c r="F391" s="74"/>
      <c r="G391" s="74"/>
      <c r="H391" s="74"/>
      <c r="I391" s="74"/>
      <c r="J391" s="74"/>
      <c r="K391" s="74"/>
      <c r="L391" s="74"/>
      <c r="M391" s="74"/>
      <c r="N391" s="74"/>
      <c r="O391" s="74"/>
      <c r="P391" s="74"/>
      <c r="Q391" s="74"/>
      <c r="R391" s="74"/>
      <c r="S391" s="74"/>
      <c r="T391" s="74"/>
      <c r="U391" s="74"/>
      <c r="V391" s="74"/>
    </row>
    <row r="392" spans="1:25" s="79" customFormat="1" ht="20.100000000000001" customHeight="1" x14ac:dyDescent="0.25">
      <c r="A392" s="74"/>
      <c r="B392" s="74"/>
      <c r="C392" s="74"/>
      <c r="D392" s="74"/>
      <c r="E392" s="74"/>
      <c r="F392" s="74"/>
      <c r="G392" s="74"/>
      <c r="H392" s="74"/>
      <c r="I392" s="74"/>
      <c r="J392" s="74"/>
      <c r="K392" s="74"/>
      <c r="L392" s="74"/>
      <c r="M392" s="74"/>
      <c r="N392" s="74"/>
      <c r="O392" s="74"/>
      <c r="P392" s="74"/>
      <c r="Q392" s="74"/>
      <c r="R392" s="74"/>
      <c r="S392" s="74"/>
      <c r="T392" s="74"/>
      <c r="U392" s="74"/>
      <c r="V392" s="74"/>
    </row>
    <row r="393" spans="1:25" s="79" customFormat="1" ht="20.100000000000001" customHeight="1" x14ac:dyDescent="0.25">
      <c r="A393" s="74"/>
      <c r="B393" s="74"/>
      <c r="C393" s="74"/>
      <c r="D393" s="74"/>
      <c r="E393" s="74"/>
      <c r="F393" s="74"/>
      <c r="G393" s="74"/>
      <c r="H393" s="74"/>
      <c r="I393" s="74"/>
      <c r="J393" s="74"/>
      <c r="K393" s="74"/>
      <c r="L393" s="74"/>
      <c r="M393" s="74"/>
      <c r="N393" s="74"/>
      <c r="O393" s="74"/>
      <c r="P393" s="74"/>
      <c r="Q393" s="74"/>
      <c r="R393" s="74"/>
      <c r="S393" s="74"/>
      <c r="T393" s="74"/>
      <c r="U393" s="74"/>
      <c r="V393" s="74"/>
    </row>
    <row r="394" spans="1:25" s="79" customFormat="1" ht="20.100000000000001" customHeight="1" x14ac:dyDescent="0.25">
      <c r="A394" s="74"/>
      <c r="B394" s="74"/>
      <c r="C394" s="74"/>
      <c r="D394" s="74"/>
      <c r="E394" s="74"/>
      <c r="F394" s="74"/>
      <c r="G394" s="74"/>
      <c r="H394" s="74"/>
      <c r="I394" s="74"/>
      <c r="J394" s="74"/>
      <c r="K394" s="74"/>
      <c r="L394" s="74"/>
      <c r="M394" s="74"/>
      <c r="N394" s="74"/>
      <c r="O394" s="74"/>
      <c r="P394" s="74"/>
      <c r="Q394" s="74"/>
      <c r="R394" s="74"/>
      <c r="S394" s="74"/>
      <c r="T394" s="74"/>
      <c r="U394" s="74"/>
      <c r="V394" s="74"/>
    </row>
    <row r="395" spans="1:25" s="79" customFormat="1" ht="20.100000000000001" customHeight="1" x14ac:dyDescent="0.25">
      <c r="A395" s="74"/>
      <c r="B395" s="74"/>
      <c r="C395" s="74"/>
      <c r="D395" s="74"/>
      <c r="E395" s="74"/>
      <c r="F395" s="74"/>
      <c r="G395" s="74"/>
      <c r="H395" s="74"/>
      <c r="I395" s="74"/>
      <c r="J395" s="74"/>
      <c r="K395" s="74"/>
      <c r="L395" s="74"/>
      <c r="M395" s="74"/>
      <c r="N395" s="74"/>
      <c r="O395" s="74"/>
      <c r="P395" s="74"/>
      <c r="Q395" s="74"/>
      <c r="R395" s="74"/>
      <c r="S395" s="74"/>
      <c r="T395" s="74"/>
      <c r="U395" s="74"/>
      <c r="V395" s="74"/>
    </row>
    <row r="396" spans="1:25" s="79" customFormat="1" ht="20.100000000000001" customHeight="1" x14ac:dyDescent="0.25">
      <c r="A396" s="89"/>
      <c r="B396" s="89"/>
      <c r="C396" s="89"/>
      <c r="D396" s="89"/>
      <c r="E396" s="89"/>
      <c r="F396" s="89"/>
      <c r="G396" s="89"/>
      <c r="H396" s="89"/>
      <c r="I396" s="89"/>
      <c r="J396" s="89"/>
      <c r="K396" s="89"/>
      <c r="L396" s="89"/>
      <c r="M396" s="89"/>
      <c r="N396" s="89"/>
      <c r="O396" s="89"/>
      <c r="P396" s="74"/>
      <c r="Q396" s="89"/>
      <c r="R396" s="89"/>
      <c r="S396" s="89"/>
      <c r="T396" s="74"/>
      <c r="U396" s="74"/>
      <c r="V396" s="74"/>
    </row>
    <row r="397" spans="1:25" s="79" customFormat="1" ht="20.100000000000001" customHeight="1" x14ac:dyDescent="0.25">
      <c r="A397" s="74"/>
      <c r="B397" s="74"/>
      <c r="C397" s="74"/>
      <c r="D397" s="74"/>
      <c r="E397" s="74"/>
      <c r="F397" s="74"/>
      <c r="G397" s="74"/>
      <c r="H397" s="74"/>
      <c r="I397" s="74"/>
      <c r="J397" s="74"/>
      <c r="K397" s="74"/>
      <c r="L397" s="74"/>
      <c r="M397" s="74"/>
      <c r="N397" s="74"/>
      <c r="O397" s="74"/>
      <c r="P397" s="74"/>
      <c r="Q397" s="74"/>
      <c r="R397" s="74"/>
      <c r="S397" s="74"/>
      <c r="T397" s="74"/>
      <c r="U397" s="74"/>
      <c r="V397" s="74"/>
    </row>
    <row r="398" spans="1:25" s="79" customFormat="1" ht="20.100000000000001" customHeight="1" x14ac:dyDescent="0.25">
      <c r="A398" s="74"/>
      <c r="B398" s="74"/>
      <c r="C398" s="74"/>
      <c r="D398" s="74"/>
      <c r="E398" s="74"/>
      <c r="F398" s="74"/>
      <c r="G398" s="74"/>
      <c r="H398" s="74"/>
      <c r="I398" s="74"/>
      <c r="J398" s="74"/>
      <c r="K398" s="74"/>
      <c r="L398" s="74"/>
      <c r="M398" s="74"/>
      <c r="N398" s="74"/>
      <c r="O398" s="74"/>
      <c r="P398" s="74"/>
      <c r="Q398" s="74"/>
      <c r="R398" s="74"/>
      <c r="S398" s="74"/>
      <c r="T398" s="74"/>
      <c r="U398" s="74"/>
      <c r="V398" s="74"/>
    </row>
    <row r="399" spans="1:25" s="79" customFormat="1" ht="20.100000000000001" customHeight="1" x14ac:dyDescent="0.25">
      <c r="A399" s="74"/>
      <c r="B399" s="74"/>
      <c r="C399" s="74"/>
      <c r="D399" s="74"/>
      <c r="E399" s="74"/>
      <c r="F399" s="74"/>
      <c r="G399" s="74"/>
      <c r="H399" s="74"/>
      <c r="I399" s="74"/>
      <c r="J399" s="74"/>
      <c r="K399" s="74"/>
      <c r="L399" s="74"/>
      <c r="M399" s="74"/>
      <c r="N399" s="74"/>
      <c r="O399" s="74"/>
      <c r="P399" s="74"/>
      <c r="Q399" s="74"/>
      <c r="R399" s="74"/>
      <c r="S399" s="74"/>
      <c r="T399" s="74"/>
      <c r="U399" s="74"/>
      <c r="V399" s="74"/>
    </row>
    <row r="400" spans="1:25" s="79" customFormat="1" ht="20.100000000000001" customHeight="1" x14ac:dyDescent="0.25">
      <c r="A400" s="74"/>
      <c r="B400" s="74"/>
      <c r="C400" s="74"/>
      <c r="D400" s="74"/>
      <c r="E400" s="74"/>
      <c r="F400" s="74"/>
      <c r="G400" s="74"/>
      <c r="H400" s="74"/>
      <c r="I400" s="74"/>
      <c r="J400" s="74"/>
      <c r="K400" s="74"/>
      <c r="L400" s="74"/>
      <c r="M400" s="74"/>
      <c r="N400" s="74"/>
      <c r="O400" s="74"/>
      <c r="P400" s="74"/>
      <c r="Q400" s="74"/>
      <c r="R400" s="74"/>
      <c r="S400" s="74"/>
      <c r="T400" s="74"/>
      <c r="U400" s="74"/>
      <c r="V400" s="74"/>
    </row>
    <row r="401" spans="1:22" s="79" customFormat="1" ht="20.100000000000001" customHeight="1" x14ac:dyDescent="0.25">
      <c r="A401" s="74"/>
      <c r="B401" s="74"/>
      <c r="C401" s="74"/>
      <c r="D401" s="74"/>
      <c r="E401" s="74"/>
      <c r="F401" s="74"/>
      <c r="G401" s="74"/>
      <c r="H401" s="74"/>
      <c r="I401" s="74"/>
      <c r="J401" s="74"/>
      <c r="K401" s="74"/>
      <c r="L401" s="74"/>
      <c r="M401" s="74"/>
      <c r="N401" s="74"/>
      <c r="O401" s="74"/>
      <c r="P401" s="74"/>
      <c r="Q401" s="74"/>
      <c r="R401" s="74"/>
      <c r="S401" s="74"/>
      <c r="T401" s="74"/>
      <c r="U401" s="74"/>
      <c r="V401" s="74"/>
    </row>
    <row r="402" spans="1:22" s="79" customFormat="1" ht="20.100000000000001" customHeight="1" x14ac:dyDescent="0.25">
      <c r="A402" s="74"/>
      <c r="B402" s="74"/>
      <c r="C402" s="74"/>
      <c r="D402" s="74"/>
      <c r="E402" s="74"/>
      <c r="F402" s="74"/>
      <c r="G402" s="74"/>
      <c r="H402" s="74"/>
      <c r="I402" s="74"/>
      <c r="J402" s="74"/>
      <c r="K402" s="74"/>
      <c r="L402" s="74"/>
      <c r="M402" s="74"/>
      <c r="N402" s="74"/>
      <c r="O402" s="74"/>
      <c r="P402" s="74"/>
      <c r="Q402" s="74"/>
      <c r="R402" s="74"/>
      <c r="S402" s="74"/>
      <c r="T402" s="74"/>
      <c r="U402" s="74"/>
      <c r="V402" s="74"/>
    </row>
    <row r="403" spans="1:22" s="79" customFormat="1" ht="20.100000000000001" customHeight="1" x14ac:dyDescent="0.25">
      <c r="A403" s="187" t="s">
        <v>76</v>
      </c>
      <c r="B403" s="187"/>
      <c r="C403" s="187"/>
      <c r="D403" s="187"/>
      <c r="E403" s="187"/>
      <c r="F403" s="187"/>
      <c r="G403" s="187"/>
      <c r="H403" s="187"/>
      <c r="I403" s="187"/>
      <c r="J403" s="187"/>
      <c r="K403" s="187"/>
      <c r="L403" s="187"/>
      <c r="M403" s="134"/>
      <c r="N403" s="134"/>
      <c r="O403" s="134"/>
      <c r="P403" s="134"/>
      <c r="Q403" s="134"/>
      <c r="R403" s="134"/>
      <c r="S403" s="134"/>
      <c r="T403" s="74"/>
      <c r="U403" s="74"/>
      <c r="V403" s="74"/>
    </row>
    <row r="404" spans="1:22" s="79" customFormat="1" ht="20.100000000000001" customHeight="1" x14ac:dyDescent="0.25">
      <c r="A404" s="181" t="s">
        <v>77</v>
      </c>
      <c r="B404" s="181"/>
      <c r="C404" s="181"/>
      <c r="D404" s="181"/>
      <c r="E404" s="181"/>
      <c r="F404" s="181"/>
      <c r="G404" s="181"/>
      <c r="H404" s="181"/>
      <c r="I404" s="181"/>
      <c r="J404" s="181"/>
      <c r="K404" s="181"/>
      <c r="L404" s="181"/>
      <c r="M404" s="189">
        <v>3</v>
      </c>
      <c r="N404" s="189"/>
      <c r="O404" s="189"/>
      <c r="P404" s="189"/>
      <c r="Q404" s="189"/>
      <c r="R404" s="189"/>
      <c r="S404" s="189"/>
      <c r="T404" s="134" t="str">
        <f>IF(M406&gt;0.01,"Reduzir o número de casas decimais","")</f>
        <v/>
      </c>
      <c r="U404" s="134"/>
      <c r="V404" s="74"/>
    </row>
    <row r="405" spans="1:22" s="79" customFormat="1" ht="20.100000000000001" customHeight="1" x14ac:dyDescent="0.25">
      <c r="A405" s="148" t="s">
        <v>78</v>
      </c>
      <c r="B405" s="148"/>
      <c r="C405" s="148"/>
      <c r="D405" s="148"/>
      <c r="E405" s="148"/>
      <c r="F405" s="148"/>
      <c r="G405" s="148"/>
      <c r="H405" s="148"/>
      <c r="I405" s="148"/>
      <c r="J405" s="148"/>
      <c r="K405" s="148"/>
      <c r="L405" s="148"/>
      <c r="M405" s="197">
        <f>M408-M386</f>
        <v>907.01955924823415</v>
      </c>
      <c r="N405" s="148"/>
      <c r="O405" s="148"/>
      <c r="P405" s="148"/>
      <c r="Q405" s="148"/>
      <c r="R405" s="148"/>
      <c r="S405" s="148"/>
      <c r="T405" s="74"/>
      <c r="U405" s="74"/>
      <c r="V405" s="74"/>
    </row>
    <row r="406" spans="1:22" s="79" customFormat="1" ht="20.100000000000001" customHeight="1" x14ac:dyDescent="0.25">
      <c r="A406" s="148" t="s">
        <v>79</v>
      </c>
      <c r="B406" s="148"/>
      <c r="C406" s="148"/>
      <c r="D406" s="148"/>
      <c r="E406" s="148"/>
      <c r="F406" s="148"/>
      <c r="G406" s="148"/>
      <c r="H406" s="148"/>
      <c r="I406" s="148"/>
      <c r="J406" s="148"/>
      <c r="K406" s="148"/>
      <c r="L406" s="148"/>
      <c r="M406" s="200">
        <f>M405/M386</f>
        <v>2.2390404253891864E-3</v>
      </c>
      <c r="N406" s="200"/>
      <c r="O406" s="200"/>
      <c r="P406" s="200"/>
      <c r="Q406" s="200"/>
      <c r="R406" s="200"/>
      <c r="S406" s="200"/>
      <c r="T406" s="74"/>
      <c r="U406" s="74"/>
      <c r="V406" s="74"/>
    </row>
    <row r="407" spans="1:22" s="79" customFormat="1" ht="20.100000000000001" customHeight="1" x14ac:dyDescent="0.25">
      <c r="A407" s="74"/>
      <c r="B407" s="74"/>
      <c r="C407" s="74"/>
      <c r="D407" s="74"/>
      <c r="E407" s="74"/>
      <c r="F407" s="74"/>
      <c r="G407" s="74"/>
      <c r="H407" s="74"/>
      <c r="I407" s="74"/>
      <c r="J407" s="74"/>
      <c r="K407" s="74"/>
      <c r="L407" s="74"/>
      <c r="M407" s="74"/>
      <c r="N407" s="74"/>
      <c r="O407" s="74"/>
      <c r="P407" s="74"/>
      <c r="Q407" s="74"/>
      <c r="R407" s="74"/>
      <c r="S407" s="74"/>
      <c r="T407" s="74"/>
      <c r="U407" s="74"/>
      <c r="V407" s="74"/>
    </row>
    <row r="408" spans="1:22" s="79" customFormat="1" ht="20.100000000000001" customHeight="1" x14ac:dyDescent="0.25">
      <c r="A408" s="183" t="s">
        <v>75</v>
      </c>
      <c r="B408" s="183"/>
      <c r="C408" s="183"/>
      <c r="D408" s="183"/>
      <c r="E408" s="183"/>
      <c r="F408" s="183"/>
      <c r="G408" s="183"/>
      <c r="H408" s="183"/>
      <c r="I408" s="183"/>
      <c r="J408" s="183"/>
      <c r="K408" s="183"/>
      <c r="L408" s="183"/>
      <c r="M408" s="198">
        <f>ROUNDUP(M386,-M404)</f>
        <v>406000</v>
      </c>
      <c r="N408" s="198"/>
      <c r="O408" s="198"/>
      <c r="P408" s="198"/>
      <c r="Q408" s="198"/>
      <c r="R408" s="198"/>
      <c r="S408" s="198"/>
      <c r="T408" s="74"/>
      <c r="U408" s="74"/>
      <c r="V408" s="74"/>
    </row>
    <row r="409" spans="1:22" s="79" customFormat="1" ht="20.100000000000001" customHeight="1" x14ac:dyDescent="0.25">
      <c r="A409" s="74"/>
      <c r="B409" s="74"/>
      <c r="C409" s="74"/>
      <c r="D409" s="74"/>
      <c r="E409" s="74"/>
      <c r="F409" s="74"/>
      <c r="G409" s="74"/>
      <c r="H409" s="74"/>
      <c r="I409" s="74"/>
      <c r="J409" s="74"/>
      <c r="K409" s="74"/>
      <c r="L409" s="74"/>
      <c r="M409" s="74"/>
      <c r="N409" s="74"/>
      <c r="O409" s="74"/>
      <c r="P409" s="74"/>
      <c r="Q409" s="74"/>
      <c r="R409" s="74"/>
      <c r="S409" s="74"/>
      <c r="T409" s="74"/>
      <c r="U409" s="74"/>
      <c r="V409" s="74"/>
    </row>
    <row r="410" spans="1:22" s="79" customFormat="1" ht="20.100000000000001" customHeight="1" x14ac:dyDescent="0.25">
      <c r="A410" s="74"/>
      <c r="B410" s="74"/>
      <c r="C410" s="74"/>
      <c r="D410" s="74"/>
      <c r="E410" s="74"/>
      <c r="F410" s="74"/>
      <c r="G410" s="74"/>
      <c r="H410" s="74"/>
      <c r="I410" s="74"/>
      <c r="J410" s="74"/>
      <c r="K410" s="74"/>
      <c r="L410" s="74"/>
      <c r="M410" s="74"/>
      <c r="N410" s="74"/>
      <c r="O410" s="74"/>
      <c r="P410" s="74"/>
      <c r="Q410" s="74"/>
      <c r="R410" s="74"/>
      <c r="S410" s="74"/>
      <c r="T410" s="74"/>
      <c r="U410" s="74"/>
      <c r="V410" s="74"/>
    </row>
    <row r="411" spans="1:22" s="79" customFormat="1" ht="20.100000000000001" customHeight="1" x14ac:dyDescent="0.25">
      <c r="A411" s="199"/>
      <c r="B411" s="199"/>
      <c r="C411" s="199"/>
      <c r="D411" s="199"/>
      <c r="E411" s="199"/>
      <c r="F411" s="199"/>
      <c r="G411" s="199"/>
      <c r="H411" s="199"/>
      <c r="I411" s="199"/>
      <c r="J411" s="199"/>
      <c r="K411" s="199"/>
      <c r="L411" s="199"/>
      <c r="M411" s="199"/>
      <c r="N411" s="199"/>
      <c r="O411" s="199"/>
      <c r="P411" s="199"/>
      <c r="Q411" s="199"/>
      <c r="R411" s="199"/>
      <c r="S411" s="199"/>
      <c r="T411" s="74"/>
      <c r="U411" s="74"/>
      <c r="V411" s="74"/>
    </row>
    <row r="412" spans="1:22" s="79" customFormat="1" ht="20.100000000000001" customHeight="1" x14ac:dyDescent="0.25">
      <c r="A412" s="199" t="s">
        <v>84</v>
      </c>
      <c r="B412" s="199"/>
      <c r="C412" s="199"/>
      <c r="D412" s="199"/>
      <c r="E412" s="199"/>
      <c r="F412" s="199"/>
      <c r="G412" s="199"/>
      <c r="H412" s="199"/>
      <c r="I412" s="199"/>
      <c r="J412" s="199"/>
      <c r="K412" s="199"/>
      <c r="L412" s="199"/>
      <c r="M412" s="199"/>
      <c r="N412" s="199"/>
      <c r="O412" s="199"/>
      <c r="P412" s="199"/>
      <c r="Q412" s="199"/>
      <c r="R412" s="199"/>
      <c r="S412" s="199"/>
      <c r="T412" s="74"/>
      <c r="U412" s="74"/>
      <c r="V412" s="74"/>
    </row>
    <row r="413" spans="1:22" s="79" customFormat="1" ht="20.100000000000001" customHeight="1" x14ac:dyDescent="0.25">
      <c r="A413" s="199" t="s">
        <v>83</v>
      </c>
      <c r="B413" s="199"/>
      <c r="C413" s="199"/>
      <c r="D413" s="199"/>
      <c r="E413" s="199"/>
      <c r="F413" s="199"/>
      <c r="G413" s="199"/>
      <c r="H413" s="199"/>
      <c r="I413" s="199"/>
      <c r="J413" s="199"/>
      <c r="K413" s="199"/>
      <c r="L413" s="199"/>
      <c r="M413" s="199"/>
      <c r="N413" s="199"/>
      <c r="O413" s="199"/>
      <c r="P413" s="199"/>
      <c r="Q413" s="199"/>
      <c r="R413" s="199"/>
      <c r="S413" s="199"/>
      <c r="T413" s="74"/>
      <c r="U413" s="74"/>
      <c r="V413" s="74"/>
    </row>
    <row r="414" spans="1:22" s="79" customFormat="1" ht="20.100000000000001" customHeight="1" x14ac:dyDescent="0.25">
      <c r="A414" s="74"/>
      <c r="B414" s="74"/>
      <c r="C414" s="74"/>
      <c r="D414" s="74"/>
      <c r="E414" s="74"/>
      <c r="F414" s="74"/>
      <c r="G414" s="74"/>
      <c r="H414" s="74"/>
      <c r="I414" s="74"/>
      <c r="J414" s="74"/>
      <c r="K414" s="74"/>
      <c r="L414" s="74"/>
      <c r="M414" s="74"/>
      <c r="N414" s="74"/>
      <c r="O414" s="74"/>
      <c r="P414" s="74"/>
      <c r="Q414" s="74"/>
      <c r="R414" s="74"/>
      <c r="S414" s="74"/>
      <c r="T414" s="74"/>
      <c r="U414" s="74"/>
      <c r="V414" s="74"/>
    </row>
    <row r="415" spans="1:22" s="79" customFormat="1" ht="20.100000000000001" customHeight="1" x14ac:dyDescent="0.25">
      <c r="A415" s="74"/>
      <c r="B415" s="74"/>
      <c r="C415" s="74"/>
      <c r="D415" s="74"/>
      <c r="E415" s="74"/>
      <c r="F415" s="74"/>
      <c r="G415" s="74"/>
      <c r="H415" s="74"/>
      <c r="I415" s="74"/>
      <c r="J415" s="74"/>
      <c r="K415" s="74"/>
      <c r="L415" s="74"/>
      <c r="M415" s="74"/>
      <c r="N415" s="74"/>
      <c r="O415" s="74"/>
      <c r="P415" s="74"/>
      <c r="Q415" s="74"/>
      <c r="R415" s="74"/>
      <c r="S415" s="74"/>
      <c r="T415" s="74"/>
      <c r="U415" s="74"/>
      <c r="V415" s="74"/>
    </row>
    <row r="416" spans="1:22" s="79" customFormat="1" ht="20.100000000000001" customHeight="1" x14ac:dyDescent="0.25">
      <c r="A416" s="203" t="s">
        <v>80</v>
      </c>
      <c r="B416" s="203"/>
      <c r="C416" s="203"/>
      <c r="D416" s="203"/>
      <c r="E416" s="203"/>
      <c r="F416" s="203"/>
      <c r="G416" s="203"/>
      <c r="H416" s="203"/>
      <c r="I416" s="203"/>
      <c r="J416" s="203"/>
      <c r="K416" s="203"/>
      <c r="L416" s="203"/>
      <c r="M416" s="203"/>
      <c r="N416" s="203"/>
      <c r="O416" s="203"/>
      <c r="P416" s="203"/>
      <c r="Q416" s="203"/>
      <c r="R416" s="203"/>
      <c r="S416" s="203"/>
      <c r="T416" s="74"/>
      <c r="U416" s="74"/>
      <c r="V416" s="74"/>
    </row>
    <row r="417" spans="1:22" s="79" customFormat="1" ht="20.100000000000001" customHeight="1" x14ac:dyDescent="0.25">
      <c r="A417" s="203" t="s">
        <v>467</v>
      </c>
      <c r="B417" s="203"/>
      <c r="C417" s="203"/>
      <c r="D417" s="203"/>
      <c r="E417" s="203"/>
      <c r="F417" s="203"/>
      <c r="G417" s="203"/>
      <c r="H417" s="203"/>
      <c r="I417" s="203"/>
      <c r="J417" s="203"/>
      <c r="K417" s="203"/>
      <c r="L417" s="203"/>
      <c r="M417" s="203"/>
      <c r="N417" s="203"/>
      <c r="O417" s="203"/>
      <c r="P417" s="203"/>
      <c r="Q417" s="203"/>
      <c r="R417" s="203"/>
      <c r="S417" s="203"/>
      <c r="T417" s="74"/>
      <c r="U417" s="74"/>
      <c r="V417" s="74"/>
    </row>
    <row r="418" spans="1:22" s="79" customFormat="1" ht="20.100000000000001" customHeight="1" x14ac:dyDescent="0.25">
      <c r="A418" s="203" t="s">
        <v>120</v>
      </c>
      <c r="B418" s="203"/>
      <c r="C418" s="203"/>
      <c r="D418" s="203"/>
      <c r="E418" s="203"/>
      <c r="F418" s="203"/>
      <c r="G418" s="203"/>
      <c r="H418" s="203"/>
      <c r="I418" s="203"/>
      <c r="J418" s="203"/>
      <c r="K418" s="203"/>
      <c r="L418" s="203"/>
      <c r="M418" s="203"/>
      <c r="N418" s="203"/>
      <c r="O418" s="203"/>
      <c r="P418" s="203"/>
      <c r="Q418" s="203"/>
      <c r="R418" s="203"/>
      <c r="S418" s="203"/>
      <c r="T418" s="74"/>
      <c r="U418" s="74"/>
      <c r="V418" s="74"/>
    </row>
    <row r="419" spans="1:22" ht="20.100000000000001" customHeight="1" x14ac:dyDescent="0.25">
      <c r="A419" s="203"/>
      <c r="B419" s="203"/>
      <c r="C419" s="203"/>
      <c r="D419" s="203"/>
      <c r="E419" s="203"/>
      <c r="F419" s="203"/>
      <c r="G419" s="203"/>
      <c r="H419" s="203"/>
      <c r="I419" s="203"/>
      <c r="J419" s="203"/>
      <c r="K419" s="203"/>
      <c r="L419" s="203"/>
      <c r="M419" s="203"/>
      <c r="N419" s="203"/>
      <c r="O419" s="203"/>
      <c r="P419" s="203"/>
      <c r="Q419" s="203"/>
      <c r="R419" s="203"/>
      <c r="S419" s="203"/>
    </row>
    <row r="420" spans="1:22" ht="20.100000000000001" customHeight="1" x14ac:dyDescent="0.25">
      <c r="A420" s="203" t="s">
        <v>263</v>
      </c>
      <c r="B420" s="203"/>
      <c r="C420" s="203"/>
      <c r="D420" s="203"/>
      <c r="E420" s="203"/>
      <c r="F420" s="203"/>
      <c r="G420" s="203"/>
      <c r="H420" s="203"/>
      <c r="I420" s="203"/>
      <c r="J420" s="203"/>
      <c r="K420" s="203"/>
      <c r="L420" s="203"/>
      <c r="M420" s="203"/>
      <c r="N420" s="203"/>
      <c r="O420" s="203"/>
      <c r="P420" s="203"/>
      <c r="Q420" s="203"/>
      <c r="R420" s="203"/>
      <c r="S420" s="203"/>
    </row>
    <row r="421" spans="1:22" ht="20.100000000000001" customHeight="1" x14ac:dyDescent="0.25">
      <c r="A421" s="203" t="s">
        <v>264</v>
      </c>
      <c r="B421" s="203"/>
      <c r="C421" s="203"/>
      <c r="D421" s="203"/>
      <c r="E421" s="203"/>
      <c r="F421" s="203"/>
      <c r="G421" s="203"/>
      <c r="H421" s="203"/>
      <c r="I421" s="203"/>
      <c r="J421" s="203"/>
      <c r="K421" s="203"/>
      <c r="L421" s="203"/>
      <c r="M421" s="203"/>
      <c r="N421" s="203"/>
      <c r="O421" s="203"/>
      <c r="P421" s="203"/>
      <c r="Q421" s="203"/>
      <c r="R421" s="203"/>
      <c r="S421" s="203"/>
    </row>
    <row r="422" spans="1:22" ht="20.100000000000001" customHeight="1" x14ac:dyDescent="0.25">
      <c r="A422" s="203" t="s">
        <v>265</v>
      </c>
      <c r="B422" s="203"/>
      <c r="C422" s="203"/>
      <c r="D422" s="203"/>
      <c r="E422" s="203"/>
      <c r="F422" s="203"/>
      <c r="G422" s="203"/>
      <c r="H422" s="203"/>
      <c r="I422" s="203"/>
      <c r="J422" s="203"/>
      <c r="K422" s="203"/>
      <c r="L422" s="203"/>
      <c r="M422" s="203"/>
      <c r="N422" s="203"/>
      <c r="O422" s="203"/>
      <c r="P422" s="203"/>
      <c r="Q422" s="203"/>
      <c r="R422" s="203"/>
      <c r="S422" s="203"/>
    </row>
    <row r="423" spans="1:22" ht="20.100000000000001" customHeight="1" x14ac:dyDescent="0.25">
      <c r="A423" s="203" t="s">
        <v>266</v>
      </c>
      <c r="B423" s="203"/>
      <c r="C423" s="203"/>
      <c r="D423" s="203"/>
      <c r="E423" s="203"/>
      <c r="F423" s="203"/>
      <c r="G423" s="203"/>
      <c r="H423" s="203"/>
      <c r="I423" s="203"/>
      <c r="J423" s="203"/>
      <c r="K423" s="203"/>
      <c r="L423" s="203"/>
      <c r="M423" s="203"/>
      <c r="N423" s="203"/>
      <c r="O423" s="203"/>
      <c r="P423" s="203"/>
      <c r="Q423" s="203"/>
      <c r="R423" s="203"/>
      <c r="S423" s="203"/>
    </row>
    <row r="424" spans="1:22" ht="20.100000000000001" customHeight="1" x14ac:dyDescent="0.25">
      <c r="A424" s="203"/>
      <c r="B424" s="203"/>
      <c r="C424" s="203"/>
      <c r="D424" s="203"/>
      <c r="E424" s="203"/>
      <c r="F424" s="203"/>
      <c r="G424" s="203"/>
      <c r="H424" s="203"/>
      <c r="I424" s="203"/>
      <c r="J424" s="203"/>
      <c r="K424" s="203"/>
      <c r="L424" s="203"/>
      <c r="M424" s="203"/>
      <c r="N424" s="203"/>
      <c r="O424" s="203"/>
      <c r="P424" s="203"/>
      <c r="Q424" s="203"/>
      <c r="R424" s="203"/>
      <c r="S424" s="203"/>
    </row>
    <row r="425" spans="1:22" ht="20.100000000000001" customHeight="1" x14ac:dyDescent="0.25">
      <c r="A425" s="203" t="s">
        <v>267</v>
      </c>
      <c r="B425" s="203"/>
      <c r="C425" s="203"/>
      <c r="D425" s="203"/>
      <c r="E425" s="203"/>
      <c r="F425" s="203"/>
      <c r="G425" s="203"/>
      <c r="H425" s="203"/>
      <c r="I425" s="203"/>
      <c r="J425" s="203"/>
      <c r="K425" s="203"/>
      <c r="L425" s="203"/>
      <c r="M425" s="203"/>
      <c r="N425" s="203"/>
      <c r="O425" s="203"/>
      <c r="P425" s="203"/>
      <c r="Q425" s="203"/>
      <c r="R425" s="203"/>
      <c r="S425" s="203"/>
    </row>
    <row r="426" spans="1:22" ht="20.100000000000001" customHeight="1" x14ac:dyDescent="0.25">
      <c r="A426" s="203" t="s">
        <v>121</v>
      </c>
      <c r="B426" s="203"/>
      <c r="C426" s="203"/>
      <c r="D426" s="203"/>
      <c r="E426" s="203"/>
      <c r="F426" s="203"/>
      <c r="G426" s="203"/>
      <c r="H426" s="203"/>
      <c r="I426" s="203"/>
      <c r="J426" s="203"/>
      <c r="K426" s="203"/>
      <c r="L426" s="203"/>
      <c r="M426" s="203"/>
      <c r="N426" s="203"/>
      <c r="O426" s="203"/>
      <c r="P426" s="203"/>
      <c r="Q426" s="203"/>
      <c r="R426" s="203"/>
      <c r="S426" s="203"/>
    </row>
    <row r="427" spans="1:22" ht="20.100000000000001" customHeight="1" x14ac:dyDescent="0.25">
      <c r="A427" s="203" t="s">
        <v>268</v>
      </c>
      <c r="B427" s="203"/>
      <c r="C427" s="203"/>
      <c r="D427" s="203"/>
      <c r="E427" s="203"/>
      <c r="F427" s="203"/>
      <c r="G427" s="203"/>
      <c r="H427" s="203"/>
      <c r="I427" s="203"/>
      <c r="J427" s="203"/>
      <c r="K427" s="203"/>
      <c r="L427" s="203"/>
      <c r="M427" s="203"/>
      <c r="N427" s="203"/>
      <c r="O427" s="203"/>
      <c r="P427" s="203"/>
      <c r="Q427" s="203"/>
      <c r="R427" s="203"/>
      <c r="S427" s="203"/>
    </row>
    <row r="428" spans="1:22" ht="20.100000000000001" customHeight="1" x14ac:dyDescent="0.25">
      <c r="A428" s="203"/>
      <c r="B428" s="203"/>
      <c r="C428" s="203"/>
      <c r="D428" s="203"/>
      <c r="E428" s="203"/>
      <c r="F428" s="203"/>
      <c r="G428" s="203"/>
      <c r="H428" s="203"/>
      <c r="I428" s="203"/>
      <c r="J428" s="203"/>
      <c r="K428" s="203"/>
      <c r="L428" s="203"/>
      <c r="M428" s="203"/>
      <c r="N428" s="203"/>
      <c r="O428" s="203"/>
      <c r="P428" s="203"/>
      <c r="Q428" s="203"/>
      <c r="R428" s="203"/>
      <c r="S428" s="203"/>
    </row>
    <row r="429" spans="1:22" ht="20.100000000000001" customHeight="1" x14ac:dyDescent="0.25">
      <c r="A429" s="203" t="s">
        <v>269</v>
      </c>
      <c r="B429" s="203"/>
      <c r="C429" s="203"/>
      <c r="D429" s="203"/>
      <c r="E429" s="203"/>
      <c r="F429" s="203"/>
      <c r="G429" s="203"/>
      <c r="H429" s="203"/>
      <c r="I429" s="203"/>
      <c r="J429" s="203"/>
      <c r="K429" s="203"/>
      <c r="L429" s="203"/>
      <c r="M429" s="203"/>
      <c r="N429" s="203"/>
      <c r="O429" s="203"/>
      <c r="P429" s="203"/>
      <c r="Q429" s="203"/>
      <c r="R429" s="203"/>
      <c r="S429" s="203"/>
    </row>
    <row r="430" spans="1:22" ht="20.100000000000001" customHeight="1" x14ac:dyDescent="0.25">
      <c r="A430" s="203"/>
      <c r="B430" s="203"/>
      <c r="C430" s="203"/>
      <c r="D430" s="203"/>
      <c r="E430" s="203"/>
      <c r="F430" s="203"/>
      <c r="G430" s="203"/>
      <c r="H430" s="203"/>
      <c r="I430" s="203"/>
      <c r="J430" s="203"/>
      <c r="K430" s="203"/>
      <c r="L430" s="203"/>
      <c r="M430" s="203"/>
      <c r="N430" s="203"/>
      <c r="O430" s="203"/>
      <c r="P430" s="203"/>
      <c r="Q430" s="203"/>
      <c r="R430" s="203"/>
      <c r="S430" s="203"/>
    </row>
    <row r="431" spans="1:22" ht="20.100000000000001" customHeight="1" x14ac:dyDescent="0.25">
      <c r="A431" s="203" t="s">
        <v>468</v>
      </c>
      <c r="B431" s="203"/>
      <c r="C431" s="203"/>
      <c r="D431" s="203"/>
      <c r="E431" s="203"/>
      <c r="F431" s="203"/>
      <c r="G431" s="203"/>
      <c r="H431" s="203"/>
      <c r="I431" s="203"/>
      <c r="J431" s="203"/>
      <c r="K431" s="203"/>
      <c r="L431" s="203"/>
      <c r="M431" s="203"/>
      <c r="N431" s="203"/>
      <c r="O431" s="203"/>
      <c r="P431" s="203"/>
      <c r="Q431" s="203"/>
      <c r="R431" s="203"/>
      <c r="S431" s="203"/>
    </row>
    <row r="432" spans="1:22" ht="20.100000000000001" customHeight="1" x14ac:dyDescent="0.25">
      <c r="A432" s="203"/>
      <c r="B432" s="203"/>
      <c r="C432" s="203"/>
      <c r="D432" s="203"/>
      <c r="E432" s="203"/>
      <c r="F432" s="203"/>
      <c r="G432" s="203"/>
      <c r="H432" s="203"/>
      <c r="I432" s="203"/>
      <c r="J432" s="203"/>
      <c r="K432" s="203"/>
      <c r="L432" s="203"/>
      <c r="M432" s="203"/>
      <c r="N432" s="203"/>
      <c r="O432" s="203"/>
      <c r="P432" s="203"/>
      <c r="Q432" s="203"/>
      <c r="R432" s="203"/>
      <c r="S432" s="203"/>
    </row>
    <row r="433" spans="1:19" ht="20.100000000000001" customHeight="1" x14ac:dyDescent="0.25">
      <c r="A433" s="203" t="s">
        <v>270</v>
      </c>
      <c r="B433" s="203"/>
      <c r="C433" s="203"/>
      <c r="D433" s="203"/>
      <c r="E433" s="203"/>
      <c r="F433" s="203"/>
      <c r="G433" s="203"/>
      <c r="H433" s="203"/>
      <c r="I433" s="203"/>
      <c r="J433" s="203"/>
      <c r="K433" s="203"/>
      <c r="L433" s="203"/>
      <c r="M433" s="203"/>
      <c r="N433" s="203"/>
      <c r="O433" s="203"/>
      <c r="P433" s="203"/>
      <c r="Q433" s="203"/>
      <c r="R433" s="203"/>
      <c r="S433" s="203"/>
    </row>
    <row r="434" spans="1:19" ht="20.100000000000001" customHeight="1" x14ac:dyDescent="0.25">
      <c r="A434" s="203"/>
      <c r="B434" s="203"/>
      <c r="C434" s="203"/>
      <c r="D434" s="203"/>
      <c r="E434" s="203"/>
      <c r="F434" s="203"/>
      <c r="G434" s="203"/>
      <c r="H434" s="203"/>
      <c r="I434" s="203"/>
      <c r="J434" s="203"/>
      <c r="K434" s="203"/>
      <c r="L434" s="203"/>
      <c r="M434" s="203"/>
      <c r="N434" s="203"/>
      <c r="O434" s="203"/>
      <c r="P434" s="203"/>
      <c r="Q434" s="203"/>
      <c r="R434" s="203"/>
      <c r="S434" s="203"/>
    </row>
    <row r="435" spans="1:19" ht="20.100000000000001" customHeight="1" x14ac:dyDescent="0.25">
      <c r="A435" s="203" t="s">
        <v>469</v>
      </c>
      <c r="B435" s="203"/>
      <c r="C435" s="203"/>
      <c r="D435" s="203"/>
      <c r="E435" s="203"/>
      <c r="F435" s="203"/>
      <c r="G435" s="203"/>
      <c r="H435" s="203"/>
      <c r="I435" s="203"/>
      <c r="J435" s="203"/>
      <c r="K435" s="203"/>
      <c r="L435" s="203"/>
      <c r="M435" s="203"/>
      <c r="N435" s="203"/>
      <c r="O435" s="203"/>
      <c r="P435" s="203"/>
      <c r="Q435" s="203"/>
      <c r="R435" s="203"/>
      <c r="S435" s="203"/>
    </row>
    <row r="436" spans="1:19" ht="20.100000000000001" customHeight="1" x14ac:dyDescent="0.25">
      <c r="A436" s="203"/>
      <c r="B436" s="203"/>
      <c r="C436" s="203"/>
      <c r="D436" s="203"/>
      <c r="E436" s="203"/>
      <c r="F436" s="203"/>
      <c r="G436" s="203"/>
      <c r="H436" s="203"/>
      <c r="I436" s="203"/>
      <c r="J436" s="203"/>
      <c r="K436" s="203"/>
      <c r="L436" s="203"/>
      <c r="M436" s="203"/>
      <c r="N436" s="203"/>
      <c r="O436" s="203"/>
      <c r="P436" s="203"/>
      <c r="Q436" s="203"/>
      <c r="R436" s="203"/>
      <c r="S436" s="203"/>
    </row>
    <row r="437" spans="1:19" ht="20.100000000000001" customHeight="1" x14ac:dyDescent="0.25">
      <c r="A437" s="203" t="s">
        <v>271</v>
      </c>
      <c r="B437" s="203"/>
      <c r="C437" s="203"/>
      <c r="D437" s="203"/>
      <c r="E437" s="203"/>
      <c r="F437" s="203"/>
      <c r="G437" s="203"/>
      <c r="H437" s="203"/>
      <c r="I437" s="203"/>
      <c r="J437" s="203"/>
      <c r="K437" s="203"/>
      <c r="L437" s="203"/>
      <c r="M437" s="203"/>
      <c r="N437" s="203"/>
      <c r="O437" s="203"/>
      <c r="P437" s="203"/>
      <c r="Q437" s="203"/>
      <c r="R437" s="203"/>
      <c r="S437" s="203"/>
    </row>
    <row r="438" spans="1:19" ht="20.100000000000001" customHeight="1" x14ac:dyDescent="0.25">
      <c r="A438" s="203"/>
      <c r="B438" s="203"/>
      <c r="C438" s="203"/>
      <c r="D438" s="203"/>
      <c r="E438" s="203"/>
      <c r="F438" s="203"/>
      <c r="G438" s="203"/>
      <c r="H438" s="203"/>
      <c r="I438" s="203"/>
      <c r="J438" s="203"/>
      <c r="K438" s="203"/>
      <c r="L438" s="203"/>
      <c r="M438" s="203"/>
      <c r="N438" s="203"/>
      <c r="O438" s="203"/>
      <c r="P438" s="203"/>
      <c r="Q438" s="203"/>
      <c r="R438" s="203"/>
      <c r="S438" s="203"/>
    </row>
    <row r="439" spans="1:19" ht="20.100000000000001" customHeight="1" x14ac:dyDescent="0.25">
      <c r="A439" s="203" t="s">
        <v>272</v>
      </c>
      <c r="B439" s="203"/>
      <c r="C439" s="203"/>
      <c r="D439" s="203"/>
      <c r="E439" s="203"/>
      <c r="F439" s="203"/>
      <c r="G439" s="203"/>
      <c r="H439" s="203"/>
      <c r="I439" s="203"/>
      <c r="J439" s="203"/>
      <c r="K439" s="203"/>
      <c r="L439" s="203"/>
      <c r="M439" s="203"/>
      <c r="N439" s="203"/>
      <c r="O439" s="203"/>
      <c r="P439" s="203"/>
      <c r="Q439" s="203"/>
      <c r="R439" s="203"/>
      <c r="S439" s="203"/>
    </row>
    <row r="440" spans="1:19" ht="20.100000000000001" customHeight="1" x14ac:dyDescent="0.25">
      <c r="A440" s="203" t="s">
        <v>273</v>
      </c>
      <c r="B440" s="203"/>
      <c r="C440" s="203"/>
      <c r="D440" s="203"/>
      <c r="E440" s="203"/>
      <c r="F440" s="203"/>
      <c r="G440" s="203"/>
      <c r="H440" s="203"/>
      <c r="I440" s="203"/>
      <c r="J440" s="203"/>
      <c r="K440" s="203"/>
      <c r="L440" s="203"/>
      <c r="M440" s="203"/>
      <c r="N440" s="203"/>
      <c r="O440" s="203"/>
      <c r="P440" s="203"/>
      <c r="Q440" s="203"/>
      <c r="R440" s="203"/>
      <c r="S440" s="203"/>
    </row>
    <row r="441" spans="1:19" ht="20.100000000000001" customHeight="1" x14ac:dyDescent="0.25">
      <c r="A441" s="203" t="s">
        <v>274</v>
      </c>
      <c r="B441" s="203"/>
      <c r="C441" s="203"/>
      <c r="D441" s="203"/>
      <c r="E441" s="203"/>
      <c r="F441" s="203"/>
      <c r="G441" s="203"/>
      <c r="H441" s="203"/>
      <c r="I441" s="203"/>
      <c r="J441" s="203"/>
      <c r="K441" s="203"/>
      <c r="L441" s="203"/>
      <c r="M441" s="203"/>
      <c r="N441" s="203"/>
      <c r="O441" s="203"/>
      <c r="P441" s="203"/>
      <c r="Q441" s="203"/>
      <c r="R441" s="203"/>
      <c r="S441" s="203"/>
    </row>
    <row r="442" spans="1:19" ht="20.100000000000001" customHeight="1" x14ac:dyDescent="0.25">
      <c r="A442" s="203"/>
      <c r="B442" s="203"/>
      <c r="C442" s="203"/>
      <c r="D442" s="203"/>
      <c r="E442" s="203"/>
      <c r="F442" s="203"/>
      <c r="G442" s="203"/>
      <c r="H442" s="203"/>
      <c r="I442" s="203"/>
      <c r="J442" s="203"/>
      <c r="K442" s="203"/>
      <c r="L442" s="203"/>
      <c r="M442" s="203"/>
      <c r="N442" s="203"/>
      <c r="O442" s="203"/>
      <c r="P442" s="203"/>
      <c r="Q442" s="203"/>
      <c r="R442" s="203"/>
      <c r="S442" s="203"/>
    </row>
    <row r="443" spans="1:19" ht="20.100000000000001" customHeight="1" x14ac:dyDescent="0.25">
      <c r="A443" s="203" t="s">
        <v>470</v>
      </c>
      <c r="B443" s="203"/>
      <c r="C443" s="203"/>
      <c r="D443" s="203"/>
      <c r="E443" s="203"/>
      <c r="F443" s="203"/>
      <c r="G443" s="203"/>
      <c r="H443" s="203"/>
      <c r="I443" s="203"/>
      <c r="J443" s="203"/>
      <c r="K443" s="203"/>
      <c r="L443" s="203"/>
      <c r="M443" s="203"/>
      <c r="N443" s="203"/>
      <c r="O443" s="203"/>
      <c r="P443" s="203"/>
      <c r="Q443" s="203"/>
      <c r="R443" s="203"/>
      <c r="S443" s="203"/>
    </row>
  </sheetData>
  <sheetProtection formatCells="0"/>
  <mergeCells count="487">
    <mergeCell ref="A441:S442"/>
    <mergeCell ref="A443:S443"/>
    <mergeCell ref="P38:S38"/>
    <mergeCell ref="K39:O39"/>
    <mergeCell ref="P39:S39"/>
    <mergeCell ref="K40:O40"/>
    <mergeCell ref="P40:S40"/>
    <mergeCell ref="A425:S425"/>
    <mergeCell ref="A369:L369"/>
    <mergeCell ref="M369:S369"/>
    <mergeCell ref="A416:S416"/>
    <mergeCell ref="A417:S417"/>
    <mergeCell ref="A412:S412"/>
    <mergeCell ref="A315:S315"/>
    <mergeCell ref="A317:M317"/>
    <mergeCell ref="N317:S317"/>
    <mergeCell ref="H311:K312"/>
    <mergeCell ref="L311:O312"/>
    <mergeCell ref="A334:L334"/>
    <mergeCell ref="M334:S334"/>
    <mergeCell ref="A365:I365"/>
    <mergeCell ref="J365:M365"/>
    <mergeCell ref="A333:L333"/>
    <mergeCell ref="M333:S333"/>
    <mergeCell ref="A440:S440"/>
    <mergeCell ref="A439:S439"/>
    <mergeCell ref="A421:S421"/>
    <mergeCell ref="A420:S420"/>
    <mergeCell ref="A418:S419"/>
    <mergeCell ref="A422:S422"/>
    <mergeCell ref="A423:S424"/>
    <mergeCell ref="A426:S426"/>
    <mergeCell ref="A427:S428"/>
    <mergeCell ref="A429:S430"/>
    <mergeCell ref="A431:S432"/>
    <mergeCell ref="A433:S434"/>
    <mergeCell ref="A435:S436"/>
    <mergeCell ref="A437:S438"/>
    <mergeCell ref="W376:X376"/>
    <mergeCell ref="A377:D377"/>
    <mergeCell ref="L377:S377"/>
    <mergeCell ref="A378:D378"/>
    <mergeCell ref="A380:L380"/>
    <mergeCell ref="M380:S380"/>
    <mergeCell ref="A383:L383"/>
    <mergeCell ref="M383:S383"/>
    <mergeCell ref="A386:L386"/>
    <mergeCell ref="M386:S386"/>
    <mergeCell ref="M384:S384"/>
    <mergeCell ref="A381:L381"/>
    <mergeCell ref="M381:S381"/>
    <mergeCell ref="T404:U404"/>
    <mergeCell ref="A405:L405"/>
    <mergeCell ref="M405:S405"/>
    <mergeCell ref="A408:L408"/>
    <mergeCell ref="M408:S408"/>
    <mergeCell ref="A403:L403"/>
    <mergeCell ref="M403:S403"/>
    <mergeCell ref="A389:S389"/>
    <mergeCell ref="A413:S413"/>
    <mergeCell ref="A404:L404"/>
    <mergeCell ref="M404:S404"/>
    <mergeCell ref="A406:L406"/>
    <mergeCell ref="M406:S406"/>
    <mergeCell ref="A411:S411"/>
    <mergeCell ref="E330:J330"/>
    <mergeCell ref="K330:N330"/>
    <mergeCell ref="P330:S330"/>
    <mergeCell ref="A322:S322"/>
    <mergeCell ref="A324:S327"/>
    <mergeCell ref="A329:D329"/>
    <mergeCell ref="E329:J329"/>
    <mergeCell ref="K329:N329"/>
    <mergeCell ref="P329:S329"/>
    <mergeCell ref="M332:S332"/>
    <mergeCell ref="A318:M318"/>
    <mergeCell ref="N318:S318"/>
    <mergeCell ref="A319:M319"/>
    <mergeCell ref="N319:S319"/>
    <mergeCell ref="A22:B22"/>
    <mergeCell ref="A23:B23"/>
    <mergeCell ref="A24:B24"/>
    <mergeCell ref="A25:B25"/>
    <mergeCell ref="A48:B48"/>
    <mergeCell ref="A32:S32"/>
    <mergeCell ref="A39:H39"/>
    <mergeCell ref="A40:H40"/>
    <mergeCell ref="A41:H41"/>
    <mergeCell ref="F44:J44"/>
    <mergeCell ref="K46:L46"/>
    <mergeCell ref="A44:E45"/>
    <mergeCell ref="K44:L45"/>
    <mergeCell ref="K48:L48"/>
    <mergeCell ref="Q23:S23"/>
    <mergeCell ref="Q24:S24"/>
    <mergeCell ref="Q27:S27"/>
    <mergeCell ref="Q28:S28"/>
    <mergeCell ref="A330:D330"/>
    <mergeCell ref="K38:O38"/>
    <mergeCell ref="A384:L384"/>
    <mergeCell ref="A338:E338"/>
    <mergeCell ref="F338:I338"/>
    <mergeCell ref="A336:S336"/>
    <mergeCell ref="A339:E339"/>
    <mergeCell ref="F339:I339"/>
    <mergeCell ref="A340:E340"/>
    <mergeCell ref="F340:I340"/>
    <mergeCell ref="A342:S342"/>
    <mergeCell ref="A355:S355"/>
    <mergeCell ref="M372:S372"/>
    <mergeCell ref="A376:S376"/>
    <mergeCell ref="A372:L372"/>
    <mergeCell ref="A370:L370"/>
    <mergeCell ref="M370:S370"/>
    <mergeCell ref="G360:M360"/>
    <mergeCell ref="A364:I364"/>
    <mergeCell ref="J364:M364"/>
    <mergeCell ref="A361:F361"/>
    <mergeCell ref="G361:M361"/>
    <mergeCell ref="A362:F362"/>
    <mergeCell ref="G362:M362"/>
    <mergeCell ref="A332:L332"/>
    <mergeCell ref="A366:I366"/>
    <mergeCell ref="A360:F360"/>
    <mergeCell ref="J366:M366"/>
    <mergeCell ref="Q11:S11"/>
    <mergeCell ref="D11:J12"/>
    <mergeCell ref="A140:J140"/>
    <mergeCell ref="N140:P140"/>
    <mergeCell ref="K131:M131"/>
    <mergeCell ref="K132:M132"/>
    <mergeCell ref="K133:M133"/>
    <mergeCell ref="K134:M134"/>
    <mergeCell ref="K135:M135"/>
    <mergeCell ref="K136:M136"/>
    <mergeCell ref="A34:S34"/>
    <mergeCell ref="A36:H36"/>
    <mergeCell ref="M27:P27"/>
    <mergeCell ref="M28:P28"/>
    <mergeCell ref="A49:B49"/>
    <mergeCell ref="Q49:S49"/>
    <mergeCell ref="C51:E51"/>
    <mergeCell ref="Q131:S131"/>
    <mergeCell ref="Q132:S132"/>
    <mergeCell ref="P41:S41"/>
    <mergeCell ref="K36:O36"/>
    <mergeCell ref="P36:S36"/>
    <mergeCell ref="K37:O37"/>
    <mergeCell ref="P37:S37"/>
    <mergeCell ref="X307:BO307"/>
    <mergeCell ref="X308:BO308"/>
    <mergeCell ref="X309:BO309"/>
    <mergeCell ref="X310:BO310"/>
    <mergeCell ref="T291:V291"/>
    <mergeCell ref="A287:S287"/>
    <mergeCell ref="M248:P248"/>
    <mergeCell ref="Q248:S248"/>
    <mergeCell ref="A309:G310"/>
    <mergeCell ref="H309:S309"/>
    <mergeCell ref="A302:S303"/>
    <mergeCell ref="A295:E295"/>
    <mergeCell ref="F295:I295"/>
    <mergeCell ref="L275:O275"/>
    <mergeCell ref="L274:O274"/>
    <mergeCell ref="L277:O277"/>
    <mergeCell ref="H277:K277"/>
    <mergeCell ref="H275:K275"/>
    <mergeCell ref="H274:K274"/>
    <mergeCell ref="A282:G282"/>
    <mergeCell ref="H282:M282"/>
    <mergeCell ref="A291:E291"/>
    <mergeCell ref="Q255:S255"/>
    <mergeCell ref="Q252:S252"/>
    <mergeCell ref="P311:S312"/>
    <mergeCell ref="A311:G312"/>
    <mergeCell ref="A293:E293"/>
    <mergeCell ref="F293:I293"/>
    <mergeCell ref="A276:G276"/>
    <mergeCell ref="M251:N251"/>
    <mergeCell ref="O251:P251"/>
    <mergeCell ref="Q251:S251"/>
    <mergeCell ref="M252:P252"/>
    <mergeCell ref="A292:E292"/>
    <mergeCell ref="F289:I289"/>
    <mergeCell ref="F290:I290"/>
    <mergeCell ref="F291:I291"/>
    <mergeCell ref="F292:I292"/>
    <mergeCell ref="H310:K310"/>
    <mergeCell ref="L310:O310"/>
    <mergeCell ref="P310:S310"/>
    <mergeCell ref="A305:S306"/>
    <mergeCell ref="A307:S308"/>
    <mergeCell ref="P274:S274"/>
    <mergeCell ref="P275:S275"/>
    <mergeCell ref="A280:G280"/>
    <mergeCell ref="A281:G281"/>
    <mergeCell ref="A275:G275"/>
    <mergeCell ref="H281:M281"/>
    <mergeCell ref="A279:G279"/>
    <mergeCell ref="H276:K276"/>
    <mergeCell ref="L276:O276"/>
    <mergeCell ref="I36:J36"/>
    <mergeCell ref="I37:J37"/>
    <mergeCell ref="I38:J38"/>
    <mergeCell ref="I39:J39"/>
    <mergeCell ref="I40:J40"/>
    <mergeCell ref="I41:J41"/>
    <mergeCell ref="M254:P254"/>
    <mergeCell ref="M205:P205"/>
    <mergeCell ref="M176:N176"/>
    <mergeCell ref="A50:B50"/>
    <mergeCell ref="A51:B51"/>
    <mergeCell ref="A151:B151"/>
    <mergeCell ref="A152:B152"/>
    <mergeCell ref="A153:B153"/>
    <mergeCell ref="A154:B154"/>
    <mergeCell ref="A156:B156"/>
    <mergeCell ref="C48:E48"/>
    <mergeCell ref="O48:P48"/>
    <mergeCell ref="M48:N48"/>
    <mergeCell ref="K41:O41"/>
    <mergeCell ref="M255:P255"/>
    <mergeCell ref="A5:S5"/>
    <mergeCell ref="A277:G277"/>
    <mergeCell ref="H279:M279"/>
    <mergeCell ref="H280:M280"/>
    <mergeCell ref="Q254:S254"/>
    <mergeCell ref="R168:S168"/>
    <mergeCell ref="Q205:S205"/>
    <mergeCell ref="R202:S202"/>
    <mergeCell ref="Q29:S29"/>
    <mergeCell ref="M29:P29"/>
    <mergeCell ref="A157:B157"/>
    <mergeCell ref="A158:B158"/>
    <mergeCell ref="A159:B159"/>
    <mergeCell ref="A168:B168"/>
    <mergeCell ref="A169:B169"/>
    <mergeCell ref="A170:B170"/>
    <mergeCell ref="A171:B171"/>
    <mergeCell ref="A201:B201"/>
    <mergeCell ref="A202:B202"/>
    <mergeCell ref="K10:S10"/>
    <mergeCell ref="A9:S9"/>
    <mergeCell ref="A11:C12"/>
    <mergeCell ref="K11:M11"/>
    <mergeCell ref="M216:P216"/>
    <mergeCell ref="Q216:S216"/>
    <mergeCell ref="C237:G237"/>
    <mergeCell ref="M212:N212"/>
    <mergeCell ref="O212:P212"/>
    <mergeCell ref="Q212:S212"/>
    <mergeCell ref="M207:P207"/>
    <mergeCell ref="Q207:S207"/>
    <mergeCell ref="M208:P208"/>
    <mergeCell ref="Q208:S208"/>
    <mergeCell ref="M213:P213"/>
    <mergeCell ref="Q213:S213"/>
    <mergeCell ref="M215:P215"/>
    <mergeCell ref="Q215:S215"/>
    <mergeCell ref="M209:P209"/>
    <mergeCell ref="Q209:S209"/>
    <mergeCell ref="A235:S235"/>
    <mergeCell ref="A237:B237"/>
    <mergeCell ref="R237:S237"/>
    <mergeCell ref="C204:G204"/>
    <mergeCell ref="C202:G202"/>
    <mergeCell ref="C203:G203"/>
    <mergeCell ref="C201:G201"/>
    <mergeCell ref="Q179:S179"/>
    <mergeCell ref="Q180:S180"/>
    <mergeCell ref="M175:P175"/>
    <mergeCell ref="A199:S199"/>
    <mergeCell ref="M201:Q201"/>
    <mergeCell ref="M204:P204"/>
    <mergeCell ref="Q204:S204"/>
    <mergeCell ref="M177:P177"/>
    <mergeCell ref="Q177:S177"/>
    <mergeCell ref="M179:P179"/>
    <mergeCell ref="M180:P180"/>
    <mergeCell ref="M202:Q202"/>
    <mergeCell ref="Q175:S175"/>
    <mergeCell ref="A203:B203"/>
    <mergeCell ref="A204:B204"/>
    <mergeCell ref="O176:P176"/>
    <mergeCell ref="R201:S201"/>
    <mergeCell ref="M161:P161"/>
    <mergeCell ref="Q161:S161"/>
    <mergeCell ref="M162:P162"/>
    <mergeCell ref="Q162:S162"/>
    <mergeCell ref="M163:P163"/>
    <mergeCell ref="Q163:S163"/>
    <mergeCell ref="A166:S166"/>
    <mergeCell ref="C168:G168"/>
    <mergeCell ref="M171:P171"/>
    <mergeCell ref="C156:E156"/>
    <mergeCell ref="C157:E157"/>
    <mergeCell ref="C158:E158"/>
    <mergeCell ref="C159:E159"/>
    <mergeCell ref="L156:N156"/>
    <mergeCell ref="O158:S158"/>
    <mergeCell ref="O159:S159"/>
    <mergeCell ref="I158:K158"/>
    <mergeCell ref="F158:H158"/>
    <mergeCell ref="L158:N158"/>
    <mergeCell ref="I159:K159"/>
    <mergeCell ref="F159:H159"/>
    <mergeCell ref="L159:N159"/>
    <mergeCell ref="Q172:S172"/>
    <mergeCell ref="Q170:S170"/>
    <mergeCell ref="C170:G170"/>
    <mergeCell ref="C171:G171"/>
    <mergeCell ref="Q171:S171"/>
    <mergeCell ref="M168:Q168"/>
    <mergeCell ref="C169:G169"/>
    <mergeCell ref="M172:P172"/>
    <mergeCell ref="Q176:S176"/>
    <mergeCell ref="M170:P170"/>
    <mergeCell ref="M173:P173"/>
    <mergeCell ref="M174:P174"/>
    <mergeCell ref="Q173:S173"/>
    <mergeCell ref="Q174:S174"/>
    <mergeCell ref="N131:P131"/>
    <mergeCell ref="N132:P132"/>
    <mergeCell ref="N133:P133"/>
    <mergeCell ref="N134:P134"/>
    <mergeCell ref="N135:P135"/>
    <mergeCell ref="I156:K156"/>
    <mergeCell ref="F156:H156"/>
    <mergeCell ref="I157:K157"/>
    <mergeCell ref="F157:H157"/>
    <mergeCell ref="O156:S156"/>
    <mergeCell ref="O157:S157"/>
    <mergeCell ref="L157:N157"/>
    <mergeCell ref="A129:S129"/>
    <mergeCell ref="Q55:S55"/>
    <mergeCell ref="C151:E151"/>
    <mergeCell ref="C152:E152"/>
    <mergeCell ref="M50:N50"/>
    <mergeCell ref="M51:N51"/>
    <mergeCell ref="O51:P51"/>
    <mergeCell ref="Q51:S51"/>
    <mergeCell ref="A58:S58"/>
    <mergeCell ref="A92:S92"/>
    <mergeCell ref="A110:S110"/>
    <mergeCell ref="C50:E50"/>
    <mergeCell ref="O50:P50"/>
    <mergeCell ref="Q50:S50"/>
    <mergeCell ref="M53:P53"/>
    <mergeCell ref="A131:I131"/>
    <mergeCell ref="N136:P136"/>
    <mergeCell ref="K137:M137"/>
    <mergeCell ref="K138:M138"/>
    <mergeCell ref="A148:S149"/>
    <mergeCell ref="N138:P138"/>
    <mergeCell ref="Q151:S151"/>
    <mergeCell ref="Q152:S152"/>
    <mergeCell ref="K50:L50"/>
    <mergeCell ref="C153:E153"/>
    <mergeCell ref="C154:E154"/>
    <mergeCell ref="Q144:S145"/>
    <mergeCell ref="F144:P144"/>
    <mergeCell ref="A144:E146"/>
    <mergeCell ref="A133:I133"/>
    <mergeCell ref="A134:I134"/>
    <mergeCell ref="A135:I135"/>
    <mergeCell ref="A136:I136"/>
    <mergeCell ref="A137:I137"/>
    <mergeCell ref="A138:I138"/>
    <mergeCell ref="Q138:S138"/>
    <mergeCell ref="A141:P142"/>
    <mergeCell ref="Q142:S142"/>
    <mergeCell ref="Q146:S146"/>
    <mergeCell ref="Q153:S153"/>
    <mergeCell ref="Q154:S154"/>
    <mergeCell ref="Q133:S133"/>
    <mergeCell ref="Q134:S134"/>
    <mergeCell ref="Q135:S135"/>
    <mergeCell ref="Q136:S136"/>
    <mergeCell ref="Q137:S137"/>
    <mergeCell ref="N137:P137"/>
    <mergeCell ref="K51:L51"/>
    <mergeCell ref="A37:H37"/>
    <mergeCell ref="A38:H38"/>
    <mergeCell ref="A7:S7"/>
    <mergeCell ref="A20:S20"/>
    <mergeCell ref="I22:K22"/>
    <mergeCell ref="F23:H23"/>
    <mergeCell ref="I23:K23"/>
    <mergeCell ref="F24:H24"/>
    <mergeCell ref="I24:K24"/>
    <mergeCell ref="F25:H25"/>
    <mergeCell ref="I25:K25"/>
    <mergeCell ref="C23:E23"/>
    <mergeCell ref="C24:E24"/>
    <mergeCell ref="C25:E25"/>
    <mergeCell ref="Q22:S22"/>
    <mergeCell ref="Q12:S12"/>
    <mergeCell ref="N12:P12"/>
    <mergeCell ref="K12:M12"/>
    <mergeCell ref="A10:C10"/>
    <mergeCell ref="D10:J10"/>
    <mergeCell ref="M49:N49"/>
    <mergeCell ref="O49:P49"/>
    <mergeCell ref="N11:P11"/>
    <mergeCell ref="U22:V22"/>
    <mergeCell ref="A285:S285"/>
    <mergeCell ref="A289:E289"/>
    <mergeCell ref="A290:E290"/>
    <mergeCell ref="C22:E22"/>
    <mergeCell ref="F22:H22"/>
    <mergeCell ref="K140:M140"/>
    <mergeCell ref="L22:N22"/>
    <mergeCell ref="L23:N23"/>
    <mergeCell ref="L24:N24"/>
    <mergeCell ref="L25:N25"/>
    <mergeCell ref="A132:I132"/>
    <mergeCell ref="Q53:S53"/>
    <mergeCell ref="M54:P54"/>
    <mergeCell ref="Q54:S54"/>
    <mergeCell ref="M55:P55"/>
    <mergeCell ref="Q48:S48"/>
    <mergeCell ref="C49:E49"/>
    <mergeCell ref="Q25:S25"/>
    <mergeCell ref="O22:P22"/>
    <mergeCell ref="O23:P23"/>
    <mergeCell ref="O24:P24"/>
    <mergeCell ref="O25:P25"/>
    <mergeCell ref="K49:L49"/>
    <mergeCell ref="R240:S240"/>
    <mergeCell ref="M249:P249"/>
    <mergeCell ref="Q249:S249"/>
    <mergeCell ref="A238:B238"/>
    <mergeCell ref="A239:B239"/>
    <mergeCell ref="A240:B240"/>
    <mergeCell ref="C238:G238"/>
    <mergeCell ref="M238:Q238"/>
    <mergeCell ref="R238:S238"/>
    <mergeCell ref="C239:G239"/>
    <mergeCell ref="M239:Q239"/>
    <mergeCell ref="R239:S239"/>
    <mergeCell ref="C240:G240"/>
    <mergeCell ref="M243:P243"/>
    <mergeCell ref="Q243:S243"/>
    <mergeCell ref="M247:P247"/>
    <mergeCell ref="Q247:S247"/>
    <mergeCell ref="Q246:S246"/>
    <mergeCell ref="M246:P246"/>
    <mergeCell ref="T237:V237"/>
    <mergeCell ref="T201:V201"/>
    <mergeCell ref="A298:E298"/>
    <mergeCell ref="F298:I298"/>
    <mergeCell ref="L298:O298"/>
    <mergeCell ref="P298:S298"/>
    <mergeCell ref="L299:O299"/>
    <mergeCell ref="P299:S299"/>
    <mergeCell ref="L300:O300"/>
    <mergeCell ref="P300:S300"/>
    <mergeCell ref="A274:G274"/>
    <mergeCell ref="P276:S276"/>
    <mergeCell ref="P277:S277"/>
    <mergeCell ref="M210:P210"/>
    <mergeCell ref="Q210:S210"/>
    <mergeCell ref="M237:Q237"/>
    <mergeCell ref="A294:E294"/>
    <mergeCell ref="F294:I294"/>
    <mergeCell ref="A296:S296"/>
    <mergeCell ref="A299:E299"/>
    <mergeCell ref="F299:I299"/>
    <mergeCell ref="M244:P244"/>
    <mergeCell ref="Q244:S244"/>
    <mergeCell ref="M240:Q240"/>
    <mergeCell ref="B17:F17"/>
    <mergeCell ref="G17:M17"/>
    <mergeCell ref="N17:P17"/>
    <mergeCell ref="Q17:S17"/>
    <mergeCell ref="B14:F14"/>
    <mergeCell ref="G14:M14"/>
    <mergeCell ref="N14:P14"/>
    <mergeCell ref="Q14:S14"/>
    <mergeCell ref="B15:F15"/>
    <mergeCell ref="G15:M15"/>
    <mergeCell ref="N15:P15"/>
    <mergeCell ref="Q15:S15"/>
    <mergeCell ref="B16:F16"/>
    <mergeCell ref="G16:M16"/>
    <mergeCell ref="N16:P16"/>
    <mergeCell ref="Q16:S16"/>
  </mergeCells>
  <conditionalFormatting sqref="M406:S406">
    <cfRule type="cellIs" dxfId="10" priority="5" operator="greaterThan">
      <formula>0.01</formula>
    </cfRule>
  </conditionalFormatting>
  <conditionalFormatting sqref="P300:S300">
    <cfRule type="cellIs" dxfId="9" priority="22" operator="greaterThan">
      <formula>0.5</formula>
    </cfRule>
  </conditionalFormatting>
  <conditionalFormatting sqref="Q177:S177">
    <cfRule type="cellIs" dxfId="8" priority="19" operator="equal">
      <formula>"Encerrar"</formula>
    </cfRule>
    <cfRule type="cellIs" dxfId="7" priority="20" operator="equal">
      <formula>"Continuar"</formula>
    </cfRule>
  </conditionalFormatting>
  <conditionalFormatting sqref="Q213:S213">
    <cfRule type="cellIs" dxfId="6" priority="8" operator="equal">
      <formula>"Encerrar"</formula>
    </cfRule>
    <cfRule type="cellIs" dxfId="5" priority="9" operator="equal">
      <formula>"Continuar"</formula>
    </cfRule>
  </conditionalFormatting>
  <conditionalFormatting sqref="Q252:S252">
    <cfRule type="cellIs" dxfId="4" priority="6" operator="equal">
      <formula>"Encerrar"</formula>
    </cfRule>
    <cfRule type="cellIs" dxfId="3" priority="7" operator="equal">
      <formula>"Continuar"</formula>
    </cfRule>
  </conditionalFormatting>
  <conditionalFormatting sqref="T404">
    <cfRule type="containsText" dxfId="2" priority="4" operator="containsText" text="Reduzir o número de casas decimais">
      <formula>NOT(ISERROR(SEARCH("Reduzir o número de casas decimais",T404)))</formula>
    </cfRule>
  </conditionalFormatting>
  <dataValidations count="5">
    <dataValidation type="list" allowBlank="1" showInputMessage="1" showErrorMessage="1" sqref="L23:L25" xr:uid="{5C2DD489-0C83-42A1-A5AC-6D8E4F2B2F12}">
      <formula1>$U$24:$U$25</formula1>
    </dataValidation>
    <dataValidation type="list" allowBlank="1" showInputMessage="1" showErrorMessage="1" sqref="G360 N360:S360" xr:uid="{2D5A58A1-4361-400E-B433-2D9B3974361E}">
      <formula1>$AB$351:$AB$359</formula1>
    </dataValidation>
    <dataValidation type="list" allowBlank="1" showInputMessage="1" showErrorMessage="1" sqref="E329:J329" xr:uid="{16BA2861-BB4D-4547-B36D-9B65721AAE3C}">
      <formula1>$AJ$326:$AJ$329</formula1>
    </dataValidation>
    <dataValidation type="list" allowBlank="1" showInputMessage="1" showErrorMessage="1" sqref="P329:S329" xr:uid="{F36208C9-7AC5-49C3-82E9-188C9A389661}">
      <formula1>$AJ$322:$AJ$324</formula1>
    </dataValidation>
    <dataValidation type="list" allowBlank="1" showInputMessage="1" showErrorMessage="1" sqref="E330:J330" xr:uid="{BC7723A1-F713-4D77-A225-4755655D3AAE}">
      <formula1>$AI$322:$AI$331</formula1>
    </dataValidation>
  </dataValidations>
  <printOptions horizontalCentered="1"/>
  <pageMargins left="0.25" right="0.25" top="0.75" bottom="0.75" header="0.3" footer="0.3"/>
  <pageSetup paperSize="9" scale="79" fitToHeight="0" orientation="portrait" r:id="rId1"/>
  <ignoredErrors>
    <ignoredError sqref="Y244 Y205"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9B666C-C5D8-49DF-80D5-1148CCABBD12}">
          <x14:formula1>
            <xm:f>'VANTAGEM DA COISA FEITA'!$AN$11:$AQ$11</xm:f>
          </x14:formula1>
          <xm:sqref>L377:S377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BH81"/>
  <sheetViews>
    <sheetView zoomScaleNormal="100" workbookViewId="0">
      <selection sqref="A1:R1"/>
    </sheetView>
  </sheetViews>
  <sheetFormatPr defaultColWidth="20.625" defaultRowHeight="15" x14ac:dyDescent="0.25"/>
  <cols>
    <col min="1" max="18" width="6.625" style="97" customWidth="1"/>
    <col min="19" max="16384" width="20.625" style="93"/>
  </cols>
  <sheetData>
    <row r="1" spans="1:60" ht="20.100000000000001" customHeight="1" thickBot="1" x14ac:dyDescent="0.3">
      <c r="A1" s="207" t="s">
        <v>281</v>
      </c>
      <c r="B1" s="207"/>
      <c r="C1" s="207"/>
      <c r="D1" s="207"/>
      <c r="E1" s="207"/>
      <c r="F1" s="207"/>
      <c r="G1" s="207"/>
      <c r="H1" s="207"/>
      <c r="I1" s="207"/>
      <c r="J1" s="207"/>
      <c r="K1" s="207"/>
      <c r="L1" s="207"/>
      <c r="M1" s="207"/>
      <c r="N1" s="207"/>
      <c r="O1" s="207"/>
      <c r="P1" s="207"/>
      <c r="Q1" s="207"/>
      <c r="R1" s="207"/>
    </row>
    <row r="2" spans="1:60" x14ac:dyDescent="0.25">
      <c r="A2" s="27"/>
      <c r="B2" s="27"/>
      <c r="C2" s="27"/>
      <c r="D2" s="27"/>
      <c r="E2" s="27"/>
      <c r="F2" s="27"/>
      <c r="G2" s="27"/>
      <c r="H2" s="27"/>
      <c r="I2" s="27"/>
      <c r="J2" s="27"/>
      <c r="K2" s="27"/>
      <c r="L2" s="27"/>
      <c r="M2" s="27"/>
      <c r="N2" s="27"/>
      <c r="O2" s="27"/>
      <c r="P2" s="27"/>
      <c r="Q2" s="27"/>
      <c r="R2" s="27"/>
    </row>
    <row r="3" spans="1:60" ht="20.100000000000001" customHeight="1" x14ac:dyDescent="0.25">
      <c r="A3" s="208" t="s">
        <v>282</v>
      </c>
      <c r="B3" s="208"/>
      <c r="C3" s="208"/>
      <c r="D3" s="208"/>
      <c r="E3" s="208"/>
      <c r="F3" s="208"/>
      <c r="G3" s="208"/>
      <c r="H3" s="208"/>
      <c r="I3" s="208"/>
      <c r="J3" s="208"/>
      <c r="K3" s="208"/>
      <c r="L3" s="208"/>
      <c r="M3" s="208"/>
      <c r="N3" s="208"/>
      <c r="O3" s="208"/>
      <c r="P3" s="208"/>
      <c r="Q3" s="208"/>
      <c r="R3" s="208"/>
    </row>
    <row r="4" spans="1:60" ht="20.100000000000001" customHeight="1" x14ac:dyDescent="0.25">
      <c r="A4" s="208"/>
      <c r="B4" s="208"/>
      <c r="C4" s="208"/>
      <c r="D4" s="208"/>
      <c r="E4" s="208"/>
      <c r="F4" s="208"/>
      <c r="G4" s="208"/>
      <c r="H4" s="208"/>
      <c r="I4" s="208"/>
      <c r="J4" s="208"/>
      <c r="K4" s="208"/>
      <c r="L4" s="208"/>
      <c r="M4" s="208"/>
      <c r="N4" s="208"/>
      <c r="O4" s="208"/>
      <c r="P4" s="208"/>
      <c r="Q4" s="208"/>
      <c r="R4" s="208"/>
    </row>
    <row r="5" spans="1:60" ht="20.100000000000001" customHeight="1" x14ac:dyDescent="0.25">
      <c r="A5" s="209" t="s">
        <v>283</v>
      </c>
      <c r="B5" s="209"/>
      <c r="C5" s="209"/>
      <c r="D5" s="209"/>
      <c r="E5" s="209"/>
      <c r="F5" s="209"/>
      <c r="G5" s="209"/>
      <c r="H5" s="209"/>
      <c r="I5" s="209"/>
      <c r="J5" s="209"/>
      <c r="K5" s="209"/>
      <c r="L5" s="209"/>
      <c r="M5" s="209"/>
      <c r="N5" s="209"/>
      <c r="O5" s="209"/>
      <c r="P5" s="209"/>
      <c r="Q5" s="209"/>
      <c r="R5" s="209"/>
      <c r="AR5" s="99"/>
      <c r="AS5" s="99"/>
      <c r="AT5" s="99"/>
      <c r="AU5" s="99"/>
      <c r="AV5" s="99"/>
      <c r="AW5" s="99"/>
      <c r="AX5" s="99"/>
      <c r="AY5" s="99"/>
      <c r="AZ5" s="99"/>
      <c r="BA5" s="99"/>
      <c r="BB5" s="99"/>
    </row>
    <row r="6" spans="1:60" ht="20.100000000000001" customHeight="1" x14ac:dyDescent="0.25">
      <c r="A6" s="210" t="s">
        <v>284</v>
      </c>
      <c r="B6" s="210"/>
      <c r="C6" s="210"/>
      <c r="D6" s="210"/>
      <c r="E6" s="210" t="s">
        <v>285</v>
      </c>
      <c r="F6" s="210"/>
      <c r="G6" s="210" t="s">
        <v>286</v>
      </c>
      <c r="H6" s="210"/>
      <c r="I6" s="210"/>
      <c r="J6" s="210"/>
      <c r="K6" s="210" t="s">
        <v>287</v>
      </c>
      <c r="L6" s="210"/>
      <c r="M6" s="210"/>
      <c r="N6" s="210"/>
      <c r="O6" s="210" t="s">
        <v>288</v>
      </c>
      <c r="P6" s="210"/>
      <c r="Q6" s="210"/>
      <c r="R6" s="210"/>
      <c r="AR6" s="99"/>
      <c r="AS6" s="99"/>
      <c r="AT6" s="99"/>
      <c r="AU6" s="99"/>
      <c r="AV6" s="99"/>
      <c r="AW6" s="99"/>
      <c r="AX6" s="99"/>
      <c r="AY6" s="99"/>
      <c r="AZ6" s="99"/>
      <c r="BA6" s="99"/>
      <c r="BB6" s="99"/>
    </row>
    <row r="7" spans="1:60" ht="20.100000000000001" customHeight="1" x14ac:dyDescent="0.25">
      <c r="A7" s="212" t="s">
        <v>289</v>
      </c>
      <c r="B7" s="212"/>
      <c r="C7" s="212"/>
      <c r="D7" s="212"/>
      <c r="E7" s="211">
        <v>0.25</v>
      </c>
      <c r="F7" s="211"/>
      <c r="G7" s="211">
        <v>0.25</v>
      </c>
      <c r="H7" s="211"/>
      <c r="I7" s="211">
        <v>0.21</v>
      </c>
      <c r="J7" s="211"/>
      <c r="K7" s="211">
        <v>0.21</v>
      </c>
      <c r="L7" s="211"/>
      <c r="M7" s="211">
        <v>0.13</v>
      </c>
      <c r="N7" s="211"/>
      <c r="O7" s="211">
        <v>0.13</v>
      </c>
      <c r="P7" s="211"/>
      <c r="Q7" s="211">
        <v>0</v>
      </c>
      <c r="R7" s="211"/>
      <c r="AR7" s="99"/>
      <c r="AS7" s="99"/>
      <c r="AT7" s="99"/>
      <c r="AU7" s="99"/>
      <c r="AV7" s="99"/>
      <c r="AW7" s="99"/>
      <c r="AX7" s="99"/>
      <c r="AY7" s="99"/>
      <c r="AZ7" s="99"/>
      <c r="BA7" s="99"/>
      <c r="BB7" s="99"/>
    </row>
    <row r="8" spans="1:60" ht="20.100000000000001" customHeight="1" x14ac:dyDescent="0.25">
      <c r="A8" s="212"/>
      <c r="B8" s="212"/>
      <c r="C8" s="212"/>
      <c r="D8" s="212"/>
      <c r="E8" s="211"/>
      <c r="F8" s="211"/>
      <c r="G8" s="211"/>
      <c r="H8" s="211"/>
      <c r="I8" s="211"/>
      <c r="J8" s="211"/>
      <c r="K8" s="211"/>
      <c r="L8" s="211"/>
      <c r="M8" s="211"/>
      <c r="N8" s="211"/>
      <c r="O8" s="211"/>
      <c r="P8" s="211"/>
      <c r="Q8" s="211"/>
      <c r="R8" s="211"/>
      <c r="AR8" s="99"/>
      <c r="AS8" s="99"/>
      <c r="AT8" s="99"/>
      <c r="AU8" s="99"/>
      <c r="AV8" s="99"/>
      <c r="AW8" s="99"/>
      <c r="AX8" s="99"/>
      <c r="AY8" s="99"/>
      <c r="AZ8" s="99"/>
      <c r="BA8" s="99"/>
      <c r="BB8" s="99"/>
    </row>
    <row r="9" spans="1:60" ht="20.100000000000001" customHeight="1" x14ac:dyDescent="0.25">
      <c r="A9" s="212" t="s">
        <v>291</v>
      </c>
      <c r="B9" s="212"/>
      <c r="C9" s="212"/>
      <c r="D9" s="212"/>
      <c r="E9" s="211">
        <v>0.15</v>
      </c>
      <c r="F9" s="211"/>
      <c r="G9" s="211">
        <v>0.15</v>
      </c>
      <c r="H9" s="211"/>
      <c r="I9" s="211">
        <v>0.125</v>
      </c>
      <c r="J9" s="211"/>
      <c r="K9" s="211">
        <v>0.125</v>
      </c>
      <c r="L9" s="211"/>
      <c r="M9" s="211">
        <v>7.8E-2</v>
      </c>
      <c r="N9" s="211"/>
      <c r="O9" s="211">
        <v>7.8E-2</v>
      </c>
      <c r="P9" s="211"/>
      <c r="Q9" s="211">
        <v>0</v>
      </c>
      <c r="R9" s="211"/>
      <c r="AR9" s="99"/>
      <c r="AS9" s="99"/>
      <c r="AT9" s="99"/>
      <c r="AU9" s="99"/>
      <c r="AV9" s="99"/>
      <c r="AW9" s="99"/>
      <c r="AX9" s="99"/>
      <c r="AY9" s="99"/>
      <c r="AZ9" s="99"/>
      <c r="BA9" s="99"/>
      <c r="BB9" s="99"/>
    </row>
    <row r="10" spans="1:60" ht="20.100000000000001" customHeight="1" x14ac:dyDescent="0.25">
      <c r="A10" s="212"/>
      <c r="B10" s="212"/>
      <c r="C10" s="212"/>
      <c r="D10" s="212"/>
      <c r="E10" s="211"/>
      <c r="F10" s="211"/>
      <c r="G10" s="211"/>
      <c r="H10" s="211"/>
      <c r="I10" s="211"/>
      <c r="J10" s="211"/>
      <c r="K10" s="211"/>
      <c r="L10" s="211"/>
      <c r="M10" s="211"/>
      <c r="N10" s="211"/>
      <c r="O10" s="211"/>
      <c r="P10" s="211"/>
      <c r="Q10" s="211"/>
      <c r="R10" s="211"/>
      <c r="AR10" s="99"/>
      <c r="AS10" s="99"/>
      <c r="AT10" s="99"/>
      <c r="AU10" s="99"/>
      <c r="AV10" s="99"/>
      <c r="AW10" s="99"/>
      <c r="AX10" s="99"/>
      <c r="AY10" s="99"/>
      <c r="AZ10" s="99"/>
      <c r="BA10" s="99"/>
      <c r="BB10" s="99"/>
    </row>
    <row r="11" spans="1:60" ht="20.100000000000001" customHeight="1" x14ac:dyDescent="0.25">
      <c r="A11" s="212" t="s">
        <v>293</v>
      </c>
      <c r="B11" s="212"/>
      <c r="C11" s="212"/>
      <c r="D11" s="212"/>
      <c r="E11" s="211">
        <v>0.1</v>
      </c>
      <c r="F11" s="211"/>
      <c r="G11" s="211">
        <v>0.1</v>
      </c>
      <c r="H11" s="211"/>
      <c r="I11" s="211">
        <v>8.4000000000000005E-2</v>
      </c>
      <c r="J11" s="211"/>
      <c r="K11" s="211">
        <v>8.4000000000000005E-2</v>
      </c>
      <c r="L11" s="211"/>
      <c r="M11" s="211">
        <v>5.1999999999999998E-2</v>
      </c>
      <c r="N11" s="211"/>
      <c r="O11" s="211">
        <v>5.1999999999999998E-2</v>
      </c>
      <c r="P11" s="211"/>
      <c r="Q11" s="211">
        <v>0</v>
      </c>
      <c r="R11" s="211"/>
      <c r="AM11" s="94" t="s">
        <v>294</v>
      </c>
      <c r="AN11" s="94" t="s">
        <v>289</v>
      </c>
      <c r="AO11" s="94" t="s">
        <v>291</v>
      </c>
      <c r="AP11" s="94" t="s">
        <v>293</v>
      </c>
      <c r="AQ11" s="94" t="s">
        <v>295</v>
      </c>
      <c r="AR11" s="99"/>
      <c r="AS11" s="213" t="s">
        <v>296</v>
      </c>
      <c r="AT11" s="213"/>
      <c r="AU11" s="213"/>
      <c r="AV11" s="213"/>
      <c r="AW11" s="213"/>
      <c r="AX11" s="213"/>
      <c r="AY11" s="213"/>
      <c r="AZ11" s="213"/>
      <c r="BA11" s="213"/>
      <c r="BB11" s="213"/>
    </row>
    <row r="12" spans="1:60" ht="20.100000000000001" customHeight="1" x14ac:dyDescent="0.25">
      <c r="A12" s="212"/>
      <c r="B12" s="212"/>
      <c r="C12" s="212"/>
      <c r="D12" s="212"/>
      <c r="E12" s="211"/>
      <c r="F12" s="211"/>
      <c r="G12" s="211"/>
      <c r="H12" s="211"/>
      <c r="I12" s="211"/>
      <c r="J12" s="211"/>
      <c r="K12" s="211"/>
      <c r="L12" s="211"/>
      <c r="M12" s="211"/>
      <c r="N12" s="211"/>
      <c r="O12" s="211"/>
      <c r="P12" s="211"/>
      <c r="Q12" s="211"/>
      <c r="R12" s="211"/>
      <c r="AM12" s="90">
        <f t="shared" ref="AM12:AM41" si="0">AT12</f>
        <v>1</v>
      </c>
      <c r="AN12" s="95">
        <f t="shared" ref="AN12:AN41" si="1">AV12/100</f>
        <v>0.24600000000000002</v>
      </c>
      <c r="AO12" s="95">
        <f t="shared" ref="AO12:AO41" si="2">AX12/100</f>
        <v>0.14749999999999999</v>
      </c>
      <c r="AP12" s="95">
        <f t="shared" ref="AP12:AP41" si="3">AZ12/100</f>
        <v>9.8400000000000001E-2</v>
      </c>
      <c r="AQ12" s="95">
        <f t="shared" ref="AQ12:AQ41" si="4">BB12/100</f>
        <v>4.9200000000000001E-2</v>
      </c>
      <c r="AR12" s="99"/>
      <c r="AS12" s="214"/>
      <c r="AT12" s="100">
        <v>1</v>
      </c>
      <c r="AU12" s="214"/>
      <c r="AV12" s="101">
        <f t="shared" ref="AV12:AV21" si="5">25-AT12*4/10</f>
        <v>24.6</v>
      </c>
      <c r="AW12" s="214"/>
      <c r="AX12" s="101">
        <f t="shared" ref="AX12:AX21" si="6">15-(AT12*2.5/10)</f>
        <v>14.75</v>
      </c>
      <c r="AY12" s="214"/>
      <c r="AZ12" s="101">
        <f t="shared" ref="AZ12:AZ21" si="7">10-AT12*1.6/10</f>
        <v>9.84</v>
      </c>
      <c r="BA12" s="214"/>
      <c r="BB12" s="101">
        <f t="shared" ref="BB12:BB21" si="8">5-AT12*0.8/10</f>
        <v>4.92</v>
      </c>
      <c r="BE12" s="96"/>
      <c r="BF12" s="96"/>
      <c r="BG12" s="96"/>
      <c r="BH12" s="96"/>
    </row>
    <row r="13" spans="1:60" ht="20.100000000000001" customHeight="1" x14ac:dyDescent="0.25">
      <c r="A13" s="212" t="s">
        <v>295</v>
      </c>
      <c r="B13" s="212"/>
      <c r="C13" s="212"/>
      <c r="D13" s="212"/>
      <c r="E13" s="211">
        <v>0.05</v>
      </c>
      <c r="F13" s="211"/>
      <c r="G13" s="211">
        <v>0.05</v>
      </c>
      <c r="H13" s="211"/>
      <c r="I13" s="211">
        <v>4.2000000000000003E-2</v>
      </c>
      <c r="J13" s="211"/>
      <c r="K13" s="211">
        <v>4.2000000000000003E-2</v>
      </c>
      <c r="L13" s="211"/>
      <c r="M13" s="211">
        <v>2.5999999999999999E-2</v>
      </c>
      <c r="N13" s="211"/>
      <c r="O13" s="211">
        <v>2.5999999999999999E-2</v>
      </c>
      <c r="P13" s="211"/>
      <c r="Q13" s="211">
        <v>0</v>
      </c>
      <c r="R13" s="211"/>
      <c r="AM13" s="90">
        <f t="shared" si="0"/>
        <v>2</v>
      </c>
      <c r="AN13" s="95">
        <f t="shared" si="1"/>
        <v>0.24199999999999999</v>
      </c>
      <c r="AO13" s="95">
        <f t="shared" si="2"/>
        <v>0.14499999999999999</v>
      </c>
      <c r="AP13" s="95">
        <f t="shared" si="3"/>
        <v>9.6799999999999997E-2</v>
      </c>
      <c r="AQ13" s="95">
        <f t="shared" si="4"/>
        <v>4.8399999999999999E-2</v>
      </c>
      <c r="AR13" s="99"/>
      <c r="AS13" s="214"/>
      <c r="AT13" s="100">
        <v>2</v>
      </c>
      <c r="AU13" s="214"/>
      <c r="AV13" s="101">
        <f t="shared" si="5"/>
        <v>24.2</v>
      </c>
      <c r="AW13" s="214"/>
      <c r="AX13" s="101">
        <f t="shared" si="6"/>
        <v>14.5</v>
      </c>
      <c r="AY13" s="214"/>
      <c r="AZ13" s="101">
        <f t="shared" si="7"/>
        <v>9.68</v>
      </c>
      <c r="BA13" s="214"/>
      <c r="BB13" s="101">
        <f t="shared" si="8"/>
        <v>4.84</v>
      </c>
      <c r="BE13" s="96"/>
      <c r="BF13" s="96"/>
      <c r="BG13" s="96"/>
      <c r="BH13" s="96"/>
    </row>
    <row r="14" spans="1:60" ht="20.100000000000001" customHeight="1" x14ac:dyDescent="0.25">
      <c r="A14" s="212"/>
      <c r="B14" s="212"/>
      <c r="C14" s="212"/>
      <c r="D14" s="212"/>
      <c r="E14" s="211"/>
      <c r="F14" s="211"/>
      <c r="G14" s="211"/>
      <c r="H14" s="211"/>
      <c r="I14" s="211"/>
      <c r="J14" s="211"/>
      <c r="K14" s="211"/>
      <c r="L14" s="211"/>
      <c r="M14" s="211"/>
      <c r="N14" s="211"/>
      <c r="O14" s="211"/>
      <c r="P14" s="211"/>
      <c r="Q14" s="211"/>
      <c r="R14" s="211"/>
      <c r="AM14" s="90">
        <f t="shared" si="0"/>
        <v>3</v>
      </c>
      <c r="AN14" s="95">
        <f t="shared" si="1"/>
        <v>0.23800000000000002</v>
      </c>
      <c r="AO14" s="95">
        <f t="shared" si="2"/>
        <v>0.14249999999999999</v>
      </c>
      <c r="AP14" s="95">
        <f t="shared" si="3"/>
        <v>9.5199999999999993E-2</v>
      </c>
      <c r="AQ14" s="95">
        <f t="shared" si="4"/>
        <v>4.7599999999999996E-2</v>
      </c>
      <c r="AR14" s="99"/>
      <c r="AS14" s="214"/>
      <c r="AT14" s="100">
        <v>3</v>
      </c>
      <c r="AU14" s="214"/>
      <c r="AV14" s="101">
        <f t="shared" si="5"/>
        <v>23.8</v>
      </c>
      <c r="AW14" s="214"/>
      <c r="AX14" s="101">
        <f t="shared" si="6"/>
        <v>14.25</v>
      </c>
      <c r="AY14" s="214"/>
      <c r="AZ14" s="101">
        <f t="shared" si="7"/>
        <v>9.52</v>
      </c>
      <c r="BA14" s="214"/>
      <c r="BB14" s="101">
        <f t="shared" si="8"/>
        <v>4.76</v>
      </c>
      <c r="BE14" s="96"/>
      <c r="BF14" s="96"/>
      <c r="BG14" s="96"/>
      <c r="BH14" s="96"/>
    </row>
    <row r="15" spans="1:60" ht="20.100000000000001" customHeight="1" x14ac:dyDescent="0.25">
      <c r="A15" s="209" t="s">
        <v>297</v>
      </c>
      <c r="B15" s="209"/>
      <c r="C15" s="209"/>
      <c r="D15" s="209"/>
      <c r="E15" s="209"/>
      <c r="F15" s="209"/>
      <c r="G15" s="209"/>
      <c r="H15" s="209"/>
      <c r="I15" s="209"/>
      <c r="J15" s="209"/>
      <c r="K15" s="209"/>
      <c r="L15" s="209"/>
      <c r="M15" s="209"/>
      <c r="N15" s="209"/>
      <c r="O15" s="209"/>
      <c r="P15" s="209"/>
      <c r="Q15" s="209"/>
      <c r="R15" s="209"/>
      <c r="AM15" s="90">
        <f t="shared" si="0"/>
        <v>4</v>
      </c>
      <c r="AN15" s="95">
        <f t="shared" si="1"/>
        <v>0.23399999999999999</v>
      </c>
      <c r="AO15" s="95">
        <f t="shared" si="2"/>
        <v>0.14000000000000001</v>
      </c>
      <c r="AP15" s="95">
        <f t="shared" si="3"/>
        <v>9.3599999999999989E-2</v>
      </c>
      <c r="AQ15" s="95">
        <f t="shared" si="4"/>
        <v>4.6799999999999994E-2</v>
      </c>
      <c r="AR15" s="99"/>
      <c r="AS15" s="214"/>
      <c r="AT15" s="100">
        <v>4</v>
      </c>
      <c r="AU15" s="214"/>
      <c r="AV15" s="101">
        <f t="shared" si="5"/>
        <v>23.4</v>
      </c>
      <c r="AW15" s="214"/>
      <c r="AX15" s="101">
        <f t="shared" si="6"/>
        <v>14</v>
      </c>
      <c r="AY15" s="214"/>
      <c r="AZ15" s="101">
        <f t="shared" si="7"/>
        <v>9.36</v>
      </c>
      <c r="BA15" s="214"/>
      <c r="BB15" s="101">
        <f t="shared" si="8"/>
        <v>4.68</v>
      </c>
      <c r="BE15" s="96"/>
      <c r="BF15" s="96"/>
      <c r="BG15" s="96"/>
      <c r="BH15" s="96"/>
    </row>
    <row r="16" spans="1:60" ht="20.100000000000001" customHeight="1" x14ac:dyDescent="0.25">
      <c r="A16" s="209" t="s">
        <v>298</v>
      </c>
      <c r="B16" s="209"/>
      <c r="C16" s="209"/>
      <c r="D16" s="209"/>
      <c r="E16" s="209"/>
      <c r="F16" s="209"/>
      <c r="G16" s="209"/>
      <c r="H16" s="209"/>
      <c r="I16" s="209"/>
      <c r="J16" s="209"/>
      <c r="K16" s="209"/>
      <c r="L16" s="209"/>
      <c r="M16" s="209"/>
      <c r="N16" s="209"/>
      <c r="O16" s="209"/>
      <c r="P16" s="209"/>
      <c r="Q16" s="209"/>
      <c r="R16" s="209"/>
      <c r="AM16" s="90">
        <f t="shared" si="0"/>
        <v>5</v>
      </c>
      <c r="AN16" s="95">
        <f t="shared" si="1"/>
        <v>0.23</v>
      </c>
      <c r="AO16" s="95">
        <f t="shared" si="2"/>
        <v>0.13750000000000001</v>
      </c>
      <c r="AP16" s="95">
        <f t="shared" si="3"/>
        <v>9.1999999999999998E-2</v>
      </c>
      <c r="AQ16" s="95">
        <f t="shared" si="4"/>
        <v>4.5999999999999999E-2</v>
      </c>
      <c r="AR16" s="99"/>
      <c r="AS16" s="214"/>
      <c r="AT16" s="100">
        <v>5</v>
      </c>
      <c r="AU16" s="214"/>
      <c r="AV16" s="101">
        <f t="shared" si="5"/>
        <v>23</v>
      </c>
      <c r="AW16" s="214"/>
      <c r="AX16" s="101">
        <f t="shared" si="6"/>
        <v>13.75</v>
      </c>
      <c r="AY16" s="214"/>
      <c r="AZ16" s="101">
        <f t="shared" si="7"/>
        <v>9.1999999999999993</v>
      </c>
      <c r="BA16" s="214"/>
      <c r="BB16" s="101">
        <f t="shared" si="8"/>
        <v>4.5999999999999996</v>
      </c>
      <c r="BE16" s="96"/>
      <c r="BF16" s="96"/>
      <c r="BG16" s="96"/>
      <c r="BH16" s="96"/>
    </row>
    <row r="17" spans="1:60" ht="20.100000000000001" customHeight="1" x14ac:dyDescent="0.25">
      <c r="A17" s="209" t="s">
        <v>299</v>
      </c>
      <c r="B17" s="209"/>
      <c r="C17" s="209"/>
      <c r="D17" s="215" t="s">
        <v>300</v>
      </c>
      <c r="E17" s="215"/>
      <c r="F17" s="215"/>
      <c r="G17" s="215"/>
      <c r="H17" s="215"/>
      <c r="I17" s="215"/>
      <c r="J17" s="215"/>
      <c r="K17" s="215"/>
      <c r="L17" s="215"/>
      <c r="M17" s="215"/>
      <c r="N17" s="215"/>
      <c r="O17" s="215"/>
      <c r="P17" s="215"/>
      <c r="Q17" s="215"/>
      <c r="R17" s="215"/>
      <c r="AM17" s="90">
        <f t="shared" si="0"/>
        <v>6</v>
      </c>
      <c r="AN17" s="95">
        <f t="shared" si="1"/>
        <v>0.22600000000000001</v>
      </c>
      <c r="AO17" s="95">
        <f t="shared" si="2"/>
        <v>0.13500000000000001</v>
      </c>
      <c r="AP17" s="95">
        <f t="shared" si="3"/>
        <v>9.0399999999999994E-2</v>
      </c>
      <c r="AQ17" s="95">
        <f t="shared" si="4"/>
        <v>4.5199999999999997E-2</v>
      </c>
      <c r="AR17" s="99"/>
      <c r="AS17" s="214"/>
      <c r="AT17" s="100">
        <v>6</v>
      </c>
      <c r="AU17" s="214"/>
      <c r="AV17" s="101">
        <f t="shared" si="5"/>
        <v>22.6</v>
      </c>
      <c r="AW17" s="214"/>
      <c r="AX17" s="101">
        <f t="shared" si="6"/>
        <v>13.5</v>
      </c>
      <c r="AY17" s="214"/>
      <c r="AZ17" s="101">
        <f t="shared" si="7"/>
        <v>9.0399999999999991</v>
      </c>
      <c r="BA17" s="214"/>
      <c r="BB17" s="101">
        <f t="shared" si="8"/>
        <v>4.5199999999999996</v>
      </c>
      <c r="BE17" s="96"/>
      <c r="BF17" s="96"/>
      <c r="BG17" s="96"/>
      <c r="BH17" s="96"/>
    </row>
    <row r="18" spans="1:60" ht="20.100000000000001" customHeight="1" x14ac:dyDescent="0.25">
      <c r="A18" s="117" t="s">
        <v>301</v>
      </c>
      <c r="B18" s="117"/>
      <c r="C18" s="117"/>
      <c r="D18" s="117"/>
      <c r="E18" s="117"/>
      <c r="F18" s="117"/>
      <c r="G18" s="117"/>
      <c r="H18" s="117"/>
      <c r="I18" s="117"/>
      <c r="J18" s="117"/>
      <c r="K18" s="117"/>
      <c r="L18" s="117"/>
      <c r="M18" s="117"/>
      <c r="N18" s="117"/>
      <c r="O18" s="117"/>
      <c r="P18" s="117"/>
      <c r="Q18" s="117"/>
      <c r="R18" s="117"/>
      <c r="AM18" s="90">
        <f t="shared" si="0"/>
        <v>7</v>
      </c>
      <c r="AN18" s="95">
        <f t="shared" si="1"/>
        <v>0.222</v>
      </c>
      <c r="AO18" s="95">
        <f t="shared" si="2"/>
        <v>0.13250000000000001</v>
      </c>
      <c r="AP18" s="95">
        <f t="shared" si="3"/>
        <v>8.879999999999999E-2</v>
      </c>
      <c r="AQ18" s="95">
        <f t="shared" si="4"/>
        <v>4.4399999999999995E-2</v>
      </c>
      <c r="AR18" s="99"/>
      <c r="AS18" s="214"/>
      <c r="AT18" s="100">
        <v>7</v>
      </c>
      <c r="AU18" s="214"/>
      <c r="AV18" s="101">
        <f t="shared" si="5"/>
        <v>22.2</v>
      </c>
      <c r="AW18" s="214"/>
      <c r="AX18" s="101">
        <f t="shared" si="6"/>
        <v>13.25</v>
      </c>
      <c r="AY18" s="214"/>
      <c r="AZ18" s="101">
        <f t="shared" si="7"/>
        <v>8.879999999999999</v>
      </c>
      <c r="BA18" s="214"/>
      <c r="BB18" s="101">
        <f t="shared" si="8"/>
        <v>4.4399999999999995</v>
      </c>
      <c r="BE18" s="96"/>
      <c r="BF18" s="96"/>
      <c r="BG18" s="96"/>
      <c r="BH18" s="96"/>
    </row>
    <row r="19" spans="1:60" ht="20.100000000000001" customHeight="1" x14ac:dyDescent="0.25">
      <c r="A19" s="117"/>
      <c r="B19" s="117"/>
      <c r="C19" s="117"/>
      <c r="D19" s="117"/>
      <c r="E19" s="117"/>
      <c r="F19" s="117"/>
      <c r="G19" s="117"/>
      <c r="H19" s="117"/>
      <c r="I19" s="117"/>
      <c r="J19" s="117"/>
      <c r="K19" s="117"/>
      <c r="L19" s="117"/>
      <c r="M19" s="117"/>
      <c r="N19" s="117"/>
      <c r="O19" s="117"/>
      <c r="P19" s="117"/>
      <c r="Q19" s="117"/>
      <c r="R19" s="117"/>
      <c r="AM19" s="90">
        <f t="shared" si="0"/>
        <v>8</v>
      </c>
      <c r="AN19" s="95">
        <f t="shared" si="1"/>
        <v>0.218</v>
      </c>
      <c r="AO19" s="95">
        <f t="shared" si="2"/>
        <v>0.13</v>
      </c>
      <c r="AP19" s="95">
        <f t="shared" si="3"/>
        <v>8.72E-2</v>
      </c>
      <c r="AQ19" s="95">
        <f t="shared" si="4"/>
        <v>4.36E-2</v>
      </c>
      <c r="AR19" s="99"/>
      <c r="AS19" s="214"/>
      <c r="AT19" s="100">
        <v>8</v>
      </c>
      <c r="AU19" s="214"/>
      <c r="AV19" s="101">
        <f t="shared" si="5"/>
        <v>21.8</v>
      </c>
      <c r="AW19" s="214"/>
      <c r="AX19" s="101">
        <f t="shared" si="6"/>
        <v>13</v>
      </c>
      <c r="AY19" s="214"/>
      <c r="AZ19" s="101">
        <f t="shared" si="7"/>
        <v>8.7200000000000006</v>
      </c>
      <c r="BA19" s="214"/>
      <c r="BB19" s="101">
        <f t="shared" si="8"/>
        <v>4.3600000000000003</v>
      </c>
      <c r="BE19" s="96"/>
      <c r="BF19" s="96"/>
      <c r="BG19" s="96"/>
      <c r="BH19" s="96"/>
    </row>
    <row r="20" spans="1:60" ht="20.100000000000001" customHeight="1" x14ac:dyDescent="0.25">
      <c r="A20" s="117"/>
      <c r="B20" s="117"/>
      <c r="C20" s="117"/>
      <c r="D20" s="117"/>
      <c r="E20" s="117"/>
      <c r="F20" s="117"/>
      <c r="G20" s="117"/>
      <c r="H20" s="117"/>
      <c r="I20" s="117"/>
      <c r="J20" s="117"/>
      <c r="K20" s="117"/>
      <c r="L20" s="117"/>
      <c r="M20" s="117"/>
      <c r="N20" s="117"/>
      <c r="O20" s="117"/>
      <c r="P20" s="117"/>
      <c r="Q20" s="117"/>
      <c r="R20" s="117"/>
      <c r="AM20" s="90">
        <f t="shared" si="0"/>
        <v>9</v>
      </c>
      <c r="AN20" s="95">
        <f t="shared" si="1"/>
        <v>0.214</v>
      </c>
      <c r="AO20" s="95">
        <f t="shared" si="2"/>
        <v>0.1275</v>
      </c>
      <c r="AP20" s="95">
        <f t="shared" si="3"/>
        <v>8.5600000000000009E-2</v>
      </c>
      <c r="AQ20" s="95">
        <f t="shared" si="4"/>
        <v>4.2800000000000005E-2</v>
      </c>
      <c r="AR20" s="99"/>
      <c r="AS20" s="214"/>
      <c r="AT20" s="100">
        <v>9</v>
      </c>
      <c r="AU20" s="214"/>
      <c r="AV20" s="101">
        <f t="shared" si="5"/>
        <v>21.4</v>
      </c>
      <c r="AW20" s="214"/>
      <c r="AX20" s="101">
        <f t="shared" si="6"/>
        <v>12.75</v>
      </c>
      <c r="AY20" s="214"/>
      <c r="AZ20" s="101">
        <f t="shared" si="7"/>
        <v>8.56</v>
      </c>
      <c r="BA20" s="214"/>
      <c r="BB20" s="101">
        <f t="shared" si="8"/>
        <v>4.28</v>
      </c>
      <c r="BE20" s="96"/>
      <c r="BF20" s="96"/>
      <c r="BG20" s="96"/>
      <c r="BH20" s="96"/>
    </row>
    <row r="21" spans="1:60" ht="20.100000000000001" customHeight="1" x14ac:dyDescent="0.25">
      <c r="A21" s="93"/>
      <c r="B21" s="93"/>
      <c r="C21" s="93"/>
      <c r="D21" s="93"/>
      <c r="E21" s="93"/>
      <c r="F21" s="93"/>
      <c r="G21" s="93"/>
      <c r="H21" s="93"/>
      <c r="I21" s="93"/>
      <c r="J21" s="93"/>
      <c r="K21" s="93"/>
      <c r="L21" s="93"/>
      <c r="M21" s="93"/>
      <c r="N21" s="93"/>
      <c r="O21" s="93"/>
      <c r="P21" s="93"/>
      <c r="Q21" s="93"/>
      <c r="R21" s="93"/>
      <c r="AM21" s="90">
        <f t="shared" si="0"/>
        <v>10</v>
      </c>
      <c r="AN21" s="95">
        <f t="shared" si="1"/>
        <v>0.21</v>
      </c>
      <c r="AO21" s="95">
        <f t="shared" si="2"/>
        <v>0.125</v>
      </c>
      <c r="AP21" s="95">
        <f t="shared" si="3"/>
        <v>8.4000000000000005E-2</v>
      </c>
      <c r="AQ21" s="95">
        <f t="shared" si="4"/>
        <v>4.2000000000000003E-2</v>
      </c>
      <c r="AR21" s="99"/>
      <c r="AS21" s="214"/>
      <c r="AT21" s="100">
        <v>10</v>
      </c>
      <c r="AU21" s="214"/>
      <c r="AV21" s="101">
        <f t="shared" si="5"/>
        <v>21</v>
      </c>
      <c r="AW21" s="214"/>
      <c r="AX21" s="101">
        <f t="shared" si="6"/>
        <v>12.5</v>
      </c>
      <c r="AY21" s="214"/>
      <c r="AZ21" s="101">
        <f t="shared" si="7"/>
        <v>8.4</v>
      </c>
      <c r="BA21" s="214"/>
      <c r="BB21" s="101">
        <f t="shared" si="8"/>
        <v>4.2</v>
      </c>
      <c r="BE21" s="96"/>
      <c r="BF21" s="96"/>
      <c r="BG21" s="96"/>
      <c r="BH21" s="96"/>
    </row>
    <row r="22" spans="1:60" ht="20.100000000000001" customHeight="1" x14ac:dyDescent="0.25">
      <c r="A22" s="93"/>
      <c r="B22" s="93"/>
      <c r="C22" s="93"/>
      <c r="D22" s="93"/>
      <c r="E22" s="93"/>
      <c r="F22" s="93"/>
      <c r="G22" s="93"/>
      <c r="H22" s="93"/>
      <c r="I22" s="93"/>
      <c r="J22" s="93"/>
      <c r="K22" s="93"/>
      <c r="L22" s="93"/>
      <c r="M22" s="93"/>
      <c r="N22" s="93"/>
      <c r="O22" s="93"/>
      <c r="P22" s="93"/>
      <c r="Q22" s="93"/>
      <c r="R22" s="93"/>
      <c r="AM22" s="90">
        <f t="shared" si="0"/>
        <v>11</v>
      </c>
      <c r="AN22" s="95">
        <f t="shared" si="1"/>
        <v>0.20199999999999999</v>
      </c>
      <c r="AO22" s="95">
        <f t="shared" si="2"/>
        <v>0.12029999999999999</v>
      </c>
      <c r="AP22" s="95">
        <f t="shared" si="3"/>
        <v>8.0799999999999997E-2</v>
      </c>
      <c r="AQ22" s="95">
        <f t="shared" si="4"/>
        <v>4.0399999999999998E-2</v>
      </c>
      <c r="AR22" s="99"/>
      <c r="AS22" s="214"/>
      <c r="AT22" s="100">
        <v>11</v>
      </c>
      <c r="AU22" s="214"/>
      <c r="AV22" s="101">
        <f t="shared" ref="AV22:AV31" si="9">21-((AT22-10)*(8/10))</f>
        <v>20.2</v>
      </c>
      <c r="AW22" s="214"/>
      <c r="AX22" s="101">
        <f t="shared" ref="AX22:AX31" si="10">12.5-(AT22-10)*4.7/10</f>
        <v>12.03</v>
      </c>
      <c r="AY22" s="214"/>
      <c r="AZ22" s="101">
        <f t="shared" ref="AZ22:AZ31" si="11">8.4-(AT22-10)*3.2/10</f>
        <v>8.08</v>
      </c>
      <c r="BA22" s="214"/>
      <c r="BB22" s="101">
        <f t="shared" ref="BB22:BB31" si="12">4.2-(AT22-10)*1.6/10</f>
        <v>4.04</v>
      </c>
      <c r="BE22" s="96"/>
      <c r="BF22" s="96"/>
      <c r="BG22" s="96"/>
      <c r="BH22" s="96"/>
    </row>
    <row r="23" spans="1:60" ht="20.100000000000001" customHeight="1" x14ac:dyDescent="0.25">
      <c r="A23" s="93"/>
      <c r="B23" s="93"/>
      <c r="C23" s="93"/>
      <c r="D23" s="93"/>
      <c r="E23" s="93"/>
      <c r="F23" s="93"/>
      <c r="G23" s="93"/>
      <c r="H23" s="93"/>
      <c r="I23" s="93"/>
      <c r="J23" s="93"/>
      <c r="K23" s="93"/>
      <c r="L23" s="93"/>
      <c r="M23" s="93"/>
      <c r="N23" s="93"/>
      <c r="O23" s="93"/>
      <c r="P23" s="93"/>
      <c r="Q23" s="93"/>
      <c r="R23" s="93"/>
      <c r="AM23" s="90">
        <f t="shared" si="0"/>
        <v>12</v>
      </c>
      <c r="AN23" s="95">
        <f t="shared" si="1"/>
        <v>0.19399999999999998</v>
      </c>
      <c r="AO23" s="95">
        <f t="shared" si="2"/>
        <v>0.11560000000000001</v>
      </c>
      <c r="AP23" s="95">
        <f t="shared" si="3"/>
        <v>7.7600000000000002E-2</v>
      </c>
      <c r="AQ23" s="95">
        <f t="shared" si="4"/>
        <v>3.8800000000000001E-2</v>
      </c>
      <c r="AR23" s="99"/>
      <c r="AS23" s="214"/>
      <c r="AT23" s="100">
        <v>12</v>
      </c>
      <c r="AU23" s="214"/>
      <c r="AV23" s="101">
        <f t="shared" si="9"/>
        <v>19.399999999999999</v>
      </c>
      <c r="AW23" s="214"/>
      <c r="AX23" s="101">
        <f t="shared" si="10"/>
        <v>11.56</v>
      </c>
      <c r="AY23" s="214"/>
      <c r="AZ23" s="101">
        <f t="shared" si="11"/>
        <v>7.7600000000000007</v>
      </c>
      <c r="BA23" s="214"/>
      <c r="BB23" s="101">
        <f t="shared" si="12"/>
        <v>3.8800000000000003</v>
      </c>
      <c r="BE23" s="96"/>
      <c r="BF23" s="96"/>
      <c r="BG23" s="96"/>
      <c r="BH23" s="96"/>
    </row>
    <row r="24" spans="1:60" ht="20.100000000000001" customHeight="1" x14ac:dyDescent="0.25">
      <c r="A24" s="93"/>
      <c r="B24" s="93"/>
      <c r="C24" s="93"/>
      <c r="D24" s="93"/>
      <c r="E24" s="93"/>
      <c r="F24" s="93"/>
      <c r="G24" s="93"/>
      <c r="H24" s="93"/>
      <c r="I24" s="93"/>
      <c r="J24" s="93"/>
      <c r="K24" s="93"/>
      <c r="L24" s="93"/>
      <c r="M24" s="93"/>
      <c r="N24" s="93"/>
      <c r="O24" s="93"/>
      <c r="P24" s="93"/>
      <c r="Q24" s="93"/>
      <c r="R24" s="93"/>
      <c r="AM24" s="90">
        <f t="shared" si="0"/>
        <v>13</v>
      </c>
      <c r="AN24" s="95">
        <f t="shared" si="1"/>
        <v>0.18600000000000003</v>
      </c>
      <c r="AO24" s="95">
        <f t="shared" si="2"/>
        <v>0.1109</v>
      </c>
      <c r="AP24" s="95">
        <f t="shared" si="3"/>
        <v>7.4400000000000008E-2</v>
      </c>
      <c r="AQ24" s="95">
        <f t="shared" si="4"/>
        <v>3.7200000000000004E-2</v>
      </c>
      <c r="AR24" s="99"/>
      <c r="AS24" s="214"/>
      <c r="AT24" s="100">
        <v>13</v>
      </c>
      <c r="AU24" s="214"/>
      <c r="AV24" s="101">
        <f t="shared" si="9"/>
        <v>18.600000000000001</v>
      </c>
      <c r="AW24" s="214"/>
      <c r="AX24" s="101">
        <f t="shared" si="10"/>
        <v>11.09</v>
      </c>
      <c r="AY24" s="214"/>
      <c r="AZ24" s="101">
        <f t="shared" si="11"/>
        <v>7.44</v>
      </c>
      <c r="BA24" s="214"/>
      <c r="BB24" s="101">
        <f t="shared" si="12"/>
        <v>3.72</v>
      </c>
      <c r="BE24" s="96"/>
      <c r="BF24" s="96"/>
      <c r="BG24" s="96"/>
      <c r="BH24" s="96"/>
    </row>
    <row r="25" spans="1:60" ht="20.100000000000001" customHeight="1" x14ac:dyDescent="0.25">
      <c r="A25" s="93"/>
      <c r="B25" s="93"/>
      <c r="C25" s="93"/>
      <c r="D25" s="93"/>
      <c r="E25" s="93"/>
      <c r="F25" s="93"/>
      <c r="G25" s="93"/>
      <c r="H25" s="93"/>
      <c r="I25" s="93"/>
      <c r="J25" s="93"/>
      <c r="K25" s="93"/>
      <c r="L25" s="93"/>
      <c r="M25" s="93"/>
      <c r="N25" s="93"/>
      <c r="O25" s="93"/>
      <c r="P25" s="93"/>
      <c r="Q25" s="93"/>
      <c r="R25" s="93"/>
      <c r="AM25" s="90">
        <f t="shared" si="0"/>
        <v>14</v>
      </c>
      <c r="AN25" s="95">
        <f t="shared" si="1"/>
        <v>0.17800000000000002</v>
      </c>
      <c r="AO25" s="95">
        <f t="shared" si="2"/>
        <v>0.10619999999999999</v>
      </c>
      <c r="AP25" s="95">
        <f t="shared" si="3"/>
        <v>7.1199999999999999E-2</v>
      </c>
      <c r="AQ25" s="95">
        <f t="shared" si="4"/>
        <v>3.56E-2</v>
      </c>
      <c r="AR25" s="99"/>
      <c r="AS25" s="214"/>
      <c r="AT25" s="100">
        <v>14</v>
      </c>
      <c r="AU25" s="214"/>
      <c r="AV25" s="101">
        <f t="shared" si="9"/>
        <v>17.8</v>
      </c>
      <c r="AW25" s="214"/>
      <c r="AX25" s="101">
        <f t="shared" si="10"/>
        <v>10.62</v>
      </c>
      <c r="AY25" s="214"/>
      <c r="AZ25" s="101">
        <f t="shared" si="11"/>
        <v>7.12</v>
      </c>
      <c r="BA25" s="214"/>
      <c r="BB25" s="101">
        <f t="shared" si="12"/>
        <v>3.56</v>
      </c>
      <c r="BE25" s="96"/>
      <c r="BF25" s="96"/>
      <c r="BG25" s="96"/>
      <c r="BH25" s="96"/>
    </row>
    <row r="26" spans="1:60" ht="20.100000000000001" customHeight="1" x14ac:dyDescent="0.25">
      <c r="A26" s="93"/>
      <c r="B26" s="93"/>
      <c r="C26" s="93"/>
      <c r="D26" s="93"/>
      <c r="E26" s="93"/>
      <c r="F26" s="93"/>
      <c r="G26" s="93"/>
      <c r="H26" s="93"/>
      <c r="I26" s="93"/>
      <c r="J26" s="93"/>
      <c r="K26" s="93"/>
      <c r="L26" s="93"/>
      <c r="M26" s="93"/>
      <c r="N26" s="93"/>
      <c r="O26" s="93"/>
      <c r="P26" s="93"/>
      <c r="Q26" s="93"/>
      <c r="R26" s="93"/>
      <c r="AM26" s="90">
        <f t="shared" si="0"/>
        <v>15</v>
      </c>
      <c r="AN26" s="95">
        <f t="shared" si="1"/>
        <v>0.17</v>
      </c>
      <c r="AO26" s="95">
        <f t="shared" si="2"/>
        <v>0.10150000000000001</v>
      </c>
      <c r="AP26" s="95">
        <f t="shared" si="3"/>
        <v>6.8000000000000005E-2</v>
      </c>
      <c r="AQ26" s="95">
        <f t="shared" si="4"/>
        <v>3.4000000000000002E-2</v>
      </c>
      <c r="AR26" s="99"/>
      <c r="AS26" s="214"/>
      <c r="AT26" s="100">
        <v>15</v>
      </c>
      <c r="AU26" s="214"/>
      <c r="AV26" s="101">
        <f t="shared" si="9"/>
        <v>17</v>
      </c>
      <c r="AW26" s="214"/>
      <c r="AX26" s="101">
        <f t="shared" si="10"/>
        <v>10.15</v>
      </c>
      <c r="AY26" s="214"/>
      <c r="AZ26" s="101">
        <f t="shared" si="11"/>
        <v>6.8000000000000007</v>
      </c>
      <c r="BA26" s="214"/>
      <c r="BB26" s="101">
        <f t="shared" si="12"/>
        <v>3.4000000000000004</v>
      </c>
      <c r="BE26" s="96"/>
      <c r="BF26" s="96"/>
      <c r="BG26" s="96"/>
      <c r="BH26" s="96"/>
    </row>
    <row r="27" spans="1:60" ht="20.100000000000001" customHeight="1" x14ac:dyDescent="0.25">
      <c r="A27" s="93"/>
      <c r="B27" s="93"/>
      <c r="C27" s="93"/>
      <c r="D27" s="93"/>
      <c r="E27" s="93"/>
      <c r="F27" s="93"/>
      <c r="G27" s="93"/>
      <c r="H27" s="93"/>
      <c r="I27" s="93"/>
      <c r="J27" s="93"/>
      <c r="K27" s="93"/>
      <c r="L27" s="93"/>
      <c r="M27" s="93"/>
      <c r="N27" s="93"/>
      <c r="O27" s="93"/>
      <c r="P27" s="93"/>
      <c r="Q27" s="93"/>
      <c r="R27" s="93"/>
      <c r="AM27" s="90">
        <f t="shared" si="0"/>
        <v>16</v>
      </c>
      <c r="AN27" s="95">
        <f t="shared" si="1"/>
        <v>0.16200000000000001</v>
      </c>
      <c r="AO27" s="95">
        <f t="shared" si="2"/>
        <v>9.6799999999999997E-2</v>
      </c>
      <c r="AP27" s="95">
        <f t="shared" si="3"/>
        <v>6.480000000000001E-2</v>
      </c>
      <c r="AQ27" s="95">
        <f t="shared" si="4"/>
        <v>3.2400000000000005E-2</v>
      </c>
      <c r="AR27" s="99"/>
      <c r="AS27" s="214"/>
      <c r="AT27" s="100">
        <v>16</v>
      </c>
      <c r="AU27" s="214"/>
      <c r="AV27" s="101">
        <f t="shared" si="9"/>
        <v>16.2</v>
      </c>
      <c r="AW27" s="214"/>
      <c r="AX27" s="101">
        <f t="shared" si="10"/>
        <v>9.68</v>
      </c>
      <c r="AY27" s="214"/>
      <c r="AZ27" s="101">
        <f t="shared" si="11"/>
        <v>6.48</v>
      </c>
      <c r="BA27" s="214"/>
      <c r="BB27" s="101">
        <f t="shared" si="12"/>
        <v>3.24</v>
      </c>
      <c r="BE27" s="96"/>
      <c r="BF27" s="96"/>
      <c r="BG27" s="96"/>
      <c r="BH27" s="96"/>
    </row>
    <row r="28" spans="1:60" ht="20.100000000000001" customHeight="1" x14ac:dyDescent="0.25">
      <c r="AM28" s="90">
        <f t="shared" si="0"/>
        <v>17</v>
      </c>
      <c r="AN28" s="95">
        <f t="shared" si="1"/>
        <v>0.154</v>
      </c>
      <c r="AO28" s="95">
        <f t="shared" si="2"/>
        <v>9.2100000000000015E-2</v>
      </c>
      <c r="AP28" s="95">
        <f t="shared" si="3"/>
        <v>6.1600000000000002E-2</v>
      </c>
      <c r="AQ28" s="95">
        <f t="shared" si="4"/>
        <v>3.0800000000000001E-2</v>
      </c>
      <c r="AR28" s="99"/>
      <c r="AS28" s="214"/>
      <c r="AT28" s="100">
        <v>17</v>
      </c>
      <c r="AU28" s="214"/>
      <c r="AV28" s="101">
        <f t="shared" si="9"/>
        <v>15.399999999999999</v>
      </c>
      <c r="AW28" s="214"/>
      <c r="AX28" s="101">
        <f t="shared" si="10"/>
        <v>9.2100000000000009</v>
      </c>
      <c r="AY28" s="214"/>
      <c r="AZ28" s="101">
        <f t="shared" si="11"/>
        <v>6.16</v>
      </c>
      <c r="BA28" s="214"/>
      <c r="BB28" s="101">
        <f t="shared" si="12"/>
        <v>3.08</v>
      </c>
      <c r="BE28" s="96"/>
      <c r="BF28" s="96"/>
      <c r="BG28" s="96"/>
      <c r="BH28" s="96"/>
    </row>
    <row r="29" spans="1:60" ht="20.100000000000001" customHeight="1" x14ac:dyDescent="0.2">
      <c r="A29" s="98"/>
      <c r="B29" s="98"/>
      <c r="C29" s="98"/>
      <c r="D29" s="98"/>
      <c r="E29" s="98"/>
      <c r="F29" s="98"/>
      <c r="G29" s="98"/>
      <c r="H29" s="98"/>
      <c r="I29" s="98"/>
      <c r="J29" s="98"/>
      <c r="K29" s="98"/>
      <c r="L29" s="98"/>
      <c r="M29" s="98"/>
      <c r="N29" s="98"/>
      <c r="O29" s="98"/>
      <c r="P29" s="98"/>
      <c r="Q29" s="98"/>
      <c r="R29" s="98"/>
      <c r="AM29" s="90">
        <f t="shared" si="0"/>
        <v>18</v>
      </c>
      <c r="AN29" s="95">
        <f t="shared" si="1"/>
        <v>0.14599999999999999</v>
      </c>
      <c r="AO29" s="95">
        <f t="shared" si="2"/>
        <v>8.7400000000000005E-2</v>
      </c>
      <c r="AP29" s="95">
        <f t="shared" si="3"/>
        <v>5.8400000000000001E-2</v>
      </c>
      <c r="AQ29" s="95">
        <f t="shared" si="4"/>
        <v>2.92E-2</v>
      </c>
      <c r="AR29" s="99"/>
      <c r="AS29" s="214"/>
      <c r="AT29" s="100">
        <v>18</v>
      </c>
      <c r="AU29" s="214"/>
      <c r="AV29" s="101">
        <f t="shared" si="9"/>
        <v>14.6</v>
      </c>
      <c r="AW29" s="214"/>
      <c r="AX29" s="101">
        <f t="shared" si="10"/>
        <v>8.74</v>
      </c>
      <c r="AY29" s="214"/>
      <c r="AZ29" s="101">
        <f t="shared" si="11"/>
        <v>5.84</v>
      </c>
      <c r="BA29" s="214"/>
      <c r="BB29" s="101">
        <f t="shared" si="12"/>
        <v>2.92</v>
      </c>
      <c r="BE29" s="96"/>
      <c r="BF29" s="96"/>
      <c r="BG29" s="96"/>
      <c r="BH29" s="96"/>
    </row>
    <row r="30" spans="1:60" ht="20.100000000000001" customHeight="1" x14ac:dyDescent="0.25">
      <c r="A30" s="93"/>
      <c r="B30" s="93"/>
      <c r="C30" s="93"/>
      <c r="D30" s="93"/>
      <c r="E30" s="93"/>
      <c r="F30" s="93"/>
      <c r="G30" s="93"/>
      <c r="H30" s="93"/>
      <c r="I30" s="93"/>
      <c r="J30" s="93"/>
      <c r="K30" s="93"/>
      <c r="L30" s="93"/>
      <c r="M30" s="93"/>
      <c r="N30" s="93"/>
      <c r="O30" s="93"/>
      <c r="P30" s="93"/>
      <c r="Q30" s="93"/>
      <c r="R30" s="93"/>
      <c r="AM30" s="90">
        <f t="shared" si="0"/>
        <v>19</v>
      </c>
      <c r="AN30" s="95">
        <f t="shared" si="1"/>
        <v>0.13800000000000001</v>
      </c>
      <c r="AO30" s="95">
        <f t="shared" si="2"/>
        <v>8.2699999999999996E-2</v>
      </c>
      <c r="AP30" s="95">
        <f t="shared" si="3"/>
        <v>5.5200000000000006E-2</v>
      </c>
      <c r="AQ30" s="95">
        <f t="shared" si="4"/>
        <v>2.7600000000000003E-2</v>
      </c>
      <c r="AR30" s="99"/>
      <c r="AS30" s="214"/>
      <c r="AT30" s="100">
        <v>19</v>
      </c>
      <c r="AU30" s="214"/>
      <c r="AV30" s="101">
        <f t="shared" si="9"/>
        <v>13.8</v>
      </c>
      <c r="AW30" s="214"/>
      <c r="AX30" s="101">
        <f t="shared" si="10"/>
        <v>8.27</v>
      </c>
      <c r="AY30" s="214"/>
      <c r="AZ30" s="101">
        <f t="shared" si="11"/>
        <v>5.5200000000000005</v>
      </c>
      <c r="BA30" s="214"/>
      <c r="BB30" s="101">
        <f t="shared" si="12"/>
        <v>2.7600000000000002</v>
      </c>
      <c r="BE30" s="96"/>
      <c r="BF30" s="96"/>
      <c r="BG30" s="96"/>
      <c r="BH30" s="96"/>
    </row>
    <row r="31" spans="1:60" ht="20.100000000000001" customHeight="1" x14ac:dyDescent="0.25">
      <c r="A31" s="93"/>
      <c r="B31" s="93"/>
      <c r="C31" s="93"/>
      <c r="D31" s="93"/>
      <c r="E31" s="93"/>
      <c r="F31" s="93"/>
      <c r="G31" s="93"/>
      <c r="H31" s="93"/>
      <c r="I31" s="93"/>
      <c r="J31" s="93"/>
      <c r="K31" s="93"/>
      <c r="L31" s="93"/>
      <c r="M31" s="93"/>
      <c r="N31" s="93"/>
      <c r="O31" s="93"/>
      <c r="P31" s="93"/>
      <c r="Q31" s="93"/>
      <c r="R31" s="93"/>
      <c r="AM31" s="90">
        <f t="shared" si="0"/>
        <v>20</v>
      </c>
      <c r="AN31" s="95">
        <f t="shared" si="1"/>
        <v>0.13</v>
      </c>
      <c r="AO31" s="95">
        <f t="shared" si="2"/>
        <v>7.8E-2</v>
      </c>
      <c r="AP31" s="95">
        <f t="shared" si="3"/>
        <v>5.2000000000000005E-2</v>
      </c>
      <c r="AQ31" s="95">
        <f t="shared" si="4"/>
        <v>2.6000000000000002E-2</v>
      </c>
      <c r="AR31" s="99"/>
      <c r="AS31" s="214"/>
      <c r="AT31" s="100">
        <v>20</v>
      </c>
      <c r="AU31" s="214"/>
      <c r="AV31" s="101">
        <f t="shared" si="9"/>
        <v>13</v>
      </c>
      <c r="AW31" s="214"/>
      <c r="AX31" s="101">
        <f t="shared" si="10"/>
        <v>7.8</v>
      </c>
      <c r="AY31" s="214"/>
      <c r="AZ31" s="101">
        <f t="shared" si="11"/>
        <v>5.2</v>
      </c>
      <c r="BA31" s="214"/>
      <c r="BB31" s="101">
        <f t="shared" si="12"/>
        <v>2.6</v>
      </c>
      <c r="BE31" s="96"/>
      <c r="BF31" s="96"/>
      <c r="BG31" s="96"/>
      <c r="BH31" s="96"/>
    </row>
    <row r="32" spans="1:60" ht="20.100000000000001" customHeight="1" x14ac:dyDescent="0.25">
      <c r="A32" s="93"/>
      <c r="B32" s="93"/>
      <c r="C32" s="93"/>
      <c r="D32" s="93"/>
      <c r="E32" s="93"/>
      <c r="F32" s="93"/>
      <c r="G32" s="93"/>
      <c r="H32" s="93"/>
      <c r="I32" s="93"/>
      <c r="J32" s="93"/>
      <c r="K32" s="93"/>
      <c r="L32" s="93"/>
      <c r="M32" s="93"/>
      <c r="N32" s="93"/>
      <c r="O32" s="93"/>
      <c r="P32" s="93"/>
      <c r="Q32" s="93"/>
      <c r="R32" s="93"/>
      <c r="AM32" s="90">
        <f t="shared" si="0"/>
        <v>21</v>
      </c>
      <c r="AN32" s="95">
        <f t="shared" si="1"/>
        <v>0.11699999999999999</v>
      </c>
      <c r="AO32" s="95">
        <f t="shared" si="2"/>
        <v>7.0199999999999999E-2</v>
      </c>
      <c r="AP32" s="95">
        <f t="shared" si="3"/>
        <v>4.6799999999999994E-2</v>
      </c>
      <c r="AQ32" s="95">
        <f t="shared" si="4"/>
        <v>2.3399999999999997E-2</v>
      </c>
      <c r="AR32" s="99"/>
      <c r="AS32" s="214"/>
      <c r="AT32" s="100">
        <v>21</v>
      </c>
      <c r="AU32" s="214"/>
      <c r="AV32" s="101">
        <f>13-((AT32-20)*(13/10))</f>
        <v>11.7</v>
      </c>
      <c r="AW32" s="214">
        <f>13-((AU32-20)*(13/10))</f>
        <v>39</v>
      </c>
      <c r="AX32" s="101">
        <f t="shared" ref="AX32:AX41" si="13">7.8-(AT32-20)*7.8/10</f>
        <v>7.02</v>
      </c>
      <c r="AY32" s="214">
        <f>13-((AW32-20)*(13/10))</f>
        <v>-11.7</v>
      </c>
      <c r="AZ32" s="101">
        <f t="shared" ref="AZ32:AZ41" si="14">5.2-(AT32-20)*5.2/10</f>
        <v>4.68</v>
      </c>
      <c r="BA32" s="214">
        <f>13-((AY32-20)*(13/10))</f>
        <v>54.21</v>
      </c>
      <c r="BB32" s="101">
        <f t="shared" ref="BB32:BB41" si="15">2.6-(AT32-20)*2.6/10</f>
        <v>2.34</v>
      </c>
      <c r="BE32" s="96"/>
      <c r="BF32" s="96"/>
      <c r="BG32" s="96"/>
      <c r="BH32" s="96"/>
    </row>
    <row r="33" spans="1:60" ht="20.100000000000001" customHeight="1" x14ac:dyDescent="0.25">
      <c r="A33" s="93"/>
      <c r="B33" s="93"/>
      <c r="C33" s="93"/>
      <c r="D33" s="93"/>
      <c r="E33" s="93"/>
      <c r="F33" s="93"/>
      <c r="G33" s="93"/>
      <c r="H33" s="93"/>
      <c r="I33" s="93"/>
      <c r="J33" s="93"/>
      <c r="K33" s="93"/>
      <c r="L33" s="93"/>
      <c r="M33" s="93"/>
      <c r="N33" s="93"/>
      <c r="O33" s="93"/>
      <c r="P33" s="93"/>
      <c r="Q33" s="93"/>
      <c r="R33" s="93"/>
      <c r="AM33" s="90">
        <f t="shared" si="0"/>
        <v>22</v>
      </c>
      <c r="AN33" s="95">
        <f t="shared" si="1"/>
        <v>0.10400000000000001</v>
      </c>
      <c r="AO33" s="95">
        <f t="shared" si="2"/>
        <v>6.2400000000000004E-2</v>
      </c>
      <c r="AP33" s="95">
        <f t="shared" si="3"/>
        <v>4.1599999999999998E-2</v>
      </c>
      <c r="AQ33" s="95">
        <f t="shared" si="4"/>
        <v>2.0799999999999999E-2</v>
      </c>
      <c r="AR33" s="99"/>
      <c r="AS33" s="214"/>
      <c r="AT33" s="100">
        <v>22</v>
      </c>
      <c r="AU33" s="214"/>
      <c r="AV33" s="101">
        <f t="shared" ref="AV33:AV41" si="16">13-((AT33-20)*(13/10))</f>
        <v>10.4</v>
      </c>
      <c r="AW33" s="214"/>
      <c r="AX33" s="101">
        <f t="shared" si="13"/>
        <v>6.24</v>
      </c>
      <c r="AY33" s="214"/>
      <c r="AZ33" s="101">
        <f t="shared" si="14"/>
        <v>4.16</v>
      </c>
      <c r="BA33" s="214"/>
      <c r="BB33" s="101">
        <f t="shared" si="15"/>
        <v>2.08</v>
      </c>
      <c r="BE33" s="96"/>
      <c r="BF33" s="96"/>
      <c r="BG33" s="96"/>
      <c r="BH33" s="96"/>
    </row>
    <row r="34" spans="1:60" ht="20.100000000000001" customHeight="1" x14ac:dyDescent="0.25">
      <c r="A34" s="93"/>
      <c r="B34" s="93"/>
      <c r="C34" s="93"/>
      <c r="D34" s="93"/>
      <c r="E34" s="93"/>
      <c r="F34" s="93"/>
      <c r="G34" s="93"/>
      <c r="H34" s="93"/>
      <c r="I34" s="93"/>
      <c r="J34" s="93"/>
      <c r="K34" s="93"/>
      <c r="L34" s="93"/>
      <c r="M34" s="93"/>
      <c r="N34" s="93"/>
      <c r="O34" s="93"/>
      <c r="P34" s="93"/>
      <c r="Q34" s="93"/>
      <c r="R34" s="93"/>
      <c r="AM34" s="90">
        <f t="shared" si="0"/>
        <v>23</v>
      </c>
      <c r="AN34" s="95">
        <f t="shared" si="1"/>
        <v>9.0999999999999998E-2</v>
      </c>
      <c r="AO34" s="95">
        <f t="shared" si="2"/>
        <v>5.4600000000000003E-2</v>
      </c>
      <c r="AP34" s="95">
        <f t="shared" si="3"/>
        <v>3.6400000000000002E-2</v>
      </c>
      <c r="AQ34" s="95">
        <f t="shared" si="4"/>
        <v>1.8200000000000001E-2</v>
      </c>
      <c r="AR34" s="99"/>
      <c r="AS34" s="214"/>
      <c r="AT34" s="100">
        <v>23</v>
      </c>
      <c r="AU34" s="214"/>
      <c r="AV34" s="101">
        <f t="shared" si="16"/>
        <v>9.1</v>
      </c>
      <c r="AW34" s="214"/>
      <c r="AX34" s="101">
        <f t="shared" si="13"/>
        <v>5.46</v>
      </c>
      <c r="AY34" s="214"/>
      <c r="AZ34" s="101">
        <f t="shared" si="14"/>
        <v>3.64</v>
      </c>
      <c r="BA34" s="214"/>
      <c r="BB34" s="101">
        <f t="shared" si="15"/>
        <v>1.82</v>
      </c>
      <c r="BE34" s="96"/>
      <c r="BF34" s="96"/>
      <c r="BG34" s="96"/>
      <c r="BH34" s="96"/>
    </row>
    <row r="35" spans="1:60" ht="20.100000000000001" customHeight="1" x14ac:dyDescent="0.25">
      <c r="A35" s="93"/>
      <c r="B35" s="93"/>
      <c r="C35" s="93"/>
      <c r="D35" s="93"/>
      <c r="E35" s="93"/>
      <c r="F35" s="93"/>
      <c r="G35" s="93"/>
      <c r="H35" s="93"/>
      <c r="I35" s="93"/>
      <c r="J35" s="93"/>
      <c r="K35" s="93"/>
      <c r="L35" s="93"/>
      <c r="M35" s="93"/>
      <c r="N35" s="93"/>
      <c r="O35" s="93"/>
      <c r="P35" s="93"/>
      <c r="Q35" s="93"/>
      <c r="R35" s="93"/>
      <c r="AM35" s="90">
        <f t="shared" si="0"/>
        <v>24</v>
      </c>
      <c r="AN35" s="95">
        <f t="shared" si="1"/>
        <v>7.8E-2</v>
      </c>
      <c r="AO35" s="95">
        <f t="shared" si="2"/>
        <v>4.6799999999999994E-2</v>
      </c>
      <c r="AP35" s="95">
        <f t="shared" si="3"/>
        <v>3.1200000000000002E-2</v>
      </c>
      <c r="AQ35" s="95">
        <f t="shared" si="4"/>
        <v>1.5600000000000001E-2</v>
      </c>
      <c r="AR35" s="99"/>
      <c r="AS35" s="214"/>
      <c r="AT35" s="100">
        <v>24</v>
      </c>
      <c r="AU35" s="214"/>
      <c r="AV35" s="101">
        <f t="shared" si="16"/>
        <v>7.8</v>
      </c>
      <c r="AW35" s="214"/>
      <c r="AX35" s="101">
        <f t="shared" si="13"/>
        <v>4.68</v>
      </c>
      <c r="AY35" s="214"/>
      <c r="AZ35" s="101">
        <f t="shared" si="14"/>
        <v>3.12</v>
      </c>
      <c r="BA35" s="214"/>
      <c r="BB35" s="101">
        <f t="shared" si="15"/>
        <v>1.56</v>
      </c>
      <c r="BE35" s="96"/>
      <c r="BF35" s="96"/>
      <c r="BG35" s="96"/>
      <c r="BH35" s="96"/>
    </row>
    <row r="36" spans="1:60" ht="20.100000000000001" customHeight="1" x14ac:dyDescent="0.25">
      <c r="A36" s="93"/>
      <c r="B36" s="93"/>
      <c r="C36" s="93"/>
      <c r="D36" s="93"/>
      <c r="E36" s="93"/>
      <c r="F36" s="93"/>
      <c r="G36" s="93"/>
      <c r="H36" s="93"/>
      <c r="I36" s="93"/>
      <c r="J36" s="93"/>
      <c r="K36" s="93"/>
      <c r="L36" s="93"/>
      <c r="M36" s="93"/>
      <c r="N36" s="93"/>
      <c r="O36" s="93"/>
      <c r="P36" s="93"/>
      <c r="Q36" s="93"/>
      <c r="R36" s="93"/>
      <c r="AM36" s="90">
        <f t="shared" si="0"/>
        <v>25</v>
      </c>
      <c r="AN36" s="95">
        <f t="shared" si="1"/>
        <v>6.5000000000000002E-2</v>
      </c>
      <c r="AO36" s="95">
        <f t="shared" si="2"/>
        <v>3.9E-2</v>
      </c>
      <c r="AP36" s="95">
        <f t="shared" si="3"/>
        <v>2.6000000000000002E-2</v>
      </c>
      <c r="AQ36" s="95">
        <f t="shared" si="4"/>
        <v>1.3000000000000001E-2</v>
      </c>
      <c r="AR36" s="99"/>
      <c r="AS36" s="214"/>
      <c r="AT36" s="100">
        <v>25</v>
      </c>
      <c r="AU36" s="214"/>
      <c r="AV36" s="101">
        <f t="shared" si="16"/>
        <v>6.5</v>
      </c>
      <c r="AW36" s="214"/>
      <c r="AX36" s="101">
        <f t="shared" si="13"/>
        <v>3.9</v>
      </c>
      <c r="AY36" s="214"/>
      <c r="AZ36" s="101">
        <f t="shared" si="14"/>
        <v>2.6</v>
      </c>
      <c r="BA36" s="214"/>
      <c r="BB36" s="101">
        <f t="shared" si="15"/>
        <v>1.3</v>
      </c>
      <c r="BE36" s="96"/>
      <c r="BF36" s="96"/>
      <c r="BG36" s="96"/>
      <c r="BH36" s="96"/>
    </row>
    <row r="37" spans="1:60" ht="20.100000000000001" customHeight="1" x14ac:dyDescent="0.25">
      <c r="A37" s="93"/>
      <c r="B37" s="93"/>
      <c r="C37" s="93"/>
      <c r="D37" s="93"/>
      <c r="E37" s="93"/>
      <c r="F37" s="93"/>
      <c r="G37" s="93"/>
      <c r="H37" s="93"/>
      <c r="I37" s="93"/>
      <c r="J37" s="93"/>
      <c r="K37" s="93"/>
      <c r="L37" s="93"/>
      <c r="M37" s="93"/>
      <c r="N37" s="93"/>
      <c r="O37" s="93"/>
      <c r="P37" s="93"/>
      <c r="Q37" s="93"/>
      <c r="R37" s="93"/>
      <c r="AM37" s="90">
        <f t="shared" si="0"/>
        <v>26</v>
      </c>
      <c r="AN37" s="95">
        <f t="shared" si="1"/>
        <v>5.1999999999999991E-2</v>
      </c>
      <c r="AO37" s="95">
        <f t="shared" si="2"/>
        <v>3.1200000000000002E-2</v>
      </c>
      <c r="AP37" s="95">
        <f t="shared" si="3"/>
        <v>2.0799999999999999E-2</v>
      </c>
      <c r="AQ37" s="95">
        <f t="shared" si="4"/>
        <v>1.04E-2</v>
      </c>
      <c r="AR37" s="99"/>
      <c r="AS37" s="214"/>
      <c r="AT37" s="100">
        <v>26</v>
      </c>
      <c r="AU37" s="214"/>
      <c r="AV37" s="101">
        <f t="shared" si="16"/>
        <v>5.1999999999999993</v>
      </c>
      <c r="AW37" s="214"/>
      <c r="AX37" s="101">
        <f t="shared" si="13"/>
        <v>3.12</v>
      </c>
      <c r="AY37" s="214"/>
      <c r="AZ37" s="101">
        <f t="shared" si="14"/>
        <v>2.08</v>
      </c>
      <c r="BA37" s="214"/>
      <c r="BB37" s="101">
        <f t="shared" si="15"/>
        <v>1.04</v>
      </c>
      <c r="BE37" s="96"/>
      <c r="BF37" s="96"/>
      <c r="BG37" s="96"/>
      <c r="BH37" s="96"/>
    </row>
    <row r="38" spans="1:60" ht="20.100000000000001" customHeight="1" x14ac:dyDescent="0.25">
      <c r="A38" s="93"/>
      <c r="B38" s="93"/>
      <c r="C38" s="93"/>
      <c r="D38" s="93"/>
      <c r="E38" s="93"/>
      <c r="F38" s="93"/>
      <c r="G38" s="93"/>
      <c r="H38" s="93"/>
      <c r="I38" s="93"/>
      <c r="J38" s="93"/>
      <c r="K38" s="93"/>
      <c r="L38" s="93"/>
      <c r="M38" s="93"/>
      <c r="N38" s="93"/>
      <c r="O38" s="93"/>
      <c r="P38" s="93"/>
      <c r="Q38" s="93"/>
      <c r="R38" s="93"/>
      <c r="AM38" s="90">
        <f t="shared" si="0"/>
        <v>27</v>
      </c>
      <c r="AN38" s="95">
        <f t="shared" si="1"/>
        <v>3.9000000000000007E-2</v>
      </c>
      <c r="AO38" s="95">
        <f t="shared" si="2"/>
        <v>2.3399999999999997E-2</v>
      </c>
      <c r="AP38" s="95">
        <f t="shared" si="3"/>
        <v>1.5600000000000004E-2</v>
      </c>
      <c r="AQ38" s="95">
        <f t="shared" si="4"/>
        <v>7.8000000000000022E-3</v>
      </c>
      <c r="AR38" s="99"/>
      <c r="AS38" s="214"/>
      <c r="AT38" s="100">
        <v>27</v>
      </c>
      <c r="AU38" s="214"/>
      <c r="AV38" s="101">
        <f t="shared" si="16"/>
        <v>3.9000000000000004</v>
      </c>
      <c r="AW38" s="214"/>
      <c r="AX38" s="101">
        <f t="shared" si="13"/>
        <v>2.34</v>
      </c>
      <c r="AY38" s="214"/>
      <c r="AZ38" s="101">
        <f t="shared" si="14"/>
        <v>1.5600000000000005</v>
      </c>
      <c r="BA38" s="214"/>
      <c r="BB38" s="101">
        <f t="shared" si="15"/>
        <v>0.78000000000000025</v>
      </c>
      <c r="BE38" s="96"/>
      <c r="BF38" s="96"/>
      <c r="BG38" s="96"/>
      <c r="BH38" s="96"/>
    </row>
    <row r="39" spans="1:60" ht="20.100000000000001" customHeight="1" x14ac:dyDescent="0.25">
      <c r="A39" s="93"/>
      <c r="B39" s="93"/>
      <c r="C39" s="93"/>
      <c r="D39" s="93"/>
      <c r="E39" s="93"/>
      <c r="F39" s="93"/>
      <c r="G39" s="93"/>
      <c r="H39" s="93"/>
      <c r="I39" s="93"/>
      <c r="J39" s="93"/>
      <c r="K39" s="93"/>
      <c r="L39" s="93"/>
      <c r="M39" s="93"/>
      <c r="N39" s="93"/>
      <c r="O39" s="93"/>
      <c r="P39" s="93"/>
      <c r="Q39" s="93"/>
      <c r="R39" s="93"/>
      <c r="AM39" s="90">
        <f t="shared" si="0"/>
        <v>28</v>
      </c>
      <c r="AN39" s="95">
        <f t="shared" si="1"/>
        <v>2.5999999999999995E-2</v>
      </c>
      <c r="AO39" s="95">
        <f t="shared" si="2"/>
        <v>1.5599999999999996E-2</v>
      </c>
      <c r="AP39" s="95">
        <f t="shared" si="3"/>
        <v>1.04E-2</v>
      </c>
      <c r="AQ39" s="95">
        <f t="shared" si="4"/>
        <v>5.1999999999999998E-3</v>
      </c>
      <c r="AR39" s="99"/>
      <c r="AS39" s="214"/>
      <c r="AT39" s="100">
        <v>28</v>
      </c>
      <c r="AU39" s="214"/>
      <c r="AV39" s="101">
        <f t="shared" si="16"/>
        <v>2.5999999999999996</v>
      </c>
      <c r="AW39" s="214"/>
      <c r="AX39" s="101">
        <f t="shared" si="13"/>
        <v>1.5599999999999996</v>
      </c>
      <c r="AY39" s="214"/>
      <c r="AZ39" s="101">
        <f t="shared" si="14"/>
        <v>1.04</v>
      </c>
      <c r="BA39" s="214"/>
      <c r="BB39" s="101">
        <f t="shared" si="15"/>
        <v>0.52</v>
      </c>
      <c r="BE39" s="96"/>
      <c r="BF39" s="96"/>
      <c r="BG39" s="96"/>
      <c r="BH39" s="96"/>
    </row>
    <row r="40" spans="1:60" ht="20.100000000000001" customHeight="1" x14ac:dyDescent="0.25">
      <c r="A40" s="93"/>
      <c r="B40" s="93"/>
      <c r="C40" s="93"/>
      <c r="D40" s="93"/>
      <c r="E40" s="93"/>
      <c r="F40" s="93"/>
      <c r="G40" s="93"/>
      <c r="H40" s="93"/>
      <c r="I40" s="93"/>
      <c r="J40" s="93"/>
      <c r="K40" s="93"/>
      <c r="L40" s="93"/>
      <c r="M40" s="93"/>
      <c r="N40" s="93"/>
      <c r="O40" s="93"/>
      <c r="P40" s="93"/>
      <c r="Q40" s="93"/>
      <c r="R40" s="93"/>
      <c r="AM40" s="90">
        <f t="shared" si="0"/>
        <v>29</v>
      </c>
      <c r="AN40" s="95">
        <f t="shared" si="1"/>
        <v>1.2999999999999989E-2</v>
      </c>
      <c r="AO40" s="95">
        <f t="shared" si="2"/>
        <v>7.7999999999999936E-3</v>
      </c>
      <c r="AP40" s="95">
        <f t="shared" si="3"/>
        <v>5.1999999999999954E-3</v>
      </c>
      <c r="AQ40" s="95">
        <f t="shared" si="4"/>
        <v>2.5999999999999977E-3</v>
      </c>
      <c r="AR40" s="99"/>
      <c r="AS40" s="214"/>
      <c r="AT40" s="100">
        <v>29</v>
      </c>
      <c r="AU40" s="214"/>
      <c r="AV40" s="101">
        <f t="shared" si="16"/>
        <v>1.2999999999999989</v>
      </c>
      <c r="AW40" s="214"/>
      <c r="AX40" s="101">
        <f t="shared" si="13"/>
        <v>0.77999999999999936</v>
      </c>
      <c r="AY40" s="214"/>
      <c r="AZ40" s="101">
        <f t="shared" si="14"/>
        <v>0.51999999999999957</v>
      </c>
      <c r="BA40" s="214"/>
      <c r="BB40" s="101">
        <f t="shared" si="15"/>
        <v>0.25999999999999979</v>
      </c>
      <c r="BE40" s="96"/>
      <c r="BF40" s="96"/>
      <c r="BG40" s="96"/>
      <c r="BH40" s="96"/>
    </row>
    <row r="41" spans="1:60" ht="20.100000000000001" customHeight="1" x14ac:dyDescent="0.25">
      <c r="A41" s="93"/>
      <c r="B41" s="93"/>
      <c r="C41" s="93"/>
      <c r="D41" s="93"/>
      <c r="E41" s="93"/>
      <c r="F41" s="93"/>
      <c r="G41" s="93"/>
      <c r="H41" s="93"/>
      <c r="I41" s="93"/>
      <c r="J41" s="93"/>
      <c r="K41" s="93"/>
      <c r="L41" s="93"/>
      <c r="M41" s="93"/>
      <c r="N41" s="93"/>
      <c r="O41" s="93"/>
      <c r="P41" s="93"/>
      <c r="Q41" s="93"/>
      <c r="R41" s="93"/>
      <c r="AM41" s="90">
        <f t="shared" si="0"/>
        <v>30</v>
      </c>
      <c r="AN41" s="95">
        <f t="shared" si="1"/>
        <v>0</v>
      </c>
      <c r="AO41" s="95">
        <f t="shared" si="2"/>
        <v>0</v>
      </c>
      <c r="AP41" s="95">
        <f t="shared" si="3"/>
        <v>0</v>
      </c>
      <c r="AQ41" s="95">
        <f t="shared" si="4"/>
        <v>0</v>
      </c>
      <c r="AR41" s="99"/>
      <c r="AS41" s="214"/>
      <c r="AT41" s="100">
        <v>30</v>
      </c>
      <c r="AU41" s="214"/>
      <c r="AV41" s="101">
        <f t="shared" si="16"/>
        <v>0</v>
      </c>
      <c r="AW41" s="214"/>
      <c r="AX41" s="101">
        <f t="shared" si="13"/>
        <v>0</v>
      </c>
      <c r="AY41" s="214"/>
      <c r="AZ41" s="101">
        <f t="shared" si="14"/>
        <v>0</v>
      </c>
      <c r="BA41" s="214"/>
      <c r="BB41" s="101">
        <f t="shared" si="15"/>
        <v>0</v>
      </c>
      <c r="BE41" s="96"/>
      <c r="BF41" s="96"/>
      <c r="BG41" s="96"/>
      <c r="BH41" s="96"/>
    </row>
    <row r="42" spans="1:60" ht="20.100000000000001" customHeight="1" x14ac:dyDescent="0.25">
      <c r="A42" s="93"/>
      <c r="B42" s="93"/>
      <c r="C42" s="93"/>
      <c r="D42" s="93"/>
      <c r="E42" s="93"/>
      <c r="F42" s="93"/>
      <c r="G42" s="93"/>
      <c r="H42" s="93"/>
      <c r="I42" s="93"/>
      <c r="J42" s="93"/>
      <c r="K42" s="93"/>
      <c r="L42" s="93"/>
      <c r="M42" s="93"/>
      <c r="N42" s="93"/>
      <c r="O42" s="93"/>
      <c r="P42" s="93"/>
      <c r="Q42" s="93"/>
      <c r="R42" s="93"/>
      <c r="AM42" s="90">
        <f t="shared" ref="AM42:AM81" si="17">AM41+1</f>
        <v>31</v>
      </c>
      <c r="AN42" s="95">
        <f t="shared" ref="AN42:AN81" si="18">$AN$41</f>
        <v>0</v>
      </c>
      <c r="AO42" s="95">
        <f t="shared" ref="AO42:AO81" si="19">$AO$41</f>
        <v>0</v>
      </c>
      <c r="AP42" s="95">
        <f t="shared" ref="AP42:AP81" si="20">$AP$41</f>
        <v>0</v>
      </c>
      <c r="AQ42" s="95">
        <f t="shared" ref="AQ42:AQ81" si="21">$AQ$41</f>
        <v>0</v>
      </c>
      <c r="AR42" s="99"/>
      <c r="AS42" s="99"/>
      <c r="AT42" s="99"/>
      <c r="AU42" s="99"/>
      <c r="AV42" s="99"/>
      <c r="AW42" s="99"/>
      <c r="AX42" s="99"/>
      <c r="AY42" s="99"/>
      <c r="AZ42" s="99"/>
      <c r="BA42" s="99"/>
      <c r="BB42" s="99"/>
    </row>
    <row r="43" spans="1:60" ht="20.100000000000001" customHeight="1" x14ac:dyDescent="0.25">
      <c r="A43" s="93"/>
      <c r="B43" s="93"/>
      <c r="C43" s="93"/>
      <c r="D43" s="93"/>
      <c r="E43" s="93"/>
      <c r="F43" s="93"/>
      <c r="G43" s="93"/>
      <c r="H43" s="93"/>
      <c r="I43" s="93"/>
      <c r="J43" s="93"/>
      <c r="K43" s="93"/>
      <c r="L43" s="93"/>
      <c r="M43" s="93"/>
      <c r="N43" s="93"/>
      <c r="O43" s="93"/>
      <c r="P43" s="93"/>
      <c r="Q43" s="93"/>
      <c r="R43" s="93"/>
      <c r="AM43" s="90">
        <f t="shared" si="17"/>
        <v>32</v>
      </c>
      <c r="AN43" s="95">
        <f t="shared" si="18"/>
        <v>0</v>
      </c>
      <c r="AO43" s="95">
        <f t="shared" si="19"/>
        <v>0</v>
      </c>
      <c r="AP43" s="95">
        <f t="shared" si="20"/>
        <v>0</v>
      </c>
      <c r="AQ43" s="95">
        <f t="shared" si="21"/>
        <v>0</v>
      </c>
      <c r="AR43" s="99"/>
      <c r="AS43" s="99"/>
      <c r="AT43" s="99"/>
      <c r="AU43" s="99"/>
      <c r="AV43" s="99"/>
      <c r="AW43" s="99"/>
      <c r="AX43" s="99"/>
      <c r="AY43" s="99"/>
      <c r="AZ43" s="99"/>
      <c r="BA43" s="99"/>
      <c r="BB43" s="99"/>
    </row>
    <row r="44" spans="1:60" ht="20.100000000000001" customHeight="1" x14ac:dyDescent="0.25">
      <c r="A44" s="93"/>
      <c r="B44" s="93"/>
      <c r="C44" s="93"/>
      <c r="D44" s="93"/>
      <c r="E44" s="93"/>
      <c r="F44" s="93"/>
      <c r="G44" s="93"/>
      <c r="H44" s="93"/>
      <c r="I44" s="93"/>
      <c r="J44" s="93"/>
      <c r="K44" s="93"/>
      <c r="L44" s="93"/>
      <c r="M44" s="93"/>
      <c r="N44" s="93"/>
      <c r="O44" s="93"/>
      <c r="P44" s="93"/>
      <c r="Q44" s="93"/>
      <c r="R44" s="93"/>
      <c r="AM44" s="90">
        <f t="shared" si="17"/>
        <v>33</v>
      </c>
      <c r="AN44" s="95">
        <f t="shared" si="18"/>
        <v>0</v>
      </c>
      <c r="AO44" s="95">
        <f t="shared" si="19"/>
        <v>0</v>
      </c>
      <c r="AP44" s="95">
        <f t="shared" si="20"/>
        <v>0</v>
      </c>
      <c r="AQ44" s="95">
        <f t="shared" si="21"/>
        <v>0</v>
      </c>
      <c r="AR44" s="99"/>
      <c r="AS44" s="99"/>
      <c r="AT44" s="99"/>
      <c r="AU44" s="99"/>
      <c r="AV44" s="99"/>
      <c r="AW44" s="99"/>
      <c r="AX44" s="99"/>
      <c r="AY44" s="99"/>
      <c r="AZ44" s="99"/>
      <c r="BA44" s="99"/>
      <c r="BB44" s="99"/>
    </row>
    <row r="45" spans="1:60" ht="20.100000000000001" customHeight="1" x14ac:dyDescent="0.25">
      <c r="AM45" s="90">
        <f t="shared" si="17"/>
        <v>34</v>
      </c>
      <c r="AN45" s="95">
        <f t="shared" si="18"/>
        <v>0</v>
      </c>
      <c r="AO45" s="95">
        <f t="shared" si="19"/>
        <v>0</v>
      </c>
      <c r="AP45" s="95">
        <f t="shared" si="20"/>
        <v>0</v>
      </c>
      <c r="AQ45" s="95">
        <f t="shared" si="21"/>
        <v>0</v>
      </c>
      <c r="AR45" s="99"/>
      <c r="AS45" s="99"/>
      <c r="AT45" s="99"/>
      <c r="AU45" s="99"/>
      <c r="AV45" s="99"/>
      <c r="AW45" s="99"/>
      <c r="AX45" s="99"/>
      <c r="AY45" s="99"/>
      <c r="AZ45" s="99"/>
      <c r="BA45" s="99"/>
      <c r="BB45" s="99"/>
    </row>
    <row r="46" spans="1:60" ht="20.100000000000001" customHeight="1" x14ac:dyDescent="0.25">
      <c r="AM46" s="90">
        <f t="shared" si="17"/>
        <v>35</v>
      </c>
      <c r="AN46" s="95">
        <f t="shared" si="18"/>
        <v>0</v>
      </c>
      <c r="AO46" s="95">
        <f t="shared" si="19"/>
        <v>0</v>
      </c>
      <c r="AP46" s="95">
        <f t="shared" si="20"/>
        <v>0</v>
      </c>
      <c r="AQ46" s="95">
        <f t="shared" si="21"/>
        <v>0</v>
      </c>
      <c r="AR46" s="99"/>
      <c r="AS46" s="99"/>
      <c r="AT46" s="99"/>
      <c r="AU46" s="99"/>
      <c r="AV46" s="99"/>
      <c r="AW46" s="99"/>
      <c r="AX46" s="99"/>
      <c r="AY46" s="99"/>
      <c r="AZ46" s="99"/>
      <c r="BA46" s="99"/>
      <c r="BB46" s="99"/>
    </row>
    <row r="47" spans="1:60" ht="20.100000000000001" customHeight="1" x14ac:dyDescent="0.25">
      <c r="AM47" s="90">
        <f t="shared" si="17"/>
        <v>36</v>
      </c>
      <c r="AN47" s="95">
        <f t="shared" si="18"/>
        <v>0</v>
      </c>
      <c r="AO47" s="95">
        <f t="shared" si="19"/>
        <v>0</v>
      </c>
      <c r="AP47" s="95">
        <f t="shared" si="20"/>
        <v>0</v>
      </c>
      <c r="AQ47" s="95">
        <f t="shared" si="21"/>
        <v>0</v>
      </c>
      <c r="AR47" s="99"/>
      <c r="AS47" s="99"/>
      <c r="AT47" s="99"/>
      <c r="AU47" s="99"/>
      <c r="AV47" s="99"/>
      <c r="AW47" s="99"/>
      <c r="AX47" s="99"/>
      <c r="AY47" s="99"/>
      <c r="AZ47" s="99"/>
      <c r="BA47" s="99"/>
      <c r="BB47" s="99"/>
    </row>
    <row r="48" spans="1:60" ht="20.100000000000001" customHeight="1" x14ac:dyDescent="0.25">
      <c r="AM48" s="90">
        <f t="shared" si="17"/>
        <v>37</v>
      </c>
      <c r="AN48" s="95">
        <f t="shared" si="18"/>
        <v>0</v>
      </c>
      <c r="AO48" s="95">
        <f t="shared" si="19"/>
        <v>0</v>
      </c>
      <c r="AP48" s="95">
        <f t="shared" si="20"/>
        <v>0</v>
      </c>
      <c r="AQ48" s="95">
        <f t="shared" si="21"/>
        <v>0</v>
      </c>
    </row>
    <row r="49" spans="39:43" ht="20.100000000000001" customHeight="1" x14ac:dyDescent="0.25">
      <c r="AM49" s="90">
        <f t="shared" si="17"/>
        <v>38</v>
      </c>
      <c r="AN49" s="95">
        <f t="shared" si="18"/>
        <v>0</v>
      </c>
      <c r="AO49" s="95">
        <f t="shared" si="19"/>
        <v>0</v>
      </c>
      <c r="AP49" s="95">
        <f t="shared" si="20"/>
        <v>0</v>
      </c>
      <c r="AQ49" s="95">
        <f t="shared" si="21"/>
        <v>0</v>
      </c>
    </row>
    <row r="50" spans="39:43" ht="20.100000000000001" customHeight="1" x14ac:dyDescent="0.25">
      <c r="AM50" s="90">
        <f t="shared" si="17"/>
        <v>39</v>
      </c>
      <c r="AN50" s="95">
        <f t="shared" si="18"/>
        <v>0</v>
      </c>
      <c r="AO50" s="95">
        <f t="shared" si="19"/>
        <v>0</v>
      </c>
      <c r="AP50" s="95">
        <f t="shared" si="20"/>
        <v>0</v>
      </c>
      <c r="AQ50" s="95">
        <f t="shared" si="21"/>
        <v>0</v>
      </c>
    </row>
    <row r="51" spans="39:43" ht="20.100000000000001" customHeight="1" x14ac:dyDescent="0.25">
      <c r="AM51" s="90">
        <f t="shared" si="17"/>
        <v>40</v>
      </c>
      <c r="AN51" s="95">
        <f t="shared" si="18"/>
        <v>0</v>
      </c>
      <c r="AO51" s="95">
        <f t="shared" si="19"/>
        <v>0</v>
      </c>
      <c r="AP51" s="95">
        <f t="shared" si="20"/>
        <v>0</v>
      </c>
      <c r="AQ51" s="95">
        <f t="shared" si="21"/>
        <v>0</v>
      </c>
    </row>
    <row r="52" spans="39:43" ht="20.100000000000001" customHeight="1" x14ac:dyDescent="0.25">
      <c r="AM52" s="90">
        <f t="shared" si="17"/>
        <v>41</v>
      </c>
      <c r="AN52" s="95">
        <f t="shared" si="18"/>
        <v>0</v>
      </c>
      <c r="AO52" s="95">
        <f t="shared" si="19"/>
        <v>0</v>
      </c>
      <c r="AP52" s="95">
        <f t="shared" si="20"/>
        <v>0</v>
      </c>
      <c r="AQ52" s="95">
        <f t="shared" si="21"/>
        <v>0</v>
      </c>
    </row>
    <row r="53" spans="39:43" ht="20.100000000000001" customHeight="1" x14ac:dyDescent="0.25">
      <c r="AM53" s="90">
        <f t="shared" si="17"/>
        <v>42</v>
      </c>
      <c r="AN53" s="95">
        <f t="shared" si="18"/>
        <v>0</v>
      </c>
      <c r="AO53" s="95">
        <f t="shared" si="19"/>
        <v>0</v>
      </c>
      <c r="AP53" s="95">
        <f t="shared" si="20"/>
        <v>0</v>
      </c>
      <c r="AQ53" s="95">
        <f t="shared" si="21"/>
        <v>0</v>
      </c>
    </row>
    <row r="54" spans="39:43" ht="20.100000000000001" customHeight="1" x14ac:dyDescent="0.25">
      <c r="AM54" s="90">
        <f t="shared" si="17"/>
        <v>43</v>
      </c>
      <c r="AN54" s="95">
        <f t="shared" si="18"/>
        <v>0</v>
      </c>
      <c r="AO54" s="95">
        <f t="shared" si="19"/>
        <v>0</v>
      </c>
      <c r="AP54" s="95">
        <f t="shared" si="20"/>
        <v>0</v>
      </c>
      <c r="AQ54" s="95">
        <f t="shared" si="21"/>
        <v>0</v>
      </c>
    </row>
    <row r="55" spans="39:43" ht="20.100000000000001" customHeight="1" x14ac:dyDescent="0.25">
      <c r="AM55" s="90">
        <f t="shared" si="17"/>
        <v>44</v>
      </c>
      <c r="AN55" s="95">
        <f t="shared" si="18"/>
        <v>0</v>
      </c>
      <c r="AO55" s="95">
        <f t="shared" si="19"/>
        <v>0</v>
      </c>
      <c r="AP55" s="95">
        <f t="shared" si="20"/>
        <v>0</v>
      </c>
      <c r="AQ55" s="95">
        <f t="shared" si="21"/>
        <v>0</v>
      </c>
    </row>
    <row r="56" spans="39:43" ht="20.100000000000001" customHeight="1" x14ac:dyDescent="0.25">
      <c r="AM56" s="90">
        <f t="shared" si="17"/>
        <v>45</v>
      </c>
      <c r="AN56" s="95">
        <f t="shared" si="18"/>
        <v>0</v>
      </c>
      <c r="AO56" s="95">
        <f t="shared" si="19"/>
        <v>0</v>
      </c>
      <c r="AP56" s="95">
        <f t="shared" si="20"/>
        <v>0</v>
      </c>
      <c r="AQ56" s="95">
        <f t="shared" si="21"/>
        <v>0</v>
      </c>
    </row>
    <row r="57" spans="39:43" ht="20.100000000000001" customHeight="1" x14ac:dyDescent="0.25">
      <c r="AM57" s="90">
        <f t="shared" si="17"/>
        <v>46</v>
      </c>
      <c r="AN57" s="95">
        <f t="shared" si="18"/>
        <v>0</v>
      </c>
      <c r="AO57" s="95">
        <f t="shared" si="19"/>
        <v>0</v>
      </c>
      <c r="AP57" s="95">
        <f t="shared" si="20"/>
        <v>0</v>
      </c>
      <c r="AQ57" s="95">
        <f t="shared" si="21"/>
        <v>0</v>
      </c>
    </row>
    <row r="58" spans="39:43" ht="20.100000000000001" customHeight="1" x14ac:dyDescent="0.25">
      <c r="AM58" s="90">
        <f t="shared" si="17"/>
        <v>47</v>
      </c>
      <c r="AN58" s="95">
        <f t="shared" si="18"/>
        <v>0</v>
      </c>
      <c r="AO58" s="95">
        <f t="shared" si="19"/>
        <v>0</v>
      </c>
      <c r="AP58" s="95">
        <f t="shared" si="20"/>
        <v>0</v>
      </c>
      <c r="AQ58" s="95">
        <f t="shared" si="21"/>
        <v>0</v>
      </c>
    </row>
    <row r="59" spans="39:43" ht="20.100000000000001" customHeight="1" x14ac:dyDescent="0.25">
      <c r="AM59" s="90">
        <f t="shared" si="17"/>
        <v>48</v>
      </c>
      <c r="AN59" s="95">
        <f t="shared" si="18"/>
        <v>0</v>
      </c>
      <c r="AO59" s="95">
        <f t="shared" si="19"/>
        <v>0</v>
      </c>
      <c r="AP59" s="95">
        <f t="shared" si="20"/>
        <v>0</v>
      </c>
      <c r="AQ59" s="95">
        <f t="shared" si="21"/>
        <v>0</v>
      </c>
    </row>
    <row r="60" spans="39:43" ht="20.100000000000001" customHeight="1" x14ac:dyDescent="0.25">
      <c r="AM60" s="90">
        <f t="shared" si="17"/>
        <v>49</v>
      </c>
      <c r="AN60" s="95">
        <f t="shared" si="18"/>
        <v>0</v>
      </c>
      <c r="AO60" s="95">
        <f t="shared" si="19"/>
        <v>0</v>
      </c>
      <c r="AP60" s="95">
        <f t="shared" si="20"/>
        <v>0</v>
      </c>
      <c r="AQ60" s="95">
        <f t="shared" si="21"/>
        <v>0</v>
      </c>
    </row>
    <row r="61" spans="39:43" ht="20.100000000000001" customHeight="1" x14ac:dyDescent="0.25">
      <c r="AM61" s="90">
        <f t="shared" si="17"/>
        <v>50</v>
      </c>
      <c r="AN61" s="95">
        <f t="shared" si="18"/>
        <v>0</v>
      </c>
      <c r="AO61" s="95">
        <f t="shared" si="19"/>
        <v>0</v>
      </c>
      <c r="AP61" s="95">
        <f t="shared" si="20"/>
        <v>0</v>
      </c>
      <c r="AQ61" s="95">
        <f t="shared" si="21"/>
        <v>0</v>
      </c>
    </row>
    <row r="62" spans="39:43" ht="20.100000000000001" customHeight="1" x14ac:dyDescent="0.25">
      <c r="AM62" s="90">
        <f t="shared" si="17"/>
        <v>51</v>
      </c>
      <c r="AN62" s="95">
        <f t="shared" si="18"/>
        <v>0</v>
      </c>
      <c r="AO62" s="95">
        <f t="shared" si="19"/>
        <v>0</v>
      </c>
      <c r="AP62" s="95">
        <f t="shared" si="20"/>
        <v>0</v>
      </c>
      <c r="AQ62" s="95">
        <f t="shared" si="21"/>
        <v>0</v>
      </c>
    </row>
    <row r="63" spans="39:43" ht="20.100000000000001" customHeight="1" x14ac:dyDescent="0.25">
      <c r="AM63" s="90">
        <f t="shared" si="17"/>
        <v>52</v>
      </c>
      <c r="AN63" s="95">
        <f t="shared" si="18"/>
        <v>0</v>
      </c>
      <c r="AO63" s="95">
        <f t="shared" si="19"/>
        <v>0</v>
      </c>
      <c r="AP63" s="95">
        <f t="shared" si="20"/>
        <v>0</v>
      </c>
      <c r="AQ63" s="95">
        <f t="shared" si="21"/>
        <v>0</v>
      </c>
    </row>
    <row r="64" spans="39:43" ht="20.100000000000001" customHeight="1" x14ac:dyDescent="0.25">
      <c r="AM64" s="90">
        <f t="shared" si="17"/>
        <v>53</v>
      </c>
      <c r="AN64" s="95">
        <f t="shared" si="18"/>
        <v>0</v>
      </c>
      <c r="AO64" s="95">
        <f t="shared" si="19"/>
        <v>0</v>
      </c>
      <c r="AP64" s="95">
        <f t="shared" si="20"/>
        <v>0</v>
      </c>
      <c r="AQ64" s="95">
        <f t="shared" si="21"/>
        <v>0</v>
      </c>
    </row>
    <row r="65" spans="39:43" ht="20.100000000000001" customHeight="1" x14ac:dyDescent="0.25">
      <c r="AM65" s="90">
        <f t="shared" si="17"/>
        <v>54</v>
      </c>
      <c r="AN65" s="95">
        <f t="shared" si="18"/>
        <v>0</v>
      </c>
      <c r="AO65" s="95">
        <f t="shared" si="19"/>
        <v>0</v>
      </c>
      <c r="AP65" s="95">
        <f t="shared" si="20"/>
        <v>0</v>
      </c>
      <c r="AQ65" s="95">
        <f t="shared" si="21"/>
        <v>0</v>
      </c>
    </row>
    <row r="66" spans="39:43" ht="20.100000000000001" customHeight="1" x14ac:dyDescent="0.25">
      <c r="AM66" s="90">
        <f t="shared" si="17"/>
        <v>55</v>
      </c>
      <c r="AN66" s="95">
        <f t="shared" si="18"/>
        <v>0</v>
      </c>
      <c r="AO66" s="95">
        <f t="shared" si="19"/>
        <v>0</v>
      </c>
      <c r="AP66" s="95">
        <f t="shared" si="20"/>
        <v>0</v>
      </c>
      <c r="AQ66" s="95">
        <f t="shared" si="21"/>
        <v>0</v>
      </c>
    </row>
    <row r="67" spans="39:43" ht="20.100000000000001" customHeight="1" x14ac:dyDescent="0.25">
      <c r="AM67" s="90">
        <f t="shared" si="17"/>
        <v>56</v>
      </c>
      <c r="AN67" s="95">
        <f t="shared" si="18"/>
        <v>0</v>
      </c>
      <c r="AO67" s="95">
        <f t="shared" si="19"/>
        <v>0</v>
      </c>
      <c r="AP67" s="95">
        <f t="shared" si="20"/>
        <v>0</v>
      </c>
      <c r="AQ67" s="95">
        <f t="shared" si="21"/>
        <v>0</v>
      </c>
    </row>
    <row r="68" spans="39:43" ht="20.100000000000001" customHeight="1" x14ac:dyDescent="0.25">
      <c r="AM68" s="90">
        <f t="shared" si="17"/>
        <v>57</v>
      </c>
      <c r="AN68" s="95">
        <f t="shared" si="18"/>
        <v>0</v>
      </c>
      <c r="AO68" s="95">
        <f t="shared" si="19"/>
        <v>0</v>
      </c>
      <c r="AP68" s="95">
        <f t="shared" si="20"/>
        <v>0</v>
      </c>
      <c r="AQ68" s="95">
        <f t="shared" si="21"/>
        <v>0</v>
      </c>
    </row>
    <row r="69" spans="39:43" ht="20.100000000000001" customHeight="1" x14ac:dyDescent="0.25">
      <c r="AM69" s="90">
        <f t="shared" si="17"/>
        <v>58</v>
      </c>
      <c r="AN69" s="95">
        <f t="shared" si="18"/>
        <v>0</v>
      </c>
      <c r="AO69" s="95">
        <f t="shared" si="19"/>
        <v>0</v>
      </c>
      <c r="AP69" s="95">
        <f t="shared" si="20"/>
        <v>0</v>
      </c>
      <c r="AQ69" s="95">
        <f t="shared" si="21"/>
        <v>0</v>
      </c>
    </row>
    <row r="70" spans="39:43" ht="20.100000000000001" customHeight="1" x14ac:dyDescent="0.25">
      <c r="AM70" s="90">
        <f t="shared" si="17"/>
        <v>59</v>
      </c>
      <c r="AN70" s="95">
        <f t="shared" si="18"/>
        <v>0</v>
      </c>
      <c r="AO70" s="95">
        <f t="shared" si="19"/>
        <v>0</v>
      </c>
      <c r="AP70" s="95">
        <f t="shared" si="20"/>
        <v>0</v>
      </c>
      <c r="AQ70" s="95">
        <f t="shared" si="21"/>
        <v>0</v>
      </c>
    </row>
    <row r="71" spans="39:43" ht="20.100000000000001" customHeight="1" x14ac:dyDescent="0.25">
      <c r="AM71" s="90">
        <f t="shared" si="17"/>
        <v>60</v>
      </c>
      <c r="AN71" s="95">
        <f t="shared" si="18"/>
        <v>0</v>
      </c>
      <c r="AO71" s="95">
        <f t="shared" si="19"/>
        <v>0</v>
      </c>
      <c r="AP71" s="95">
        <f t="shared" si="20"/>
        <v>0</v>
      </c>
      <c r="AQ71" s="95">
        <f t="shared" si="21"/>
        <v>0</v>
      </c>
    </row>
    <row r="72" spans="39:43" ht="20.100000000000001" customHeight="1" x14ac:dyDescent="0.25">
      <c r="AM72" s="90">
        <f t="shared" si="17"/>
        <v>61</v>
      </c>
      <c r="AN72" s="95">
        <f t="shared" si="18"/>
        <v>0</v>
      </c>
      <c r="AO72" s="95">
        <f t="shared" si="19"/>
        <v>0</v>
      </c>
      <c r="AP72" s="95">
        <f t="shared" si="20"/>
        <v>0</v>
      </c>
      <c r="AQ72" s="95">
        <f t="shared" si="21"/>
        <v>0</v>
      </c>
    </row>
    <row r="73" spans="39:43" ht="20.100000000000001" customHeight="1" x14ac:dyDescent="0.25">
      <c r="AM73" s="90">
        <f t="shared" si="17"/>
        <v>62</v>
      </c>
      <c r="AN73" s="95">
        <f t="shared" si="18"/>
        <v>0</v>
      </c>
      <c r="AO73" s="95">
        <f t="shared" si="19"/>
        <v>0</v>
      </c>
      <c r="AP73" s="95">
        <f t="shared" si="20"/>
        <v>0</v>
      </c>
      <c r="AQ73" s="95">
        <f t="shared" si="21"/>
        <v>0</v>
      </c>
    </row>
    <row r="74" spans="39:43" ht="20.100000000000001" customHeight="1" x14ac:dyDescent="0.25">
      <c r="AM74" s="90">
        <f t="shared" si="17"/>
        <v>63</v>
      </c>
      <c r="AN74" s="95">
        <f t="shared" si="18"/>
        <v>0</v>
      </c>
      <c r="AO74" s="95">
        <f t="shared" si="19"/>
        <v>0</v>
      </c>
      <c r="AP74" s="95">
        <f t="shared" si="20"/>
        <v>0</v>
      </c>
      <c r="AQ74" s="95">
        <f t="shared" si="21"/>
        <v>0</v>
      </c>
    </row>
    <row r="75" spans="39:43" ht="20.100000000000001" customHeight="1" x14ac:dyDescent="0.25">
      <c r="AM75" s="90">
        <f t="shared" si="17"/>
        <v>64</v>
      </c>
      <c r="AN75" s="95">
        <f t="shared" si="18"/>
        <v>0</v>
      </c>
      <c r="AO75" s="95">
        <f t="shared" si="19"/>
        <v>0</v>
      </c>
      <c r="AP75" s="95">
        <f t="shared" si="20"/>
        <v>0</v>
      </c>
      <c r="AQ75" s="95">
        <f t="shared" si="21"/>
        <v>0</v>
      </c>
    </row>
    <row r="76" spans="39:43" ht="20.100000000000001" customHeight="1" x14ac:dyDescent="0.25">
      <c r="AM76" s="90">
        <f t="shared" si="17"/>
        <v>65</v>
      </c>
      <c r="AN76" s="95">
        <f t="shared" si="18"/>
        <v>0</v>
      </c>
      <c r="AO76" s="95">
        <f t="shared" si="19"/>
        <v>0</v>
      </c>
      <c r="AP76" s="95">
        <f t="shared" si="20"/>
        <v>0</v>
      </c>
      <c r="AQ76" s="95">
        <f t="shared" si="21"/>
        <v>0</v>
      </c>
    </row>
    <row r="77" spans="39:43" ht="20.100000000000001" customHeight="1" x14ac:dyDescent="0.25">
      <c r="AM77" s="90">
        <f t="shared" si="17"/>
        <v>66</v>
      </c>
      <c r="AN77" s="95">
        <f t="shared" si="18"/>
        <v>0</v>
      </c>
      <c r="AO77" s="95">
        <f t="shared" si="19"/>
        <v>0</v>
      </c>
      <c r="AP77" s="95">
        <f t="shared" si="20"/>
        <v>0</v>
      </c>
      <c r="AQ77" s="95">
        <f t="shared" si="21"/>
        <v>0</v>
      </c>
    </row>
    <row r="78" spans="39:43" ht="20.100000000000001" customHeight="1" x14ac:dyDescent="0.25">
      <c r="AM78" s="90">
        <f t="shared" si="17"/>
        <v>67</v>
      </c>
      <c r="AN78" s="95">
        <f t="shared" si="18"/>
        <v>0</v>
      </c>
      <c r="AO78" s="95">
        <f t="shared" si="19"/>
        <v>0</v>
      </c>
      <c r="AP78" s="95">
        <f t="shared" si="20"/>
        <v>0</v>
      </c>
      <c r="AQ78" s="95">
        <f t="shared" si="21"/>
        <v>0</v>
      </c>
    </row>
    <row r="79" spans="39:43" ht="20.100000000000001" customHeight="1" x14ac:dyDescent="0.25">
      <c r="AM79" s="90">
        <f t="shared" si="17"/>
        <v>68</v>
      </c>
      <c r="AN79" s="95">
        <f t="shared" si="18"/>
        <v>0</v>
      </c>
      <c r="AO79" s="95">
        <f t="shared" si="19"/>
        <v>0</v>
      </c>
      <c r="AP79" s="95">
        <f t="shared" si="20"/>
        <v>0</v>
      </c>
      <c r="AQ79" s="95">
        <f t="shared" si="21"/>
        <v>0</v>
      </c>
    </row>
    <row r="80" spans="39:43" ht="20.100000000000001" customHeight="1" x14ac:dyDescent="0.25">
      <c r="AM80" s="90">
        <f t="shared" si="17"/>
        <v>69</v>
      </c>
      <c r="AN80" s="95">
        <f t="shared" si="18"/>
        <v>0</v>
      </c>
      <c r="AO80" s="95">
        <f t="shared" si="19"/>
        <v>0</v>
      </c>
      <c r="AP80" s="95">
        <f t="shared" si="20"/>
        <v>0</v>
      </c>
      <c r="AQ80" s="95">
        <f t="shared" si="21"/>
        <v>0</v>
      </c>
    </row>
    <row r="81" spans="39:43" ht="20.100000000000001" customHeight="1" x14ac:dyDescent="0.25">
      <c r="AM81" s="90">
        <f t="shared" si="17"/>
        <v>70</v>
      </c>
      <c r="AN81" s="95">
        <f t="shared" si="18"/>
        <v>0</v>
      </c>
      <c r="AO81" s="95">
        <f t="shared" si="19"/>
        <v>0</v>
      </c>
      <c r="AP81" s="95">
        <f t="shared" si="20"/>
        <v>0</v>
      </c>
      <c r="AQ81" s="95">
        <f t="shared" si="21"/>
        <v>0</v>
      </c>
    </row>
  </sheetData>
  <mergeCells count="51">
    <mergeCell ref="M13:N14"/>
    <mergeCell ref="A13:D14"/>
    <mergeCell ref="E13:F14"/>
    <mergeCell ref="G13:H14"/>
    <mergeCell ref="I13:J14"/>
    <mergeCell ref="K13:L14"/>
    <mergeCell ref="M11:N12"/>
    <mergeCell ref="O11:P12"/>
    <mergeCell ref="Q11:R12"/>
    <mergeCell ref="AS11:BB11"/>
    <mergeCell ref="AS12:AS41"/>
    <mergeCell ref="AU12:AU41"/>
    <mergeCell ref="AW12:AW41"/>
    <mergeCell ref="AY12:AY41"/>
    <mergeCell ref="BA12:BA41"/>
    <mergeCell ref="A18:R20"/>
    <mergeCell ref="O13:P14"/>
    <mergeCell ref="Q13:R14"/>
    <mergeCell ref="A15:R15"/>
    <mergeCell ref="A16:R16"/>
    <mergeCell ref="A17:C17"/>
    <mergeCell ref="D17:R17"/>
    <mergeCell ref="A11:D12"/>
    <mergeCell ref="E11:F12"/>
    <mergeCell ref="G11:H12"/>
    <mergeCell ref="I11:J12"/>
    <mergeCell ref="K11:L12"/>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R1"/>
    <mergeCell ref="A3:R4"/>
    <mergeCell ref="A5:R5"/>
    <mergeCell ref="A6:D6"/>
    <mergeCell ref="E6:F6"/>
    <mergeCell ref="G6:J6"/>
    <mergeCell ref="K6:N6"/>
    <mergeCell ref="O6:R6"/>
  </mergeCells>
  <pageMargins left="0.511811024" right="0.511811024" top="0.78740157499999996" bottom="0.78740157499999996" header="0.31496062000000002" footer="0.314960620000000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workbookViewId="0">
      <selection sqref="A1:J1"/>
    </sheetView>
  </sheetViews>
  <sheetFormatPr defaultRowHeight="20.100000000000001" customHeight="1" x14ac:dyDescent="0.25"/>
  <cols>
    <col min="1" max="10" width="10.625" style="30" customWidth="1"/>
    <col min="11" max="16384" width="9" style="28"/>
  </cols>
  <sheetData>
    <row r="1" spans="1:10" ht="20.100000000000001" customHeight="1" thickBot="1" x14ac:dyDescent="0.3">
      <c r="A1" s="216" t="s">
        <v>302</v>
      </c>
      <c r="B1" s="216"/>
      <c r="C1" s="216"/>
      <c r="D1" s="216"/>
      <c r="E1" s="216"/>
      <c r="F1" s="216"/>
      <c r="G1" s="216"/>
      <c r="H1" s="216"/>
      <c r="I1" s="216"/>
      <c r="J1" s="216"/>
    </row>
    <row r="2" spans="1:10" ht="20.100000000000001" customHeight="1" x14ac:dyDescent="0.25">
      <c r="A2" s="29"/>
      <c r="B2" s="1"/>
      <c r="C2" s="1"/>
      <c r="D2" s="1"/>
      <c r="E2" s="1"/>
    </row>
    <row r="3" spans="1:10" ht="20.100000000000001" customHeight="1" x14ac:dyDescent="0.25">
      <c r="A3" s="217" t="s">
        <v>303</v>
      </c>
      <c r="B3" s="217" t="s">
        <v>304</v>
      </c>
      <c r="C3" s="217"/>
      <c r="D3" s="217" t="s">
        <v>305</v>
      </c>
      <c r="E3" s="217"/>
      <c r="F3" s="217"/>
      <c r="G3" s="218" t="s">
        <v>306</v>
      </c>
      <c r="H3" s="219"/>
      <c r="I3" s="217" t="s">
        <v>307</v>
      </c>
      <c r="J3" s="217"/>
    </row>
    <row r="4" spans="1:10" ht="20.100000000000001" customHeight="1" x14ac:dyDescent="0.25">
      <c r="A4" s="217"/>
      <c r="B4" s="217"/>
      <c r="C4" s="217"/>
      <c r="D4" s="217"/>
      <c r="E4" s="217"/>
      <c r="F4" s="217"/>
      <c r="G4" s="220"/>
      <c r="H4" s="221"/>
      <c r="I4" s="217"/>
      <c r="J4" s="217"/>
    </row>
    <row r="5" spans="1:10" ht="20.100000000000001" customHeight="1" x14ac:dyDescent="0.25">
      <c r="A5" s="217"/>
      <c r="B5" s="217"/>
      <c r="C5" s="217"/>
      <c r="D5" s="217"/>
      <c r="E5" s="217"/>
      <c r="F5" s="217"/>
      <c r="G5" s="217" t="s">
        <v>308</v>
      </c>
      <c r="H5" s="217"/>
      <c r="I5" s="217"/>
      <c r="J5" s="217"/>
    </row>
    <row r="6" spans="1:10" ht="20.100000000000001" customHeight="1" x14ac:dyDescent="0.25">
      <c r="A6" s="225" t="s">
        <v>309</v>
      </c>
      <c r="B6" s="217" t="s">
        <v>310</v>
      </c>
      <c r="C6" s="217"/>
      <c r="D6" s="224" t="s">
        <v>311</v>
      </c>
      <c r="E6" s="224"/>
      <c r="F6" s="224"/>
      <c r="G6" s="222">
        <v>5</v>
      </c>
      <c r="H6" s="222"/>
      <c r="I6" s="223">
        <v>0</v>
      </c>
      <c r="J6" s="223"/>
    </row>
    <row r="7" spans="1:10" ht="20.100000000000001" customHeight="1" x14ac:dyDescent="0.25">
      <c r="A7" s="225"/>
      <c r="B7" s="217"/>
      <c r="C7" s="217"/>
      <c r="D7" s="224" t="s">
        <v>312</v>
      </c>
      <c r="E7" s="224"/>
      <c r="F7" s="224"/>
      <c r="G7" s="222">
        <v>10</v>
      </c>
      <c r="H7" s="222"/>
      <c r="I7" s="223">
        <v>0</v>
      </c>
      <c r="J7" s="223"/>
    </row>
    <row r="8" spans="1:10" ht="20.100000000000001" customHeight="1" x14ac:dyDescent="0.25">
      <c r="A8" s="225"/>
      <c r="B8" s="217" t="s">
        <v>313</v>
      </c>
      <c r="C8" s="217"/>
      <c r="D8" s="224" t="s">
        <v>311</v>
      </c>
      <c r="E8" s="224"/>
      <c r="F8" s="224"/>
      <c r="G8" s="222">
        <v>60</v>
      </c>
      <c r="H8" s="222"/>
      <c r="I8" s="223">
        <v>0.2</v>
      </c>
      <c r="J8" s="223"/>
    </row>
    <row r="9" spans="1:10" ht="20.100000000000001" customHeight="1" x14ac:dyDescent="0.25">
      <c r="A9" s="225"/>
      <c r="B9" s="217"/>
      <c r="C9" s="217"/>
      <c r="D9" s="224" t="s">
        <v>314</v>
      </c>
      <c r="E9" s="224"/>
      <c r="F9" s="224"/>
      <c r="G9" s="222">
        <v>60</v>
      </c>
      <c r="H9" s="222"/>
      <c r="I9" s="223">
        <v>0.2</v>
      </c>
      <c r="J9" s="223"/>
    </row>
    <row r="10" spans="1:10" ht="20.100000000000001" customHeight="1" x14ac:dyDescent="0.25">
      <c r="A10" s="225"/>
      <c r="B10" s="217"/>
      <c r="C10" s="217"/>
      <c r="D10" s="224" t="s">
        <v>315</v>
      </c>
      <c r="E10" s="224"/>
      <c r="F10" s="224"/>
      <c r="G10" s="222">
        <v>70</v>
      </c>
      <c r="H10" s="222"/>
      <c r="I10" s="223">
        <v>0.2</v>
      </c>
      <c r="J10" s="223"/>
    </row>
    <row r="11" spans="1:10" ht="20.100000000000001" customHeight="1" x14ac:dyDescent="0.25">
      <c r="A11" s="225"/>
      <c r="B11" s="217"/>
      <c r="C11" s="217"/>
      <c r="D11" s="224" t="s">
        <v>312</v>
      </c>
      <c r="E11" s="224"/>
      <c r="F11" s="224"/>
      <c r="G11" s="222">
        <v>70</v>
      </c>
      <c r="H11" s="222"/>
      <c r="I11" s="223">
        <v>0.2</v>
      </c>
      <c r="J11" s="223"/>
    </row>
    <row r="12" spans="1:10" ht="20.100000000000001" customHeight="1" x14ac:dyDescent="0.25">
      <c r="A12" s="225"/>
      <c r="B12" s="217"/>
      <c r="C12" s="217"/>
      <c r="D12" s="224" t="s">
        <v>316</v>
      </c>
      <c r="E12" s="224"/>
      <c r="F12" s="224"/>
      <c r="G12" s="222">
        <v>70</v>
      </c>
      <c r="H12" s="222"/>
      <c r="I12" s="223">
        <v>0.2</v>
      </c>
      <c r="J12" s="223"/>
    </row>
    <row r="13" spans="1:10" ht="20.100000000000001" customHeight="1" x14ac:dyDescent="0.25">
      <c r="A13" s="225"/>
      <c r="B13" s="217"/>
      <c r="C13" s="217"/>
      <c r="D13" s="224" t="s">
        <v>317</v>
      </c>
      <c r="E13" s="224"/>
      <c r="F13" s="224"/>
      <c r="G13" s="222">
        <v>70</v>
      </c>
      <c r="H13" s="222"/>
      <c r="I13" s="223">
        <v>0.2</v>
      </c>
      <c r="J13" s="223"/>
    </row>
    <row r="14" spans="1:10" ht="20.100000000000001" customHeight="1" x14ac:dyDescent="0.25">
      <c r="A14" s="225"/>
      <c r="B14" s="217"/>
      <c r="C14" s="217"/>
      <c r="D14" s="224" t="s">
        <v>318</v>
      </c>
      <c r="E14" s="224"/>
      <c r="F14" s="224"/>
      <c r="G14" s="222">
        <v>60</v>
      </c>
      <c r="H14" s="222"/>
      <c r="I14" s="223">
        <v>0.2</v>
      </c>
      <c r="J14" s="223"/>
    </row>
    <row r="15" spans="1:10" ht="20.100000000000001" customHeight="1" x14ac:dyDescent="0.25">
      <c r="A15" s="225"/>
      <c r="B15" s="217"/>
      <c r="C15" s="217"/>
      <c r="D15" s="224" t="s">
        <v>319</v>
      </c>
      <c r="E15" s="224"/>
      <c r="F15" s="224"/>
      <c r="G15" s="222">
        <v>60</v>
      </c>
      <c r="H15" s="222"/>
      <c r="I15" s="223">
        <v>0.2</v>
      </c>
      <c r="J15" s="223"/>
    </row>
    <row r="16" spans="1:10" ht="20.100000000000001" customHeight="1" x14ac:dyDescent="0.25">
      <c r="A16" s="225"/>
      <c r="B16" s="217" t="s">
        <v>320</v>
      </c>
      <c r="C16" s="217"/>
      <c r="D16" s="224" t="s">
        <v>315</v>
      </c>
      <c r="E16" s="224"/>
      <c r="F16" s="224"/>
      <c r="G16" s="222">
        <v>60</v>
      </c>
      <c r="H16" s="222"/>
      <c r="I16" s="223">
        <v>0.2</v>
      </c>
      <c r="J16" s="223"/>
    </row>
    <row r="17" spans="1:10" ht="20.100000000000001" customHeight="1" x14ac:dyDescent="0.25">
      <c r="A17" s="225"/>
      <c r="B17" s="217"/>
      <c r="C17" s="217"/>
      <c r="D17" s="224" t="s">
        <v>312</v>
      </c>
      <c r="E17" s="224"/>
      <c r="F17" s="224"/>
      <c r="G17" s="222">
        <v>60</v>
      </c>
      <c r="H17" s="222"/>
      <c r="I17" s="223">
        <v>0.2</v>
      </c>
      <c r="J17" s="223"/>
    </row>
    <row r="18" spans="1:10" ht="20.100000000000001" customHeight="1" x14ac:dyDescent="0.25">
      <c r="A18" s="225"/>
      <c r="B18" s="217"/>
      <c r="C18" s="217"/>
      <c r="D18" s="224" t="s">
        <v>316</v>
      </c>
      <c r="E18" s="224"/>
      <c r="F18" s="224"/>
      <c r="G18" s="222">
        <v>60</v>
      </c>
      <c r="H18" s="222"/>
      <c r="I18" s="223">
        <v>0.2</v>
      </c>
      <c r="J18" s="223"/>
    </row>
    <row r="19" spans="1:10" ht="20.100000000000001" customHeight="1" x14ac:dyDescent="0.25">
      <c r="A19" s="225"/>
      <c r="B19" s="217"/>
      <c r="C19" s="217"/>
      <c r="D19" s="224" t="s">
        <v>317</v>
      </c>
      <c r="E19" s="224"/>
      <c r="F19" s="224"/>
      <c r="G19" s="222">
        <v>60</v>
      </c>
      <c r="H19" s="222"/>
      <c r="I19" s="223">
        <v>0.2</v>
      </c>
      <c r="J19" s="223"/>
    </row>
    <row r="20" spans="1:10" ht="20.100000000000001" customHeight="1" x14ac:dyDescent="0.25">
      <c r="A20" s="225"/>
      <c r="B20" s="217"/>
      <c r="C20" s="217"/>
      <c r="D20" s="224" t="s">
        <v>318</v>
      </c>
      <c r="E20" s="224"/>
      <c r="F20" s="224"/>
      <c r="G20" s="222">
        <v>50</v>
      </c>
      <c r="H20" s="222"/>
      <c r="I20" s="223">
        <v>0.2</v>
      </c>
      <c r="J20" s="223"/>
    </row>
    <row r="21" spans="1:10" ht="20.100000000000001" customHeight="1" x14ac:dyDescent="0.25">
      <c r="A21" s="225"/>
      <c r="B21" s="217"/>
      <c r="C21" s="217"/>
      <c r="D21" s="224" t="s">
        <v>319</v>
      </c>
      <c r="E21" s="224"/>
      <c r="F21" s="224"/>
      <c r="G21" s="222">
        <v>50</v>
      </c>
      <c r="H21" s="222"/>
      <c r="I21" s="223">
        <v>0.2</v>
      </c>
      <c r="J21" s="223"/>
    </row>
    <row r="22" spans="1:10" ht="20.100000000000001" customHeight="1" x14ac:dyDescent="0.25">
      <c r="A22" s="225" t="s">
        <v>321</v>
      </c>
      <c r="B22" s="217" t="s">
        <v>322</v>
      </c>
      <c r="C22" s="217"/>
      <c r="D22" s="224" t="s">
        <v>315</v>
      </c>
      <c r="E22" s="224"/>
      <c r="F22" s="224"/>
      <c r="G22" s="222">
        <v>70</v>
      </c>
      <c r="H22" s="222"/>
      <c r="I22" s="223">
        <v>0.2</v>
      </c>
      <c r="J22" s="223"/>
    </row>
    <row r="23" spans="1:10" ht="20.100000000000001" customHeight="1" x14ac:dyDescent="0.25">
      <c r="A23" s="225"/>
      <c r="B23" s="217"/>
      <c r="C23" s="217"/>
      <c r="D23" s="224" t="s">
        <v>312</v>
      </c>
      <c r="E23" s="224"/>
      <c r="F23" s="224"/>
      <c r="G23" s="222">
        <v>70</v>
      </c>
      <c r="H23" s="222"/>
      <c r="I23" s="223">
        <v>0.2</v>
      </c>
      <c r="J23" s="223"/>
    </row>
    <row r="24" spans="1:10" ht="20.100000000000001" customHeight="1" x14ac:dyDescent="0.25">
      <c r="A24" s="225"/>
      <c r="B24" s="217"/>
      <c r="C24" s="217"/>
      <c r="D24" s="224" t="s">
        <v>316</v>
      </c>
      <c r="E24" s="224"/>
      <c r="F24" s="224"/>
      <c r="G24" s="222">
        <v>60</v>
      </c>
      <c r="H24" s="222"/>
      <c r="I24" s="223">
        <v>0.2</v>
      </c>
      <c r="J24" s="223"/>
    </row>
    <row r="25" spans="1:10" ht="20.100000000000001" customHeight="1" x14ac:dyDescent="0.25">
      <c r="A25" s="225"/>
      <c r="B25" s="217"/>
      <c r="C25" s="217"/>
      <c r="D25" s="224" t="s">
        <v>317</v>
      </c>
      <c r="E25" s="224"/>
      <c r="F25" s="224"/>
      <c r="G25" s="222">
        <v>60</v>
      </c>
      <c r="H25" s="222"/>
      <c r="I25" s="223">
        <v>0.2</v>
      </c>
      <c r="J25" s="223"/>
    </row>
    <row r="26" spans="1:10" ht="20.100000000000001" customHeight="1" x14ac:dyDescent="0.25">
      <c r="A26" s="225"/>
      <c r="B26" s="217"/>
      <c r="C26" s="217"/>
      <c r="D26" s="224" t="s">
        <v>318</v>
      </c>
      <c r="E26" s="224"/>
      <c r="F26" s="224"/>
      <c r="G26" s="222">
        <v>50</v>
      </c>
      <c r="H26" s="222"/>
      <c r="I26" s="223">
        <v>0.2</v>
      </c>
      <c r="J26" s="223"/>
    </row>
    <row r="27" spans="1:10" ht="20.100000000000001" customHeight="1" x14ac:dyDescent="0.25">
      <c r="A27" s="225"/>
      <c r="B27" s="217"/>
      <c r="C27" s="217"/>
      <c r="D27" s="224" t="s">
        <v>319</v>
      </c>
      <c r="E27" s="224"/>
      <c r="F27" s="224"/>
      <c r="G27" s="222">
        <v>50</v>
      </c>
      <c r="H27" s="222"/>
      <c r="I27" s="223">
        <v>0.2</v>
      </c>
      <c r="J27" s="223"/>
    </row>
    <row r="28" spans="1:10" ht="20.100000000000001" customHeight="1" x14ac:dyDescent="0.25">
      <c r="A28" s="225"/>
      <c r="B28" s="217" t="s">
        <v>323</v>
      </c>
      <c r="C28" s="217"/>
      <c r="D28" s="224" t="s">
        <v>311</v>
      </c>
      <c r="E28" s="224"/>
      <c r="F28" s="224"/>
      <c r="G28" s="222">
        <v>60</v>
      </c>
      <c r="H28" s="222"/>
      <c r="I28" s="223">
        <v>0.2</v>
      </c>
      <c r="J28" s="223"/>
    </row>
    <row r="29" spans="1:10" ht="20.100000000000001" customHeight="1" x14ac:dyDescent="0.25">
      <c r="A29" s="225"/>
      <c r="B29" s="217"/>
      <c r="C29" s="217"/>
      <c r="D29" s="224" t="s">
        <v>312</v>
      </c>
      <c r="E29" s="224"/>
      <c r="F29" s="224"/>
      <c r="G29" s="222">
        <v>60</v>
      </c>
      <c r="H29" s="222"/>
      <c r="I29" s="223">
        <v>0.2</v>
      </c>
      <c r="J29" s="223"/>
    </row>
    <row r="30" spans="1:10" ht="20.100000000000001" customHeight="1" x14ac:dyDescent="0.25">
      <c r="A30" s="225"/>
      <c r="B30" s="217"/>
      <c r="C30" s="217"/>
      <c r="D30" s="224" t="s">
        <v>316</v>
      </c>
      <c r="E30" s="224"/>
      <c r="F30" s="224"/>
      <c r="G30" s="222">
        <v>80</v>
      </c>
      <c r="H30" s="222"/>
      <c r="I30" s="223">
        <v>0.2</v>
      </c>
      <c r="J30" s="223"/>
    </row>
    <row r="31" spans="1:10" ht="20.100000000000001" customHeight="1" x14ac:dyDescent="0.25">
      <c r="A31" s="225"/>
      <c r="B31" s="217"/>
      <c r="C31" s="217"/>
      <c r="D31" s="224" t="s">
        <v>317</v>
      </c>
      <c r="E31" s="224"/>
      <c r="F31" s="224"/>
      <c r="G31" s="222">
        <v>80</v>
      </c>
      <c r="H31" s="222"/>
      <c r="I31" s="223">
        <v>0.2</v>
      </c>
      <c r="J31" s="223"/>
    </row>
    <row r="32" spans="1:10" ht="20.100000000000001" customHeight="1" x14ac:dyDescent="0.25">
      <c r="A32" s="225"/>
      <c r="B32" s="217" t="s">
        <v>324</v>
      </c>
      <c r="C32" s="217"/>
      <c r="D32" s="224" t="s">
        <v>311</v>
      </c>
      <c r="E32" s="224"/>
      <c r="F32" s="224"/>
      <c r="G32" s="222">
        <v>20</v>
      </c>
      <c r="H32" s="222"/>
      <c r="I32" s="223">
        <v>0.1</v>
      </c>
      <c r="J32" s="223"/>
    </row>
    <row r="33" spans="1:10" ht="20.100000000000001" customHeight="1" x14ac:dyDescent="0.25">
      <c r="A33" s="225"/>
      <c r="B33" s="217"/>
      <c r="C33" s="217"/>
      <c r="D33" s="224" t="s">
        <v>312</v>
      </c>
      <c r="E33" s="224"/>
      <c r="F33" s="224"/>
      <c r="G33" s="222">
        <v>20</v>
      </c>
      <c r="H33" s="222"/>
      <c r="I33" s="223">
        <v>0.1</v>
      </c>
      <c r="J33" s="223"/>
    </row>
    <row r="34" spans="1:10" ht="20.100000000000001" customHeight="1" x14ac:dyDescent="0.25">
      <c r="A34" s="225"/>
      <c r="B34" s="217"/>
      <c r="C34" s="217"/>
      <c r="D34" s="224" t="s">
        <v>317</v>
      </c>
      <c r="E34" s="224"/>
      <c r="F34" s="224"/>
      <c r="G34" s="222">
        <v>30</v>
      </c>
      <c r="H34" s="222"/>
      <c r="I34" s="223">
        <v>0.1</v>
      </c>
      <c r="J34" s="223"/>
    </row>
    <row r="35" spans="1:10" ht="20.100000000000001" customHeight="1" x14ac:dyDescent="0.25">
      <c r="A35" s="1"/>
      <c r="B35" s="1"/>
      <c r="C35" s="1"/>
      <c r="D35" s="1"/>
      <c r="E35" s="1"/>
    </row>
    <row r="36" spans="1:10" ht="20.100000000000001" customHeight="1" x14ac:dyDescent="0.25">
      <c r="A36" s="150" t="s">
        <v>80</v>
      </c>
      <c r="B36" s="150"/>
      <c r="C36" s="150"/>
      <c r="D36" s="150"/>
      <c r="E36" s="150"/>
      <c r="F36" s="150"/>
      <c r="G36" s="150"/>
      <c r="H36" s="150"/>
      <c r="I36" s="150"/>
      <c r="J36" s="150"/>
    </row>
    <row r="37" spans="1:10" ht="20.100000000000001" customHeight="1" x14ac:dyDescent="0.25">
      <c r="A37" s="150" t="s">
        <v>325</v>
      </c>
      <c r="B37" s="150"/>
      <c r="C37" s="150"/>
      <c r="D37" s="150"/>
      <c r="E37" s="150"/>
      <c r="F37" s="150"/>
      <c r="G37" s="150"/>
      <c r="H37" s="150"/>
      <c r="I37" s="150"/>
      <c r="J37" s="150"/>
    </row>
    <row r="38" spans="1:10" ht="20.100000000000001" customHeight="1" x14ac:dyDescent="0.25">
      <c r="A38" s="150" t="s">
        <v>326</v>
      </c>
      <c r="B38" s="150"/>
      <c r="C38" s="150"/>
      <c r="D38" s="150"/>
      <c r="E38" s="150"/>
      <c r="F38" s="150"/>
      <c r="G38" s="150"/>
      <c r="H38" s="150"/>
      <c r="I38" s="150"/>
      <c r="J38" s="150"/>
    </row>
    <row r="39" spans="1:10" ht="20.100000000000001" customHeight="1" x14ac:dyDescent="0.25">
      <c r="A39" s="150"/>
      <c r="B39" s="150"/>
      <c r="C39" s="150"/>
      <c r="D39" s="150"/>
      <c r="E39" s="150"/>
      <c r="F39" s="150"/>
      <c r="G39" s="150"/>
      <c r="H39" s="150"/>
      <c r="I39" s="150"/>
      <c r="J39" s="150"/>
    </row>
    <row r="42" spans="1:10" ht="20.100000000000001" customHeight="1" x14ac:dyDescent="0.25">
      <c r="A42" s="230" t="s">
        <v>327</v>
      </c>
      <c r="B42" s="230"/>
      <c r="C42" s="230"/>
      <c r="D42" s="230"/>
      <c r="E42" s="230"/>
      <c r="F42" s="230"/>
      <c r="G42" s="230"/>
      <c r="H42" s="230"/>
      <c r="I42" s="230"/>
      <c r="J42" s="230"/>
    </row>
    <row r="43" spans="1:10" ht="20.100000000000001" customHeight="1" thickBot="1" x14ac:dyDescent="0.3">
      <c r="A43" s="231"/>
      <c r="B43" s="231"/>
      <c r="C43" s="231"/>
      <c r="D43" s="231"/>
      <c r="E43" s="231"/>
      <c r="F43" s="231"/>
      <c r="G43" s="231"/>
      <c r="H43" s="231"/>
      <c r="I43" s="231"/>
      <c r="J43" s="231"/>
    </row>
    <row r="44" spans="1:10" ht="20.100000000000001" customHeight="1" x14ac:dyDescent="0.25">
      <c r="A44" s="31"/>
      <c r="B44" s="32"/>
      <c r="C44" s="32"/>
      <c r="D44" s="32"/>
      <c r="E44" s="32"/>
      <c r="F44" s="33"/>
      <c r="G44" s="33"/>
      <c r="H44" s="34"/>
      <c r="I44" s="34"/>
      <c r="J44" s="34"/>
    </row>
    <row r="45" spans="1:10" ht="20.100000000000001" customHeight="1" x14ac:dyDescent="0.25">
      <c r="A45" s="232" t="s">
        <v>328</v>
      </c>
      <c r="B45" s="232" t="s">
        <v>329</v>
      </c>
      <c r="C45" s="232"/>
      <c r="D45" s="232"/>
      <c r="E45" s="232" t="s">
        <v>330</v>
      </c>
      <c r="F45" s="232" t="s">
        <v>331</v>
      </c>
      <c r="G45" s="232"/>
      <c r="H45" s="232"/>
      <c r="I45" s="232"/>
      <c r="J45" s="232"/>
    </row>
    <row r="46" spans="1:10" ht="20.100000000000001" customHeight="1" x14ac:dyDescent="0.25">
      <c r="A46" s="232"/>
      <c r="B46" s="232"/>
      <c r="C46" s="232"/>
      <c r="D46" s="232"/>
      <c r="E46" s="232"/>
      <c r="F46" s="232"/>
      <c r="G46" s="232"/>
      <c r="H46" s="232"/>
      <c r="I46" s="232"/>
      <c r="J46" s="232"/>
    </row>
    <row r="47" spans="1:10" ht="20.100000000000001" customHeight="1" x14ac:dyDescent="0.25">
      <c r="A47" s="226" t="s">
        <v>332</v>
      </c>
      <c r="B47" s="227" t="s">
        <v>285</v>
      </c>
      <c r="C47" s="227"/>
      <c r="D47" s="227"/>
      <c r="E47" s="228">
        <v>0</v>
      </c>
      <c r="F47" s="229" t="s">
        <v>333</v>
      </c>
      <c r="G47" s="229"/>
      <c r="H47" s="229"/>
      <c r="I47" s="229"/>
      <c r="J47" s="229"/>
    </row>
    <row r="48" spans="1:10" ht="20.100000000000001" customHeight="1" x14ac:dyDescent="0.25">
      <c r="A48" s="226"/>
      <c r="B48" s="227"/>
      <c r="C48" s="227"/>
      <c r="D48" s="227"/>
      <c r="E48" s="228"/>
      <c r="F48" s="229"/>
      <c r="G48" s="229"/>
      <c r="H48" s="229"/>
      <c r="I48" s="229"/>
      <c r="J48" s="229"/>
    </row>
    <row r="49" spans="1:10" ht="20.100000000000001" customHeight="1" x14ac:dyDescent="0.25">
      <c r="A49" s="226"/>
      <c r="B49" s="227"/>
      <c r="C49" s="227"/>
      <c r="D49" s="227"/>
      <c r="E49" s="228"/>
      <c r="F49" s="229"/>
      <c r="G49" s="229"/>
      <c r="H49" s="229"/>
      <c r="I49" s="229"/>
      <c r="J49" s="229"/>
    </row>
    <row r="50" spans="1:10" ht="20.100000000000001" customHeight="1" x14ac:dyDescent="0.25">
      <c r="A50" s="226" t="s">
        <v>334</v>
      </c>
      <c r="B50" s="227" t="s">
        <v>335</v>
      </c>
      <c r="C50" s="227"/>
      <c r="D50" s="227"/>
      <c r="E50" s="228">
        <v>0.32</v>
      </c>
      <c r="F50" s="229" t="s">
        <v>336</v>
      </c>
      <c r="G50" s="229"/>
      <c r="H50" s="229"/>
      <c r="I50" s="229"/>
      <c r="J50" s="229"/>
    </row>
    <row r="51" spans="1:10" ht="20.100000000000001" customHeight="1" x14ac:dyDescent="0.25">
      <c r="A51" s="226"/>
      <c r="B51" s="227"/>
      <c r="C51" s="227"/>
      <c r="D51" s="227"/>
      <c r="E51" s="228"/>
      <c r="F51" s="229"/>
      <c r="G51" s="229"/>
      <c r="H51" s="229"/>
      <c r="I51" s="229"/>
      <c r="J51" s="229"/>
    </row>
    <row r="52" spans="1:10" ht="20.100000000000001" customHeight="1" x14ac:dyDescent="0.25">
      <c r="A52" s="226"/>
      <c r="B52" s="227"/>
      <c r="C52" s="227"/>
      <c r="D52" s="227"/>
      <c r="E52" s="228"/>
      <c r="F52" s="229"/>
      <c r="G52" s="229"/>
      <c r="H52" s="229"/>
      <c r="I52" s="229"/>
      <c r="J52" s="229"/>
    </row>
    <row r="53" spans="1:10" ht="20.100000000000001" customHeight="1" x14ac:dyDescent="0.25">
      <c r="A53" s="226" t="s">
        <v>337</v>
      </c>
      <c r="B53" s="227" t="s">
        <v>7</v>
      </c>
      <c r="C53" s="227"/>
      <c r="D53" s="227"/>
      <c r="E53" s="228">
        <v>2.52</v>
      </c>
      <c r="F53" s="229" t="s">
        <v>338</v>
      </c>
      <c r="G53" s="229"/>
      <c r="H53" s="229"/>
      <c r="I53" s="229"/>
      <c r="J53" s="229"/>
    </row>
    <row r="54" spans="1:10" ht="20.100000000000001" customHeight="1" x14ac:dyDescent="0.25">
      <c r="A54" s="226"/>
      <c r="B54" s="227"/>
      <c r="C54" s="227"/>
      <c r="D54" s="227"/>
      <c r="E54" s="228"/>
      <c r="F54" s="229"/>
      <c r="G54" s="229"/>
      <c r="H54" s="229"/>
      <c r="I54" s="229"/>
      <c r="J54" s="229"/>
    </row>
    <row r="55" spans="1:10" ht="20.100000000000001" customHeight="1" x14ac:dyDescent="0.25">
      <c r="A55" s="226"/>
      <c r="B55" s="227"/>
      <c r="C55" s="227"/>
      <c r="D55" s="227"/>
      <c r="E55" s="228"/>
      <c r="F55" s="229"/>
      <c r="G55" s="229"/>
      <c r="H55" s="229"/>
      <c r="I55" s="229"/>
      <c r="J55" s="229"/>
    </row>
    <row r="56" spans="1:10" ht="20.100000000000001" customHeight="1" x14ac:dyDescent="0.25">
      <c r="A56" s="226" t="s">
        <v>339</v>
      </c>
      <c r="B56" s="227" t="s">
        <v>340</v>
      </c>
      <c r="C56" s="227"/>
      <c r="D56" s="227"/>
      <c r="E56" s="228">
        <v>8.09</v>
      </c>
      <c r="F56" s="229" t="s">
        <v>341</v>
      </c>
      <c r="G56" s="229"/>
      <c r="H56" s="229"/>
      <c r="I56" s="229"/>
      <c r="J56" s="229"/>
    </row>
    <row r="57" spans="1:10" ht="20.100000000000001" customHeight="1" x14ac:dyDescent="0.25">
      <c r="A57" s="226"/>
      <c r="B57" s="227"/>
      <c r="C57" s="227"/>
      <c r="D57" s="227"/>
      <c r="E57" s="228"/>
      <c r="F57" s="229"/>
      <c r="G57" s="229"/>
      <c r="H57" s="229"/>
      <c r="I57" s="229"/>
      <c r="J57" s="229"/>
    </row>
    <row r="58" spans="1:10" ht="20.100000000000001" customHeight="1" x14ac:dyDescent="0.25">
      <c r="A58" s="226"/>
      <c r="B58" s="227"/>
      <c r="C58" s="227"/>
      <c r="D58" s="227"/>
      <c r="E58" s="228"/>
      <c r="F58" s="229"/>
      <c r="G58" s="229"/>
      <c r="H58" s="229"/>
      <c r="I58" s="229"/>
      <c r="J58" s="229"/>
    </row>
    <row r="59" spans="1:10" ht="20.100000000000001" customHeight="1" x14ac:dyDescent="0.25">
      <c r="A59" s="226" t="s">
        <v>342</v>
      </c>
      <c r="B59" s="227" t="s">
        <v>343</v>
      </c>
      <c r="C59" s="227"/>
      <c r="D59" s="227"/>
      <c r="E59" s="233">
        <v>18.100000000000001</v>
      </c>
      <c r="F59" s="229" t="s">
        <v>344</v>
      </c>
      <c r="G59" s="229"/>
      <c r="H59" s="229"/>
      <c r="I59" s="229"/>
      <c r="J59" s="229"/>
    </row>
    <row r="60" spans="1:10" ht="20.100000000000001" customHeight="1" x14ac:dyDescent="0.25">
      <c r="A60" s="226"/>
      <c r="B60" s="227"/>
      <c r="C60" s="227"/>
      <c r="D60" s="227"/>
      <c r="E60" s="233"/>
      <c r="F60" s="229"/>
      <c r="G60" s="229"/>
      <c r="H60" s="229"/>
      <c r="I60" s="229"/>
      <c r="J60" s="229"/>
    </row>
    <row r="61" spans="1:10" ht="20.100000000000001" customHeight="1" x14ac:dyDescent="0.25">
      <c r="A61" s="226"/>
      <c r="B61" s="227"/>
      <c r="C61" s="227"/>
      <c r="D61" s="227"/>
      <c r="E61" s="233"/>
      <c r="F61" s="229"/>
      <c r="G61" s="229"/>
      <c r="H61" s="229"/>
      <c r="I61" s="229"/>
      <c r="J61" s="229"/>
    </row>
    <row r="62" spans="1:10" ht="20.100000000000001" customHeight="1" x14ac:dyDescent="0.25">
      <c r="A62" s="226"/>
      <c r="B62" s="227"/>
      <c r="C62" s="227"/>
      <c r="D62" s="227"/>
      <c r="E62" s="233"/>
      <c r="F62" s="229"/>
      <c r="G62" s="229"/>
      <c r="H62" s="229"/>
      <c r="I62" s="229"/>
      <c r="J62" s="229"/>
    </row>
    <row r="63" spans="1:10" ht="20.100000000000001" customHeight="1" x14ac:dyDescent="0.25">
      <c r="A63" s="226" t="s">
        <v>345</v>
      </c>
      <c r="B63" s="227" t="s">
        <v>346</v>
      </c>
      <c r="C63" s="227"/>
      <c r="D63" s="227"/>
      <c r="E63" s="233">
        <v>33.200000000000003</v>
      </c>
      <c r="F63" s="229" t="s">
        <v>347</v>
      </c>
      <c r="G63" s="229"/>
      <c r="H63" s="229"/>
      <c r="I63" s="229"/>
      <c r="J63" s="229"/>
    </row>
    <row r="64" spans="1:10" ht="20.100000000000001" customHeight="1" x14ac:dyDescent="0.25">
      <c r="A64" s="226"/>
      <c r="B64" s="227"/>
      <c r="C64" s="227"/>
      <c r="D64" s="227"/>
      <c r="E64" s="233"/>
      <c r="F64" s="229"/>
      <c r="G64" s="229"/>
      <c r="H64" s="229"/>
      <c r="I64" s="229"/>
      <c r="J64" s="229"/>
    </row>
    <row r="65" spans="1:10" ht="20.100000000000001" customHeight="1" x14ac:dyDescent="0.25">
      <c r="A65" s="226"/>
      <c r="B65" s="227"/>
      <c r="C65" s="227"/>
      <c r="D65" s="227"/>
      <c r="E65" s="233"/>
      <c r="F65" s="229"/>
      <c r="G65" s="229"/>
      <c r="H65" s="229"/>
      <c r="I65" s="229"/>
      <c r="J65" s="229"/>
    </row>
    <row r="66" spans="1:10" ht="20.100000000000001" customHeight="1" x14ac:dyDescent="0.25">
      <c r="A66" s="226"/>
      <c r="B66" s="227"/>
      <c r="C66" s="227"/>
      <c r="D66" s="227"/>
      <c r="E66" s="233"/>
      <c r="F66" s="229"/>
      <c r="G66" s="229"/>
      <c r="H66" s="229"/>
      <c r="I66" s="229"/>
      <c r="J66" s="229"/>
    </row>
    <row r="67" spans="1:10" ht="20.100000000000001" customHeight="1" x14ac:dyDescent="0.25">
      <c r="A67" s="226"/>
      <c r="B67" s="227"/>
      <c r="C67" s="227"/>
      <c r="D67" s="227"/>
      <c r="E67" s="233"/>
      <c r="F67" s="229"/>
      <c r="G67" s="229"/>
      <c r="H67" s="229"/>
      <c r="I67" s="229"/>
      <c r="J67" s="229"/>
    </row>
    <row r="68" spans="1:10" ht="20.100000000000001" customHeight="1" x14ac:dyDescent="0.25">
      <c r="A68" s="226"/>
      <c r="B68" s="227"/>
      <c r="C68" s="227"/>
      <c r="D68" s="227"/>
      <c r="E68" s="233"/>
      <c r="F68" s="229"/>
      <c r="G68" s="229"/>
      <c r="H68" s="229"/>
      <c r="I68" s="229"/>
      <c r="J68" s="229"/>
    </row>
    <row r="69" spans="1:10" ht="20.100000000000001" customHeight="1" x14ac:dyDescent="0.25">
      <c r="A69" s="226" t="s">
        <v>348</v>
      </c>
      <c r="B69" s="227" t="s">
        <v>349</v>
      </c>
      <c r="C69" s="227"/>
      <c r="D69" s="227"/>
      <c r="E69" s="233">
        <v>52.6</v>
      </c>
      <c r="F69" s="229" t="s">
        <v>350</v>
      </c>
      <c r="G69" s="229"/>
      <c r="H69" s="229"/>
      <c r="I69" s="229"/>
      <c r="J69" s="229"/>
    </row>
    <row r="70" spans="1:10" ht="20.100000000000001" customHeight="1" x14ac:dyDescent="0.25">
      <c r="A70" s="226"/>
      <c r="B70" s="227"/>
      <c r="C70" s="227"/>
      <c r="D70" s="227"/>
      <c r="E70" s="233"/>
      <c r="F70" s="229"/>
      <c r="G70" s="229"/>
      <c r="H70" s="229"/>
      <c r="I70" s="229"/>
      <c r="J70" s="229"/>
    </row>
    <row r="71" spans="1:10" ht="20.100000000000001" customHeight="1" x14ac:dyDescent="0.25">
      <c r="A71" s="226"/>
      <c r="B71" s="227"/>
      <c r="C71" s="227"/>
      <c r="D71" s="227"/>
      <c r="E71" s="233"/>
      <c r="F71" s="229"/>
      <c r="G71" s="229"/>
      <c r="H71" s="229"/>
      <c r="I71" s="229"/>
      <c r="J71" s="229"/>
    </row>
    <row r="72" spans="1:10" ht="20.100000000000001" customHeight="1" x14ac:dyDescent="0.25">
      <c r="A72" s="226"/>
      <c r="B72" s="227"/>
      <c r="C72" s="227"/>
      <c r="D72" s="227"/>
      <c r="E72" s="233"/>
      <c r="F72" s="229"/>
      <c r="G72" s="229"/>
      <c r="H72" s="229"/>
      <c r="I72" s="229"/>
      <c r="J72" s="229"/>
    </row>
    <row r="73" spans="1:10" ht="20.100000000000001" customHeight="1" x14ac:dyDescent="0.25">
      <c r="A73" s="226"/>
      <c r="B73" s="227"/>
      <c r="C73" s="227"/>
      <c r="D73" s="227"/>
      <c r="E73" s="233"/>
      <c r="F73" s="229"/>
      <c r="G73" s="229"/>
      <c r="H73" s="229"/>
      <c r="I73" s="229"/>
      <c r="J73" s="229"/>
    </row>
    <row r="74" spans="1:10" ht="20.100000000000001" customHeight="1" x14ac:dyDescent="0.25">
      <c r="A74" s="226"/>
      <c r="B74" s="227"/>
      <c r="C74" s="227"/>
      <c r="D74" s="227"/>
      <c r="E74" s="233"/>
      <c r="F74" s="229"/>
      <c r="G74" s="229"/>
      <c r="H74" s="229"/>
      <c r="I74" s="229"/>
      <c r="J74" s="229"/>
    </row>
    <row r="75" spans="1:10" ht="20.100000000000001" customHeight="1" x14ac:dyDescent="0.25">
      <c r="A75" s="226" t="s">
        <v>351</v>
      </c>
      <c r="B75" s="227" t="s">
        <v>352</v>
      </c>
      <c r="C75" s="227"/>
      <c r="D75" s="227"/>
      <c r="E75" s="233">
        <v>75.2</v>
      </c>
      <c r="F75" s="229" t="s">
        <v>353</v>
      </c>
      <c r="G75" s="229"/>
      <c r="H75" s="229"/>
      <c r="I75" s="229"/>
      <c r="J75" s="229"/>
    </row>
    <row r="76" spans="1:10" ht="20.100000000000001" customHeight="1" x14ac:dyDescent="0.25">
      <c r="A76" s="226"/>
      <c r="B76" s="227"/>
      <c r="C76" s="227"/>
      <c r="D76" s="227"/>
      <c r="E76" s="233"/>
      <c r="F76" s="229"/>
      <c r="G76" s="229"/>
      <c r="H76" s="229"/>
      <c r="I76" s="229"/>
      <c r="J76" s="229"/>
    </row>
    <row r="77" spans="1:10" ht="20.100000000000001" customHeight="1" x14ac:dyDescent="0.25">
      <c r="A77" s="226"/>
      <c r="B77" s="227"/>
      <c r="C77" s="227"/>
      <c r="D77" s="227"/>
      <c r="E77" s="233"/>
      <c r="F77" s="229"/>
      <c r="G77" s="229"/>
      <c r="H77" s="229"/>
      <c r="I77" s="229"/>
      <c r="J77" s="229"/>
    </row>
    <row r="78" spans="1:10" ht="20.100000000000001" customHeight="1" x14ac:dyDescent="0.25">
      <c r="A78" s="226"/>
      <c r="B78" s="227"/>
      <c r="C78" s="227"/>
      <c r="D78" s="227"/>
      <c r="E78" s="233"/>
      <c r="F78" s="229"/>
      <c r="G78" s="229"/>
      <c r="H78" s="229"/>
      <c r="I78" s="229"/>
      <c r="J78" s="229"/>
    </row>
    <row r="79" spans="1:10" ht="20.100000000000001" customHeight="1" thickBot="1" x14ac:dyDescent="0.3">
      <c r="A79" s="35" t="s">
        <v>82</v>
      </c>
      <c r="B79" s="234" t="s">
        <v>354</v>
      </c>
      <c r="C79" s="234"/>
      <c r="D79" s="234"/>
      <c r="E79" s="36">
        <v>100</v>
      </c>
      <c r="F79" s="235" t="s">
        <v>355</v>
      </c>
      <c r="G79" s="235"/>
      <c r="H79" s="235"/>
      <c r="I79" s="235"/>
      <c r="J79" s="235"/>
    </row>
    <row r="80" spans="1:10" ht="20.100000000000001" customHeight="1" x14ac:dyDescent="0.25">
      <c r="A80" s="1"/>
      <c r="B80" s="1"/>
      <c r="C80" s="1"/>
      <c r="D80" s="1"/>
    </row>
    <row r="81" spans="1:10" ht="20.100000000000001" customHeight="1" x14ac:dyDescent="0.25">
      <c r="A81" s="236" t="s">
        <v>80</v>
      </c>
      <c r="B81" s="236"/>
      <c r="C81" s="236"/>
      <c r="D81" s="236"/>
      <c r="E81" s="236"/>
      <c r="F81" s="236"/>
      <c r="G81" s="236"/>
      <c r="H81" s="236"/>
      <c r="I81" s="236"/>
      <c r="J81" s="236"/>
    </row>
    <row r="82" spans="1:10" ht="20.100000000000001" customHeight="1" x14ac:dyDescent="0.25">
      <c r="A82" s="236" t="s">
        <v>356</v>
      </c>
      <c r="B82" s="236"/>
      <c r="C82" s="236"/>
      <c r="D82" s="236"/>
      <c r="E82" s="236"/>
      <c r="F82" s="236"/>
      <c r="G82" s="236"/>
      <c r="H82" s="236"/>
      <c r="I82" s="236"/>
      <c r="J82" s="236"/>
    </row>
    <row r="83" spans="1:10" ht="20.100000000000001" customHeight="1" x14ac:dyDescent="0.25">
      <c r="A83" s="236" t="s">
        <v>357</v>
      </c>
      <c r="B83" s="236"/>
      <c r="C83" s="236"/>
      <c r="D83" s="236"/>
      <c r="E83" s="236"/>
      <c r="F83" s="236"/>
      <c r="G83" s="236"/>
      <c r="H83" s="236"/>
      <c r="I83" s="236"/>
      <c r="J83" s="236"/>
    </row>
    <row r="84" spans="1:10" ht="20.100000000000001" customHeight="1" x14ac:dyDescent="0.25">
      <c r="A84" s="236" t="s">
        <v>358</v>
      </c>
      <c r="B84" s="236"/>
      <c r="C84" s="236"/>
      <c r="D84" s="236"/>
      <c r="E84" s="236"/>
      <c r="F84" s="236"/>
      <c r="G84" s="236"/>
      <c r="H84" s="236"/>
      <c r="I84" s="236"/>
      <c r="J84" s="236"/>
    </row>
    <row r="86" spans="1:10" ht="20.100000000000001" customHeight="1" x14ac:dyDescent="0.25">
      <c r="A86" s="236" t="s">
        <v>299</v>
      </c>
      <c r="B86" s="236"/>
      <c r="C86" s="236"/>
      <c r="D86" s="236"/>
      <c r="E86" s="236"/>
      <c r="F86" s="236"/>
      <c r="G86" s="236"/>
      <c r="H86" s="236"/>
      <c r="I86" s="236"/>
      <c r="J86" s="236"/>
    </row>
    <row r="87" spans="1:10" ht="20.100000000000001" customHeight="1" x14ac:dyDescent="0.25">
      <c r="A87" s="236" t="s">
        <v>359</v>
      </c>
      <c r="B87" s="236"/>
      <c r="C87" s="236"/>
      <c r="D87" s="236"/>
      <c r="E87" s="236"/>
      <c r="F87" s="236"/>
      <c r="G87" s="236"/>
      <c r="H87" s="236"/>
      <c r="I87" s="236"/>
      <c r="J87" s="236"/>
    </row>
    <row r="88" spans="1:10" ht="20.100000000000001" customHeight="1" x14ac:dyDescent="0.25">
      <c r="A88" s="236"/>
      <c r="B88" s="236"/>
      <c r="C88" s="236"/>
      <c r="D88" s="236"/>
      <c r="E88" s="236"/>
      <c r="F88" s="236"/>
      <c r="G88" s="236"/>
      <c r="H88" s="236"/>
      <c r="I88" s="236"/>
      <c r="J88" s="236"/>
    </row>
    <row r="89" spans="1:10" ht="20.100000000000001" customHeight="1" x14ac:dyDescent="0.25">
      <c r="A89" s="236"/>
      <c r="B89" s="236"/>
      <c r="C89" s="236"/>
      <c r="D89" s="236"/>
      <c r="E89" s="236"/>
      <c r="F89" s="236"/>
      <c r="G89" s="236"/>
      <c r="H89" s="236"/>
      <c r="I89" s="236"/>
      <c r="J89" s="236"/>
    </row>
    <row r="92" spans="1:10" ht="20.100000000000001" customHeight="1" x14ac:dyDescent="0.25">
      <c r="A92" s="241" t="s">
        <v>360</v>
      </c>
      <c r="B92" s="241"/>
      <c r="C92" s="241"/>
      <c r="D92" s="241"/>
      <c r="E92" s="241"/>
      <c r="F92" s="241"/>
      <c r="G92" s="241"/>
      <c r="H92" s="241"/>
      <c r="I92" s="241"/>
      <c r="J92" s="241"/>
    </row>
    <row r="94" spans="1:10" ht="20.100000000000001" customHeight="1" x14ac:dyDescent="0.25">
      <c r="A94" s="236" t="s">
        <v>361</v>
      </c>
      <c r="B94" s="236"/>
      <c r="C94" s="236"/>
      <c r="D94" s="236"/>
      <c r="E94" s="236"/>
      <c r="F94" s="236"/>
      <c r="G94" s="236"/>
      <c r="H94" s="236"/>
      <c r="I94" s="236"/>
      <c r="J94" s="236"/>
    </row>
    <row r="95" spans="1:10" ht="20.100000000000001" customHeight="1" x14ac:dyDescent="0.25">
      <c r="A95" s="236"/>
      <c r="B95" s="236"/>
      <c r="C95" s="236"/>
      <c r="D95" s="236"/>
      <c r="E95" s="236"/>
      <c r="F95" s="236"/>
      <c r="G95" s="236"/>
      <c r="H95" s="236"/>
      <c r="I95" s="236"/>
      <c r="J95" s="236"/>
    </row>
    <row r="96" spans="1:10" ht="20.100000000000001" customHeight="1" x14ac:dyDescent="0.25">
      <c r="A96" s="236"/>
      <c r="B96" s="236"/>
      <c r="C96" s="236"/>
      <c r="D96" s="236"/>
      <c r="E96" s="236"/>
      <c r="F96" s="236"/>
      <c r="G96" s="236"/>
      <c r="H96" s="236"/>
      <c r="I96" s="236"/>
      <c r="J96" s="236"/>
    </row>
    <row r="97" spans="1:10" ht="20.100000000000001" customHeight="1" x14ac:dyDescent="0.25">
      <c r="A97" s="236"/>
      <c r="B97" s="236"/>
      <c r="C97" s="236"/>
      <c r="D97" s="236"/>
      <c r="E97" s="236"/>
      <c r="F97" s="236"/>
      <c r="G97" s="236"/>
      <c r="H97" s="236"/>
      <c r="I97" s="236"/>
      <c r="J97" s="236"/>
    </row>
    <row r="98" spans="1:10" ht="20.100000000000001" customHeight="1" x14ac:dyDescent="0.25">
      <c r="A98" s="236"/>
      <c r="B98" s="236"/>
      <c r="C98" s="236"/>
      <c r="D98" s="236"/>
      <c r="E98" s="236"/>
      <c r="F98" s="236"/>
      <c r="G98" s="236"/>
      <c r="H98" s="236"/>
      <c r="I98" s="236"/>
      <c r="J98" s="236"/>
    </row>
    <row r="99" spans="1:10" ht="20.100000000000001" customHeight="1" x14ac:dyDescent="0.25">
      <c r="A99" s="236"/>
      <c r="B99" s="236"/>
      <c r="C99" s="236"/>
      <c r="D99" s="236"/>
      <c r="E99" s="236"/>
      <c r="F99" s="236"/>
      <c r="G99" s="236"/>
      <c r="H99" s="236"/>
      <c r="I99" s="236"/>
      <c r="J99" s="236"/>
    </row>
    <row r="101" spans="1:10" ht="20.100000000000001" customHeight="1" x14ac:dyDescent="0.25">
      <c r="A101" s="237" t="s">
        <v>362</v>
      </c>
      <c r="B101" s="237"/>
      <c r="C101" s="237"/>
      <c r="D101" s="237"/>
      <c r="E101" s="237"/>
      <c r="F101" s="237"/>
      <c r="G101" s="237"/>
      <c r="H101" s="237"/>
      <c r="I101" s="237"/>
      <c r="J101" s="237"/>
    </row>
    <row r="102" spans="1:10" ht="20.100000000000001" customHeight="1" x14ac:dyDescent="0.25">
      <c r="A102" s="237"/>
      <c r="B102" s="237"/>
      <c r="C102" s="237"/>
      <c r="D102" s="237"/>
      <c r="E102" s="237"/>
      <c r="F102" s="237"/>
      <c r="G102" s="237"/>
      <c r="H102" s="237"/>
      <c r="I102" s="237"/>
      <c r="J102" s="237"/>
    </row>
    <row r="103" spans="1:10" ht="20.100000000000001" customHeight="1" x14ac:dyDescent="0.25">
      <c r="A103" s="237"/>
      <c r="B103" s="237"/>
      <c r="C103" s="237"/>
      <c r="D103" s="237"/>
      <c r="E103" s="237"/>
      <c r="F103" s="237"/>
      <c r="G103" s="237"/>
      <c r="H103" s="237"/>
      <c r="I103" s="237"/>
      <c r="J103" s="237"/>
    </row>
    <row r="104" spans="1:10" ht="20.100000000000001" customHeight="1" x14ac:dyDescent="0.25">
      <c r="A104" s="237" t="s">
        <v>363</v>
      </c>
      <c r="B104" s="237"/>
      <c r="C104" s="237" t="s">
        <v>364</v>
      </c>
      <c r="D104" s="237"/>
      <c r="E104" s="237" t="s">
        <v>365</v>
      </c>
      <c r="F104" s="237"/>
      <c r="G104" s="237" t="s">
        <v>366</v>
      </c>
      <c r="H104" s="237"/>
      <c r="I104" s="237"/>
      <c r="J104" s="237"/>
    </row>
    <row r="105" spans="1:10" ht="20.100000000000001" customHeight="1" x14ac:dyDescent="0.25">
      <c r="A105" s="237"/>
      <c r="B105" s="237"/>
      <c r="C105" s="237"/>
      <c r="D105" s="237"/>
      <c r="E105" s="237"/>
      <c r="F105" s="237"/>
      <c r="G105" s="237"/>
      <c r="H105" s="237"/>
      <c r="I105" s="237"/>
      <c r="J105" s="237"/>
    </row>
    <row r="106" spans="1:10" ht="20.100000000000001" customHeight="1" x14ac:dyDescent="0.25">
      <c r="A106" s="237"/>
      <c r="B106" s="237"/>
      <c r="C106" s="237"/>
      <c r="D106" s="237"/>
      <c r="E106" s="237"/>
      <c r="F106" s="237"/>
      <c r="G106" s="237" t="s">
        <v>367</v>
      </c>
      <c r="H106" s="237"/>
      <c r="I106" s="237" t="s">
        <v>368</v>
      </c>
      <c r="J106" s="237"/>
    </row>
    <row r="107" spans="1:10" ht="20.100000000000001" customHeight="1" x14ac:dyDescent="0.25">
      <c r="A107" s="238">
        <v>0</v>
      </c>
      <c r="B107" s="238"/>
      <c r="C107" s="239" t="s">
        <v>332</v>
      </c>
      <c r="D107" s="239"/>
      <c r="E107" s="240">
        <v>1</v>
      </c>
      <c r="F107" s="240"/>
      <c r="G107" s="240" t="s">
        <v>369</v>
      </c>
      <c r="H107" s="240"/>
      <c r="I107" s="240" t="s">
        <v>370</v>
      </c>
      <c r="J107" s="240"/>
    </row>
    <row r="108" spans="1:10" ht="20.100000000000001" customHeight="1" x14ac:dyDescent="0.25">
      <c r="A108" s="238">
        <v>-3.2000000000000002E-3</v>
      </c>
      <c r="B108" s="238"/>
      <c r="C108" s="239" t="s">
        <v>334</v>
      </c>
      <c r="D108" s="239"/>
      <c r="E108" s="240">
        <v>1.5</v>
      </c>
      <c r="F108" s="240"/>
      <c r="G108" s="240" t="s">
        <v>371</v>
      </c>
      <c r="H108" s="240"/>
      <c r="I108" s="240" t="s">
        <v>372</v>
      </c>
      <c r="J108" s="240"/>
    </row>
    <row r="109" spans="1:10" ht="20.100000000000001" customHeight="1" x14ac:dyDescent="0.25">
      <c r="A109" s="238">
        <v>-2.52E-2</v>
      </c>
      <c r="B109" s="238"/>
      <c r="C109" s="239" t="s">
        <v>337</v>
      </c>
      <c r="D109" s="239"/>
      <c r="E109" s="240">
        <v>2</v>
      </c>
      <c r="F109" s="240"/>
      <c r="G109" s="240" t="s">
        <v>68</v>
      </c>
      <c r="H109" s="240"/>
      <c r="I109" s="240" t="s">
        <v>334</v>
      </c>
      <c r="J109" s="240"/>
    </row>
    <row r="110" spans="1:10" ht="20.100000000000001" customHeight="1" x14ac:dyDescent="0.25">
      <c r="A110" s="238">
        <v>-8.09E-2</v>
      </c>
      <c r="B110" s="238"/>
      <c r="C110" s="239" t="s">
        <v>339</v>
      </c>
      <c r="D110" s="239"/>
      <c r="E110" s="240">
        <v>2.5</v>
      </c>
      <c r="F110" s="240"/>
      <c r="G110" s="240" t="s">
        <v>373</v>
      </c>
      <c r="H110" s="240"/>
      <c r="I110" s="240" t="s">
        <v>82</v>
      </c>
      <c r="J110" s="240"/>
    </row>
    <row r="111" spans="1:10" ht="20.100000000000001" customHeight="1" x14ac:dyDescent="0.25">
      <c r="A111" s="238">
        <v>-0.18099999999999999</v>
      </c>
      <c r="B111" s="238"/>
      <c r="C111" s="239" t="s">
        <v>342</v>
      </c>
      <c r="D111" s="239"/>
      <c r="E111" s="240">
        <v>3</v>
      </c>
      <c r="F111" s="240"/>
      <c r="G111" s="240" t="s">
        <v>7</v>
      </c>
      <c r="H111" s="240"/>
      <c r="I111" s="240" t="s">
        <v>374</v>
      </c>
      <c r="J111" s="240"/>
    </row>
    <row r="112" spans="1:10" ht="20.100000000000001" customHeight="1" x14ac:dyDescent="0.25">
      <c r="A112" s="238">
        <v>-0.33200000000000002</v>
      </c>
      <c r="B112" s="238"/>
      <c r="C112" s="239" t="s">
        <v>345</v>
      </c>
      <c r="D112" s="239"/>
      <c r="E112" s="240">
        <v>3.5</v>
      </c>
      <c r="F112" s="240"/>
      <c r="G112" s="240" t="s">
        <v>375</v>
      </c>
      <c r="H112" s="240"/>
      <c r="I112" s="240" t="s">
        <v>339</v>
      </c>
      <c r="J112" s="240"/>
    </row>
    <row r="113" spans="1:10" ht="20.100000000000001" customHeight="1" x14ac:dyDescent="0.25">
      <c r="A113" s="238">
        <v>-0.52600000000000002</v>
      </c>
      <c r="B113" s="238"/>
      <c r="C113" s="239" t="s">
        <v>348</v>
      </c>
      <c r="D113" s="239"/>
      <c r="E113" s="240">
        <v>4</v>
      </c>
      <c r="F113" s="240"/>
      <c r="G113" s="240" t="s">
        <v>376</v>
      </c>
      <c r="H113" s="240"/>
      <c r="I113" s="240" t="s">
        <v>377</v>
      </c>
      <c r="J113" s="240"/>
    </row>
    <row r="114" spans="1:10" ht="20.100000000000001" customHeight="1" x14ac:dyDescent="0.25">
      <c r="A114" s="238">
        <v>-0.752</v>
      </c>
      <c r="B114" s="238"/>
      <c r="C114" s="239" t="s">
        <v>351</v>
      </c>
      <c r="D114" s="239"/>
      <c r="E114" s="240">
        <v>4.5</v>
      </c>
      <c r="F114" s="240"/>
      <c r="G114" s="240" t="s">
        <v>378</v>
      </c>
      <c r="H114" s="240"/>
      <c r="I114" s="240" t="s">
        <v>379</v>
      </c>
      <c r="J114" s="240"/>
    </row>
    <row r="115" spans="1:10" ht="20.100000000000001" customHeight="1" x14ac:dyDescent="0.25">
      <c r="A115" s="238">
        <v>-1</v>
      </c>
      <c r="B115" s="238"/>
      <c r="C115" s="239" t="s">
        <v>82</v>
      </c>
      <c r="D115" s="239"/>
      <c r="E115" s="240">
        <v>5</v>
      </c>
      <c r="F115" s="240"/>
      <c r="G115" s="240" t="s">
        <v>380</v>
      </c>
      <c r="H115" s="240"/>
      <c r="I115" s="240" t="s">
        <v>381</v>
      </c>
      <c r="J115" s="240"/>
    </row>
    <row r="118" spans="1:10" ht="20.100000000000001" customHeight="1" x14ac:dyDescent="0.25">
      <c r="A118" s="237" t="s">
        <v>382</v>
      </c>
      <c r="B118" s="242" t="s">
        <v>383</v>
      </c>
      <c r="C118" s="243"/>
      <c r="D118" s="243"/>
      <c r="E118" s="243"/>
      <c r="F118" s="243"/>
      <c r="G118" s="243"/>
      <c r="H118" s="243"/>
      <c r="I118" s="243"/>
      <c r="J118" s="244"/>
    </row>
    <row r="119" spans="1:10" ht="20.100000000000001" customHeight="1" x14ac:dyDescent="0.25">
      <c r="A119" s="237"/>
      <c r="B119" s="239" t="s">
        <v>384</v>
      </c>
      <c r="C119" s="239"/>
      <c r="D119" s="239"/>
      <c r="E119" s="239"/>
      <c r="F119" s="239"/>
      <c r="G119" s="239"/>
      <c r="H119" s="239"/>
      <c r="I119" s="239"/>
      <c r="J119" s="239"/>
    </row>
    <row r="120" spans="1:10" ht="20.100000000000001" customHeight="1" x14ac:dyDescent="0.25">
      <c r="A120" s="237"/>
      <c r="B120" s="237" t="s">
        <v>385</v>
      </c>
      <c r="C120" s="237"/>
      <c r="D120" s="237"/>
      <c r="E120" s="237"/>
      <c r="F120" s="237"/>
      <c r="G120" s="237"/>
      <c r="H120" s="237"/>
      <c r="I120" s="237"/>
      <c r="J120" s="237"/>
    </row>
    <row r="121" spans="1:10" ht="20.100000000000001" customHeight="1" x14ac:dyDescent="0.25">
      <c r="A121" s="237"/>
      <c r="B121" s="37" t="s">
        <v>332</v>
      </c>
      <c r="C121" s="37" t="s">
        <v>334</v>
      </c>
      <c r="D121" s="37" t="s">
        <v>337</v>
      </c>
      <c r="E121" s="37" t="s">
        <v>339</v>
      </c>
      <c r="F121" s="37" t="s">
        <v>342</v>
      </c>
      <c r="G121" s="37" t="s">
        <v>345</v>
      </c>
      <c r="H121" s="37" t="s">
        <v>348</v>
      </c>
      <c r="I121" s="37" t="s">
        <v>351</v>
      </c>
      <c r="J121" s="37" t="s">
        <v>82</v>
      </c>
    </row>
    <row r="122" spans="1:10" ht="20.100000000000001" customHeight="1" x14ac:dyDescent="0.25">
      <c r="A122" s="38">
        <v>0</v>
      </c>
      <c r="B122" s="39">
        <v>0</v>
      </c>
      <c r="C122" s="39">
        <v>0.32</v>
      </c>
      <c r="D122" s="39">
        <v>2.52</v>
      </c>
      <c r="E122" s="39">
        <v>8.09</v>
      </c>
      <c r="F122" s="39">
        <v>18.100000000000001</v>
      </c>
      <c r="G122" s="39">
        <v>33.200000000000003</v>
      </c>
      <c r="H122" s="39">
        <v>52.6</v>
      </c>
      <c r="I122" s="39">
        <v>75.2</v>
      </c>
      <c r="J122" s="39">
        <v>100</v>
      </c>
    </row>
    <row r="123" spans="1:10" ht="20.100000000000001" customHeight="1" x14ac:dyDescent="0.25">
      <c r="A123" s="38">
        <f>A122+0.02</f>
        <v>0.02</v>
      </c>
      <c r="B123" s="39">
        <f>((1/2)*((A123)+(A123^2)))*100</f>
        <v>1.02</v>
      </c>
      <c r="C123" s="39">
        <f>$B123+((100-$B123)*C$122/100)</f>
        <v>1.3367360000000001</v>
      </c>
      <c r="D123" s="39">
        <f t="shared" ref="D123:J138" si="0">$B123+((100-$B123)*D$122/100)</f>
        <v>3.5142960000000003</v>
      </c>
      <c r="E123" s="39">
        <f t="shared" si="0"/>
        <v>9.0274819999999991</v>
      </c>
      <c r="F123" s="39">
        <f t="shared" si="0"/>
        <v>18.935380000000002</v>
      </c>
      <c r="G123" s="39">
        <f t="shared" si="0"/>
        <v>33.881360000000008</v>
      </c>
      <c r="H123" s="39">
        <f t="shared" si="0"/>
        <v>53.083480000000002</v>
      </c>
      <c r="I123" s="39">
        <f t="shared" si="0"/>
        <v>75.452960000000004</v>
      </c>
      <c r="J123" s="39">
        <f t="shared" si="0"/>
        <v>100</v>
      </c>
    </row>
    <row r="124" spans="1:10" ht="20.100000000000001" customHeight="1" x14ac:dyDescent="0.25">
      <c r="A124" s="38">
        <f t="shared" ref="A124:A172" si="1">A123+0.02</f>
        <v>0.04</v>
      </c>
      <c r="B124" s="39">
        <f t="shared" ref="B124:B172" si="2">((1/2)*((A124)+(A124^2)))*100</f>
        <v>2.08</v>
      </c>
      <c r="C124" s="39">
        <f t="shared" ref="C124:J155" si="3">$B124+((100-$B124)*C$122/100)</f>
        <v>2.3933439999999999</v>
      </c>
      <c r="D124" s="39">
        <f t="shared" si="0"/>
        <v>4.5475840000000005</v>
      </c>
      <c r="E124" s="39">
        <f t="shared" si="0"/>
        <v>10.001728</v>
      </c>
      <c r="F124" s="39">
        <f t="shared" si="0"/>
        <v>19.803519999999999</v>
      </c>
      <c r="G124" s="39">
        <f t="shared" si="0"/>
        <v>34.589440000000003</v>
      </c>
      <c r="H124" s="39">
        <f t="shared" si="0"/>
        <v>53.585920000000002</v>
      </c>
      <c r="I124" s="39">
        <f t="shared" si="0"/>
        <v>75.71584</v>
      </c>
      <c r="J124" s="39">
        <f t="shared" si="0"/>
        <v>100</v>
      </c>
    </row>
    <row r="125" spans="1:10" ht="20.100000000000001" customHeight="1" x14ac:dyDescent="0.25">
      <c r="A125" s="38">
        <f t="shared" si="1"/>
        <v>0.06</v>
      </c>
      <c r="B125" s="39">
        <f t="shared" si="2"/>
        <v>3.18</v>
      </c>
      <c r="C125" s="39">
        <f t="shared" si="3"/>
        <v>3.489824</v>
      </c>
      <c r="D125" s="39">
        <f t="shared" si="0"/>
        <v>5.6198639999999997</v>
      </c>
      <c r="E125" s="39">
        <f t="shared" si="0"/>
        <v>11.012737999999999</v>
      </c>
      <c r="F125" s="39">
        <f t="shared" si="0"/>
        <v>20.704419999999999</v>
      </c>
      <c r="G125" s="39">
        <f t="shared" si="0"/>
        <v>35.324239999999996</v>
      </c>
      <c r="H125" s="39">
        <f t="shared" si="0"/>
        <v>54.107320000000001</v>
      </c>
      <c r="I125" s="39">
        <f t="shared" si="0"/>
        <v>75.988640000000004</v>
      </c>
      <c r="J125" s="39">
        <f t="shared" si="0"/>
        <v>100</v>
      </c>
    </row>
    <row r="126" spans="1:10" ht="20.100000000000001" customHeight="1" x14ac:dyDescent="0.25">
      <c r="A126" s="38">
        <f t="shared" si="1"/>
        <v>0.08</v>
      </c>
      <c r="B126" s="39">
        <f t="shared" si="2"/>
        <v>4.32</v>
      </c>
      <c r="C126" s="39">
        <f t="shared" si="3"/>
        <v>4.6261760000000001</v>
      </c>
      <c r="D126" s="39">
        <f t="shared" si="0"/>
        <v>6.7311360000000011</v>
      </c>
      <c r="E126" s="39">
        <f t="shared" si="0"/>
        <v>12.060511999999999</v>
      </c>
      <c r="F126" s="39">
        <f t="shared" si="0"/>
        <v>21.638080000000002</v>
      </c>
      <c r="G126" s="39">
        <f t="shared" si="0"/>
        <v>36.085760000000008</v>
      </c>
      <c r="H126" s="39">
        <f t="shared" si="0"/>
        <v>54.647680000000008</v>
      </c>
      <c r="I126" s="39">
        <f t="shared" si="0"/>
        <v>76.271360000000016</v>
      </c>
      <c r="J126" s="39">
        <f t="shared" si="0"/>
        <v>100</v>
      </c>
    </row>
    <row r="127" spans="1:10" ht="20.100000000000001" customHeight="1" x14ac:dyDescent="0.25">
      <c r="A127" s="38">
        <f t="shared" si="1"/>
        <v>0.1</v>
      </c>
      <c r="B127" s="39">
        <f t="shared" si="2"/>
        <v>5.5000000000000009</v>
      </c>
      <c r="C127" s="39">
        <f t="shared" si="3"/>
        <v>5.8024000000000004</v>
      </c>
      <c r="D127" s="39">
        <f t="shared" si="0"/>
        <v>7.8814000000000011</v>
      </c>
      <c r="E127" s="39">
        <f t="shared" si="0"/>
        <v>13.145050000000001</v>
      </c>
      <c r="F127" s="39">
        <f t="shared" si="0"/>
        <v>22.604500000000002</v>
      </c>
      <c r="G127" s="39">
        <f t="shared" si="0"/>
        <v>36.874000000000002</v>
      </c>
      <c r="H127" s="39">
        <f t="shared" si="0"/>
        <v>55.207000000000001</v>
      </c>
      <c r="I127" s="39">
        <f t="shared" si="0"/>
        <v>76.564000000000007</v>
      </c>
      <c r="J127" s="39">
        <f t="shared" si="0"/>
        <v>100</v>
      </c>
    </row>
    <row r="128" spans="1:10" ht="20.100000000000001" customHeight="1" x14ac:dyDescent="0.25">
      <c r="A128" s="38">
        <f t="shared" si="1"/>
        <v>0.12000000000000001</v>
      </c>
      <c r="B128" s="39">
        <f t="shared" si="2"/>
        <v>6.7200000000000006</v>
      </c>
      <c r="C128" s="39">
        <f t="shared" si="3"/>
        <v>7.0184960000000007</v>
      </c>
      <c r="D128" s="39">
        <f t="shared" si="0"/>
        <v>9.0706560000000014</v>
      </c>
      <c r="E128" s="39">
        <f t="shared" si="0"/>
        <v>14.266352000000001</v>
      </c>
      <c r="F128" s="39">
        <f t="shared" si="0"/>
        <v>23.603680000000004</v>
      </c>
      <c r="G128" s="39">
        <f t="shared" si="0"/>
        <v>37.688960000000002</v>
      </c>
      <c r="H128" s="39">
        <f t="shared" si="0"/>
        <v>55.78528</v>
      </c>
      <c r="I128" s="39">
        <f t="shared" si="0"/>
        <v>76.866559999999993</v>
      </c>
      <c r="J128" s="39">
        <f t="shared" si="0"/>
        <v>100</v>
      </c>
    </row>
    <row r="129" spans="1:10" ht="20.100000000000001" customHeight="1" x14ac:dyDescent="0.25">
      <c r="A129" s="38">
        <f t="shared" si="1"/>
        <v>0.14000000000000001</v>
      </c>
      <c r="B129" s="39">
        <f t="shared" si="2"/>
        <v>7.9800000000000013</v>
      </c>
      <c r="C129" s="39">
        <f t="shared" si="3"/>
        <v>8.2744640000000018</v>
      </c>
      <c r="D129" s="39">
        <f t="shared" si="0"/>
        <v>10.298904</v>
      </c>
      <c r="E129" s="39">
        <f t="shared" si="0"/>
        <v>15.424418000000001</v>
      </c>
      <c r="F129" s="39">
        <f t="shared" si="0"/>
        <v>24.635620000000003</v>
      </c>
      <c r="G129" s="39">
        <f t="shared" si="0"/>
        <v>38.530640000000005</v>
      </c>
      <c r="H129" s="39">
        <f t="shared" si="0"/>
        <v>56.38252</v>
      </c>
      <c r="I129" s="39">
        <f t="shared" si="0"/>
        <v>77.179040000000001</v>
      </c>
      <c r="J129" s="39">
        <f t="shared" si="0"/>
        <v>100</v>
      </c>
    </row>
    <row r="130" spans="1:10" ht="20.100000000000001" customHeight="1" x14ac:dyDescent="0.25">
      <c r="A130" s="38">
        <f t="shared" si="1"/>
        <v>0.16</v>
      </c>
      <c r="B130" s="39">
        <f t="shared" si="2"/>
        <v>9.2800000000000011</v>
      </c>
      <c r="C130" s="39">
        <f t="shared" si="3"/>
        <v>9.5703040000000019</v>
      </c>
      <c r="D130" s="39">
        <f t="shared" si="0"/>
        <v>11.566144000000001</v>
      </c>
      <c r="E130" s="39">
        <f t="shared" si="0"/>
        <v>16.619248000000002</v>
      </c>
      <c r="F130" s="39">
        <f t="shared" si="0"/>
        <v>25.700320000000001</v>
      </c>
      <c r="G130" s="39">
        <f t="shared" si="0"/>
        <v>39.399039999999999</v>
      </c>
      <c r="H130" s="39">
        <f t="shared" si="0"/>
        <v>56.998720000000006</v>
      </c>
      <c r="I130" s="39">
        <f t="shared" si="0"/>
        <v>77.501440000000002</v>
      </c>
      <c r="J130" s="39">
        <f t="shared" si="0"/>
        <v>100</v>
      </c>
    </row>
    <row r="131" spans="1:10" ht="20.100000000000001" customHeight="1" x14ac:dyDescent="0.25">
      <c r="A131" s="38">
        <f t="shared" si="1"/>
        <v>0.18</v>
      </c>
      <c r="B131" s="39">
        <f t="shared" si="2"/>
        <v>10.62</v>
      </c>
      <c r="C131" s="39">
        <f t="shared" si="3"/>
        <v>10.906015999999999</v>
      </c>
      <c r="D131" s="39">
        <f t="shared" si="0"/>
        <v>12.872375999999999</v>
      </c>
      <c r="E131" s="39">
        <f t="shared" si="0"/>
        <v>17.850842</v>
      </c>
      <c r="F131" s="39">
        <f t="shared" si="0"/>
        <v>26.797779999999996</v>
      </c>
      <c r="G131" s="39">
        <f t="shared" si="0"/>
        <v>40.294159999999998</v>
      </c>
      <c r="H131" s="39">
        <f t="shared" si="0"/>
        <v>57.633879999999998</v>
      </c>
      <c r="I131" s="39">
        <f t="shared" si="0"/>
        <v>77.833760000000012</v>
      </c>
      <c r="J131" s="39">
        <f t="shared" si="0"/>
        <v>100</v>
      </c>
    </row>
    <row r="132" spans="1:10" ht="20.100000000000001" customHeight="1" x14ac:dyDescent="0.25">
      <c r="A132" s="38">
        <f t="shared" si="1"/>
        <v>0.19999999999999998</v>
      </c>
      <c r="B132" s="39">
        <f t="shared" si="2"/>
        <v>12</v>
      </c>
      <c r="C132" s="39">
        <f t="shared" si="3"/>
        <v>12.281599999999999</v>
      </c>
      <c r="D132" s="39">
        <f t="shared" si="0"/>
        <v>14.217600000000001</v>
      </c>
      <c r="E132" s="39">
        <f t="shared" si="0"/>
        <v>19.119199999999999</v>
      </c>
      <c r="F132" s="39">
        <f t="shared" si="0"/>
        <v>27.928000000000004</v>
      </c>
      <c r="G132" s="39">
        <f t="shared" si="0"/>
        <v>41.216000000000008</v>
      </c>
      <c r="H132" s="39">
        <f t="shared" si="0"/>
        <v>58.288000000000004</v>
      </c>
      <c r="I132" s="39">
        <f t="shared" si="0"/>
        <v>78.176000000000002</v>
      </c>
      <c r="J132" s="39">
        <f t="shared" si="0"/>
        <v>100</v>
      </c>
    </row>
    <row r="133" spans="1:10" ht="20.100000000000001" customHeight="1" x14ac:dyDescent="0.25">
      <c r="A133" s="38">
        <f t="shared" si="1"/>
        <v>0.21999999999999997</v>
      </c>
      <c r="B133" s="39">
        <f t="shared" si="2"/>
        <v>13.419999999999998</v>
      </c>
      <c r="C133" s="39">
        <f t="shared" si="3"/>
        <v>13.697055999999998</v>
      </c>
      <c r="D133" s="39">
        <f t="shared" si="0"/>
        <v>15.601815999999998</v>
      </c>
      <c r="E133" s="39">
        <f t="shared" si="0"/>
        <v>20.424321999999997</v>
      </c>
      <c r="F133" s="39">
        <f t="shared" si="0"/>
        <v>29.090980000000002</v>
      </c>
      <c r="G133" s="39">
        <f t="shared" si="0"/>
        <v>42.164559999999994</v>
      </c>
      <c r="H133" s="39">
        <f t="shared" si="0"/>
        <v>58.961079999999995</v>
      </c>
      <c r="I133" s="39">
        <f t="shared" si="0"/>
        <v>78.52816</v>
      </c>
      <c r="J133" s="39">
        <f t="shared" si="0"/>
        <v>100</v>
      </c>
    </row>
    <row r="134" spans="1:10" ht="20.100000000000001" customHeight="1" x14ac:dyDescent="0.25">
      <c r="A134" s="38">
        <f t="shared" si="1"/>
        <v>0.23999999999999996</v>
      </c>
      <c r="B134" s="39">
        <f t="shared" si="2"/>
        <v>14.879999999999999</v>
      </c>
      <c r="C134" s="39">
        <f t="shared" si="3"/>
        <v>15.152384</v>
      </c>
      <c r="D134" s="39">
        <f t="shared" si="0"/>
        <v>17.025023999999998</v>
      </c>
      <c r="E134" s="39">
        <f t="shared" si="0"/>
        <v>21.766207999999999</v>
      </c>
      <c r="F134" s="39">
        <f t="shared" si="0"/>
        <v>30.286720000000003</v>
      </c>
      <c r="G134" s="39">
        <f t="shared" si="0"/>
        <v>43.139840000000007</v>
      </c>
      <c r="H134" s="39">
        <f t="shared" si="0"/>
        <v>59.653120000000001</v>
      </c>
      <c r="I134" s="39">
        <f t="shared" si="0"/>
        <v>78.890240000000006</v>
      </c>
      <c r="J134" s="39">
        <f t="shared" si="0"/>
        <v>100</v>
      </c>
    </row>
    <row r="135" spans="1:10" ht="20.100000000000001" customHeight="1" x14ac:dyDescent="0.25">
      <c r="A135" s="38">
        <f t="shared" si="1"/>
        <v>0.25999999999999995</v>
      </c>
      <c r="B135" s="39">
        <f t="shared" si="2"/>
        <v>16.38</v>
      </c>
      <c r="C135" s="39">
        <f t="shared" si="3"/>
        <v>16.647583999999998</v>
      </c>
      <c r="D135" s="39">
        <f t="shared" si="0"/>
        <v>18.487223999999998</v>
      </c>
      <c r="E135" s="39">
        <f t="shared" si="0"/>
        <v>23.144857999999999</v>
      </c>
      <c r="F135" s="39">
        <f t="shared" si="0"/>
        <v>31.515219999999999</v>
      </c>
      <c r="G135" s="39">
        <f t="shared" si="0"/>
        <v>44.141840000000002</v>
      </c>
      <c r="H135" s="39">
        <f t="shared" si="0"/>
        <v>60.36412</v>
      </c>
      <c r="I135" s="39">
        <f t="shared" si="0"/>
        <v>79.262240000000006</v>
      </c>
      <c r="J135" s="39">
        <f t="shared" si="0"/>
        <v>100</v>
      </c>
    </row>
    <row r="136" spans="1:10" ht="20.100000000000001" customHeight="1" x14ac:dyDescent="0.25">
      <c r="A136" s="38">
        <f t="shared" si="1"/>
        <v>0.27999999999999997</v>
      </c>
      <c r="B136" s="39">
        <f t="shared" si="2"/>
        <v>17.919999999999998</v>
      </c>
      <c r="C136" s="39">
        <f t="shared" si="3"/>
        <v>18.182655999999998</v>
      </c>
      <c r="D136" s="39">
        <f t="shared" si="0"/>
        <v>19.988415999999997</v>
      </c>
      <c r="E136" s="39">
        <f t="shared" si="0"/>
        <v>24.560271999999998</v>
      </c>
      <c r="F136" s="39">
        <f t="shared" si="0"/>
        <v>32.776479999999999</v>
      </c>
      <c r="G136" s="39">
        <f t="shared" si="0"/>
        <v>45.170559999999995</v>
      </c>
      <c r="H136" s="39">
        <f t="shared" si="0"/>
        <v>61.094080000000005</v>
      </c>
      <c r="I136" s="39">
        <f t="shared" si="0"/>
        <v>79.644159999999999</v>
      </c>
      <c r="J136" s="39">
        <f t="shared" si="0"/>
        <v>100</v>
      </c>
    </row>
    <row r="137" spans="1:10" ht="20.100000000000001" customHeight="1" x14ac:dyDescent="0.25">
      <c r="A137" s="38">
        <f t="shared" si="1"/>
        <v>0.3</v>
      </c>
      <c r="B137" s="39">
        <f t="shared" si="2"/>
        <v>19.5</v>
      </c>
      <c r="C137" s="39">
        <f t="shared" si="3"/>
        <v>19.7576</v>
      </c>
      <c r="D137" s="39">
        <f t="shared" si="0"/>
        <v>21.528600000000001</v>
      </c>
      <c r="E137" s="39">
        <f t="shared" si="0"/>
        <v>26.012450000000001</v>
      </c>
      <c r="F137" s="39">
        <f t="shared" si="0"/>
        <v>34.070500000000003</v>
      </c>
      <c r="G137" s="39">
        <f t="shared" si="0"/>
        <v>46.225999999999999</v>
      </c>
      <c r="H137" s="39">
        <f t="shared" si="0"/>
        <v>61.843000000000004</v>
      </c>
      <c r="I137" s="39">
        <f t="shared" si="0"/>
        <v>80.036000000000001</v>
      </c>
      <c r="J137" s="39">
        <f t="shared" si="0"/>
        <v>100</v>
      </c>
    </row>
    <row r="138" spans="1:10" ht="20.100000000000001" customHeight="1" x14ac:dyDescent="0.25">
      <c r="A138" s="38">
        <f t="shared" si="1"/>
        <v>0.32</v>
      </c>
      <c r="B138" s="39">
        <f t="shared" si="2"/>
        <v>21.12</v>
      </c>
      <c r="C138" s="39">
        <f t="shared" si="3"/>
        <v>21.372416000000001</v>
      </c>
      <c r="D138" s="39">
        <f t="shared" si="0"/>
        <v>23.107776000000001</v>
      </c>
      <c r="E138" s="39">
        <f t="shared" si="0"/>
        <v>27.501392000000003</v>
      </c>
      <c r="F138" s="39">
        <f t="shared" si="0"/>
        <v>35.397280000000002</v>
      </c>
      <c r="G138" s="39">
        <f t="shared" si="0"/>
        <v>47.308160000000001</v>
      </c>
      <c r="H138" s="39">
        <f t="shared" si="0"/>
        <v>62.610879999999995</v>
      </c>
      <c r="I138" s="39">
        <f t="shared" si="0"/>
        <v>80.437759999999997</v>
      </c>
      <c r="J138" s="39">
        <f t="shared" si="0"/>
        <v>100</v>
      </c>
    </row>
    <row r="139" spans="1:10" ht="20.100000000000001" customHeight="1" x14ac:dyDescent="0.25">
      <c r="A139" s="38">
        <f t="shared" si="1"/>
        <v>0.34</v>
      </c>
      <c r="B139" s="39">
        <f t="shared" si="2"/>
        <v>22.780000000000005</v>
      </c>
      <c r="C139" s="39">
        <f t="shared" si="3"/>
        <v>23.027104000000005</v>
      </c>
      <c r="D139" s="39">
        <f t="shared" si="3"/>
        <v>24.725944000000005</v>
      </c>
      <c r="E139" s="39">
        <f t="shared" si="3"/>
        <v>29.027098000000002</v>
      </c>
      <c r="F139" s="39">
        <f t="shared" si="3"/>
        <v>36.756820000000005</v>
      </c>
      <c r="G139" s="39">
        <f t="shared" si="3"/>
        <v>48.417040000000007</v>
      </c>
      <c r="H139" s="39">
        <f t="shared" si="3"/>
        <v>63.397720000000007</v>
      </c>
      <c r="I139" s="39">
        <f t="shared" si="3"/>
        <v>80.849440000000016</v>
      </c>
      <c r="J139" s="39">
        <f t="shared" si="3"/>
        <v>100</v>
      </c>
    </row>
    <row r="140" spans="1:10" ht="20.100000000000001" customHeight="1" x14ac:dyDescent="0.25">
      <c r="A140" s="38">
        <f t="shared" si="1"/>
        <v>0.36000000000000004</v>
      </c>
      <c r="B140" s="39">
        <f t="shared" si="2"/>
        <v>24.48</v>
      </c>
      <c r="C140" s="39">
        <f t="shared" si="3"/>
        <v>24.721664000000001</v>
      </c>
      <c r="D140" s="39">
        <f t="shared" si="3"/>
        <v>26.383103999999999</v>
      </c>
      <c r="E140" s="39">
        <f t="shared" si="3"/>
        <v>30.589568</v>
      </c>
      <c r="F140" s="39">
        <f t="shared" si="3"/>
        <v>38.149119999999996</v>
      </c>
      <c r="G140" s="39">
        <f t="shared" si="3"/>
        <v>49.552639999999997</v>
      </c>
      <c r="H140" s="39">
        <f t="shared" si="3"/>
        <v>64.203519999999997</v>
      </c>
      <c r="I140" s="39">
        <f t="shared" si="3"/>
        <v>81.271039999999999</v>
      </c>
      <c r="J140" s="39">
        <f t="shared" si="3"/>
        <v>100</v>
      </c>
    </row>
    <row r="141" spans="1:10" ht="20.100000000000001" customHeight="1" x14ac:dyDescent="0.25">
      <c r="A141" s="38">
        <f t="shared" si="1"/>
        <v>0.38000000000000006</v>
      </c>
      <c r="B141" s="39">
        <f t="shared" si="2"/>
        <v>26.220000000000006</v>
      </c>
      <c r="C141" s="39">
        <f t="shared" si="3"/>
        <v>26.456096000000006</v>
      </c>
      <c r="D141" s="39">
        <f t="shared" si="3"/>
        <v>28.079256000000004</v>
      </c>
      <c r="E141" s="39">
        <f t="shared" si="3"/>
        <v>32.188802000000003</v>
      </c>
      <c r="F141" s="39">
        <f t="shared" si="3"/>
        <v>39.574180000000005</v>
      </c>
      <c r="G141" s="39">
        <f t="shared" si="3"/>
        <v>50.714960000000005</v>
      </c>
      <c r="H141" s="39">
        <f t="shared" si="3"/>
        <v>65.028279999999995</v>
      </c>
      <c r="I141" s="39">
        <f t="shared" si="3"/>
        <v>81.702560000000005</v>
      </c>
      <c r="J141" s="39">
        <f t="shared" si="3"/>
        <v>100</v>
      </c>
    </row>
    <row r="142" spans="1:10" ht="20.100000000000001" customHeight="1" x14ac:dyDescent="0.25">
      <c r="A142" s="38">
        <f t="shared" si="1"/>
        <v>0.40000000000000008</v>
      </c>
      <c r="B142" s="39">
        <f t="shared" si="2"/>
        <v>28.000000000000007</v>
      </c>
      <c r="C142" s="39">
        <f t="shared" si="3"/>
        <v>28.230400000000007</v>
      </c>
      <c r="D142" s="39">
        <f t="shared" si="3"/>
        <v>29.814400000000006</v>
      </c>
      <c r="E142" s="39">
        <f t="shared" si="3"/>
        <v>33.82480000000001</v>
      </c>
      <c r="F142" s="39">
        <f t="shared" si="3"/>
        <v>41.032000000000011</v>
      </c>
      <c r="G142" s="39">
        <f t="shared" si="3"/>
        <v>51.904000000000011</v>
      </c>
      <c r="H142" s="39">
        <f t="shared" si="3"/>
        <v>65.872000000000014</v>
      </c>
      <c r="I142" s="39">
        <f t="shared" si="3"/>
        <v>82.144000000000005</v>
      </c>
      <c r="J142" s="39">
        <f t="shared" si="3"/>
        <v>100</v>
      </c>
    </row>
    <row r="143" spans="1:10" ht="20.100000000000001" customHeight="1" x14ac:dyDescent="0.25">
      <c r="A143" s="38">
        <f t="shared" si="1"/>
        <v>0.4200000000000001</v>
      </c>
      <c r="B143" s="39">
        <f t="shared" si="2"/>
        <v>29.820000000000007</v>
      </c>
      <c r="C143" s="39">
        <f t="shared" si="3"/>
        <v>30.044576000000006</v>
      </c>
      <c r="D143" s="39">
        <f t="shared" si="3"/>
        <v>31.588536000000008</v>
      </c>
      <c r="E143" s="39">
        <f t="shared" si="3"/>
        <v>35.497562000000009</v>
      </c>
      <c r="F143" s="39">
        <f t="shared" si="3"/>
        <v>42.522580000000005</v>
      </c>
      <c r="G143" s="39">
        <f t="shared" si="3"/>
        <v>53.119760000000014</v>
      </c>
      <c r="H143" s="39">
        <f t="shared" si="3"/>
        <v>66.734679999999997</v>
      </c>
      <c r="I143" s="39">
        <f t="shared" si="3"/>
        <v>82.595359999999999</v>
      </c>
      <c r="J143" s="39">
        <f t="shared" si="3"/>
        <v>100</v>
      </c>
    </row>
    <row r="144" spans="1:10" ht="20.100000000000001" customHeight="1" x14ac:dyDescent="0.25">
      <c r="A144" s="38">
        <f t="shared" si="1"/>
        <v>0.44000000000000011</v>
      </c>
      <c r="B144" s="39">
        <f t="shared" si="2"/>
        <v>31.680000000000007</v>
      </c>
      <c r="C144" s="39">
        <f t="shared" si="3"/>
        <v>31.898624000000005</v>
      </c>
      <c r="D144" s="39">
        <f t="shared" si="3"/>
        <v>33.401664000000004</v>
      </c>
      <c r="E144" s="39">
        <f t="shared" si="3"/>
        <v>37.207088000000006</v>
      </c>
      <c r="F144" s="39">
        <f t="shared" si="3"/>
        <v>44.04592000000001</v>
      </c>
      <c r="G144" s="39">
        <f t="shared" si="3"/>
        <v>54.362240000000007</v>
      </c>
      <c r="H144" s="39">
        <f t="shared" si="3"/>
        <v>67.616320000000002</v>
      </c>
      <c r="I144" s="39">
        <f t="shared" si="3"/>
        <v>83.056640000000002</v>
      </c>
      <c r="J144" s="39">
        <f t="shared" si="3"/>
        <v>100</v>
      </c>
    </row>
    <row r="145" spans="1:10" ht="20.100000000000001" customHeight="1" x14ac:dyDescent="0.25">
      <c r="A145" s="38">
        <f t="shared" si="1"/>
        <v>0.46000000000000013</v>
      </c>
      <c r="B145" s="39">
        <f t="shared" si="2"/>
        <v>33.580000000000013</v>
      </c>
      <c r="C145" s="39">
        <f t="shared" si="3"/>
        <v>33.792544000000014</v>
      </c>
      <c r="D145" s="39">
        <f t="shared" si="3"/>
        <v>35.25378400000001</v>
      </c>
      <c r="E145" s="39">
        <f t="shared" si="3"/>
        <v>38.953378000000015</v>
      </c>
      <c r="F145" s="39">
        <f t="shared" si="3"/>
        <v>45.60202000000001</v>
      </c>
      <c r="G145" s="39">
        <f t="shared" si="3"/>
        <v>55.631440000000012</v>
      </c>
      <c r="H145" s="39">
        <f t="shared" si="3"/>
        <v>68.516919999999999</v>
      </c>
      <c r="I145" s="39">
        <f t="shared" si="3"/>
        <v>83.527840000000012</v>
      </c>
      <c r="J145" s="39">
        <f t="shared" si="3"/>
        <v>100</v>
      </c>
    </row>
    <row r="146" spans="1:10" ht="20.100000000000001" customHeight="1" x14ac:dyDescent="0.25">
      <c r="A146" s="38">
        <f t="shared" si="1"/>
        <v>0.48000000000000015</v>
      </c>
      <c r="B146" s="39">
        <f t="shared" si="2"/>
        <v>35.52000000000001</v>
      </c>
      <c r="C146" s="39">
        <f t="shared" si="3"/>
        <v>35.726336000000011</v>
      </c>
      <c r="D146" s="39">
        <f t="shared" si="3"/>
        <v>37.14489600000001</v>
      </c>
      <c r="E146" s="39">
        <f t="shared" si="3"/>
        <v>40.736432000000008</v>
      </c>
      <c r="F146" s="39">
        <f t="shared" si="3"/>
        <v>47.190880000000007</v>
      </c>
      <c r="G146" s="39">
        <f t="shared" si="3"/>
        <v>56.927360000000007</v>
      </c>
      <c r="H146" s="39">
        <f t="shared" si="3"/>
        <v>69.436480000000017</v>
      </c>
      <c r="I146" s="39">
        <f t="shared" si="3"/>
        <v>84.008960000000002</v>
      </c>
      <c r="J146" s="39">
        <f t="shared" si="3"/>
        <v>100</v>
      </c>
    </row>
    <row r="147" spans="1:10" ht="20.100000000000001" customHeight="1" x14ac:dyDescent="0.25">
      <c r="A147" s="38">
        <f t="shared" si="1"/>
        <v>0.50000000000000011</v>
      </c>
      <c r="B147" s="39">
        <f t="shared" si="2"/>
        <v>37.500000000000014</v>
      </c>
      <c r="C147" s="39">
        <f t="shared" si="3"/>
        <v>37.700000000000017</v>
      </c>
      <c r="D147" s="39">
        <f t="shared" si="3"/>
        <v>39.075000000000017</v>
      </c>
      <c r="E147" s="39">
        <f t="shared" si="3"/>
        <v>42.556250000000013</v>
      </c>
      <c r="F147" s="39">
        <f t="shared" si="3"/>
        <v>48.812500000000014</v>
      </c>
      <c r="G147" s="39">
        <f t="shared" si="3"/>
        <v>58.250000000000014</v>
      </c>
      <c r="H147" s="39">
        <f t="shared" si="3"/>
        <v>70.375</v>
      </c>
      <c r="I147" s="39">
        <f t="shared" si="3"/>
        <v>84.5</v>
      </c>
      <c r="J147" s="39">
        <f t="shared" si="3"/>
        <v>100</v>
      </c>
    </row>
    <row r="148" spans="1:10" ht="20.100000000000001" customHeight="1" x14ac:dyDescent="0.25">
      <c r="A148" s="38">
        <f t="shared" si="1"/>
        <v>0.52000000000000013</v>
      </c>
      <c r="B148" s="39">
        <f t="shared" si="2"/>
        <v>39.52000000000001</v>
      </c>
      <c r="C148" s="39">
        <f t="shared" si="3"/>
        <v>39.713536000000012</v>
      </c>
      <c r="D148" s="39">
        <f t="shared" si="3"/>
        <v>41.04409600000001</v>
      </c>
      <c r="E148" s="39">
        <f t="shared" si="3"/>
        <v>44.412832000000009</v>
      </c>
      <c r="F148" s="39">
        <f t="shared" si="3"/>
        <v>50.46688000000001</v>
      </c>
      <c r="G148" s="39">
        <f t="shared" si="3"/>
        <v>59.599360000000004</v>
      </c>
      <c r="H148" s="39">
        <f t="shared" si="3"/>
        <v>71.332480000000004</v>
      </c>
      <c r="I148" s="39">
        <f t="shared" si="3"/>
        <v>85.000960000000006</v>
      </c>
      <c r="J148" s="39">
        <f t="shared" si="3"/>
        <v>100</v>
      </c>
    </row>
    <row r="149" spans="1:10" ht="20.100000000000001" customHeight="1" x14ac:dyDescent="0.25">
      <c r="A149" s="38">
        <f t="shared" si="1"/>
        <v>0.54000000000000015</v>
      </c>
      <c r="B149" s="39">
        <f t="shared" si="2"/>
        <v>41.58000000000002</v>
      </c>
      <c r="C149" s="39">
        <f t="shared" si="3"/>
        <v>41.766944000000017</v>
      </c>
      <c r="D149" s="39">
        <f t="shared" si="3"/>
        <v>43.052184000000018</v>
      </c>
      <c r="E149" s="39">
        <f t="shared" si="3"/>
        <v>46.306178000000017</v>
      </c>
      <c r="F149" s="39">
        <f t="shared" si="3"/>
        <v>52.154020000000017</v>
      </c>
      <c r="G149" s="39">
        <f t="shared" si="3"/>
        <v>60.975440000000013</v>
      </c>
      <c r="H149" s="39">
        <f t="shared" si="3"/>
        <v>72.308920000000001</v>
      </c>
      <c r="I149" s="39">
        <f t="shared" si="3"/>
        <v>85.511840000000007</v>
      </c>
      <c r="J149" s="39">
        <f t="shared" si="3"/>
        <v>100</v>
      </c>
    </row>
    <row r="150" spans="1:10" ht="20.100000000000001" customHeight="1" x14ac:dyDescent="0.25">
      <c r="A150" s="38">
        <f t="shared" si="1"/>
        <v>0.56000000000000016</v>
      </c>
      <c r="B150" s="39">
        <f t="shared" si="2"/>
        <v>43.680000000000021</v>
      </c>
      <c r="C150" s="39">
        <f t="shared" si="3"/>
        <v>43.860224000000024</v>
      </c>
      <c r="D150" s="39">
        <f t="shared" si="3"/>
        <v>45.099264000000019</v>
      </c>
      <c r="E150" s="39">
        <f t="shared" si="3"/>
        <v>48.236288000000016</v>
      </c>
      <c r="F150" s="39">
        <f t="shared" si="3"/>
        <v>53.87392000000002</v>
      </c>
      <c r="G150" s="39">
        <f t="shared" si="3"/>
        <v>62.378240000000019</v>
      </c>
      <c r="H150" s="39">
        <f t="shared" si="3"/>
        <v>73.304320000000018</v>
      </c>
      <c r="I150" s="39">
        <f t="shared" si="3"/>
        <v>86.032640000000001</v>
      </c>
      <c r="J150" s="39">
        <f t="shared" si="3"/>
        <v>100</v>
      </c>
    </row>
    <row r="151" spans="1:10" ht="20.100000000000001" customHeight="1" x14ac:dyDescent="0.25">
      <c r="A151" s="38">
        <f t="shared" si="1"/>
        <v>0.58000000000000018</v>
      </c>
      <c r="B151" s="39">
        <f t="shared" si="2"/>
        <v>45.820000000000014</v>
      </c>
      <c r="C151" s="39">
        <f t="shared" si="3"/>
        <v>45.993376000000012</v>
      </c>
      <c r="D151" s="39">
        <f t="shared" si="3"/>
        <v>47.185336000000014</v>
      </c>
      <c r="E151" s="39">
        <f t="shared" si="3"/>
        <v>50.203162000000013</v>
      </c>
      <c r="F151" s="39">
        <f t="shared" si="3"/>
        <v>55.626580000000011</v>
      </c>
      <c r="G151" s="39">
        <f t="shared" si="3"/>
        <v>63.807760000000009</v>
      </c>
      <c r="H151" s="39">
        <f t="shared" si="3"/>
        <v>74.318680000000001</v>
      </c>
      <c r="I151" s="39">
        <f t="shared" si="3"/>
        <v>86.563360000000003</v>
      </c>
      <c r="J151" s="39">
        <f t="shared" si="3"/>
        <v>100</v>
      </c>
    </row>
    <row r="152" spans="1:10" ht="20.100000000000001" customHeight="1" x14ac:dyDescent="0.25">
      <c r="A152" s="38">
        <f t="shared" si="1"/>
        <v>0.6000000000000002</v>
      </c>
      <c r="B152" s="39">
        <f t="shared" si="2"/>
        <v>48.000000000000021</v>
      </c>
      <c r="C152" s="39">
        <f t="shared" si="3"/>
        <v>48.166400000000024</v>
      </c>
      <c r="D152" s="39">
        <f t="shared" si="3"/>
        <v>49.310400000000023</v>
      </c>
      <c r="E152" s="39">
        <f t="shared" si="3"/>
        <v>52.206800000000023</v>
      </c>
      <c r="F152" s="39">
        <f t="shared" si="3"/>
        <v>57.41200000000002</v>
      </c>
      <c r="G152" s="39">
        <f t="shared" si="3"/>
        <v>65.26400000000001</v>
      </c>
      <c r="H152" s="39">
        <f t="shared" si="3"/>
        <v>75.352000000000004</v>
      </c>
      <c r="I152" s="39">
        <f t="shared" si="3"/>
        <v>87.104000000000013</v>
      </c>
      <c r="J152" s="39">
        <f t="shared" si="3"/>
        <v>100</v>
      </c>
    </row>
    <row r="153" spans="1:10" ht="20.100000000000001" customHeight="1" x14ac:dyDescent="0.25">
      <c r="A153" s="38">
        <f t="shared" si="1"/>
        <v>0.62000000000000022</v>
      </c>
      <c r="B153" s="39">
        <f t="shared" si="2"/>
        <v>50.22000000000002</v>
      </c>
      <c r="C153" s="39">
        <f t="shared" si="3"/>
        <v>50.379296000000018</v>
      </c>
      <c r="D153" s="39">
        <f t="shared" si="3"/>
        <v>51.474456000000018</v>
      </c>
      <c r="E153" s="39">
        <f t="shared" si="3"/>
        <v>54.247202000000016</v>
      </c>
      <c r="F153" s="39">
        <f t="shared" si="3"/>
        <v>59.230180000000018</v>
      </c>
      <c r="G153" s="39">
        <f t="shared" si="3"/>
        <v>66.746960000000016</v>
      </c>
      <c r="H153" s="39">
        <f t="shared" si="3"/>
        <v>76.404280000000014</v>
      </c>
      <c r="I153" s="39">
        <f t="shared" si="3"/>
        <v>87.654560000000004</v>
      </c>
      <c r="J153" s="39">
        <f t="shared" si="3"/>
        <v>100</v>
      </c>
    </row>
    <row r="154" spans="1:10" ht="20.100000000000001" customHeight="1" x14ac:dyDescent="0.25">
      <c r="A154" s="38">
        <f t="shared" si="1"/>
        <v>0.64000000000000024</v>
      </c>
      <c r="B154" s="39">
        <f t="shared" si="2"/>
        <v>52.480000000000025</v>
      </c>
      <c r="C154" s="39">
        <f t="shared" si="3"/>
        <v>52.632064000000028</v>
      </c>
      <c r="D154" s="39">
        <f t="shared" si="3"/>
        <v>53.677504000000027</v>
      </c>
      <c r="E154" s="39">
        <f t="shared" si="3"/>
        <v>56.324368000000021</v>
      </c>
      <c r="F154" s="39">
        <f t="shared" si="3"/>
        <v>61.08112000000002</v>
      </c>
      <c r="G154" s="39">
        <f t="shared" si="3"/>
        <v>68.256640000000019</v>
      </c>
      <c r="H154" s="39">
        <f t="shared" si="3"/>
        <v>77.475520000000017</v>
      </c>
      <c r="I154" s="39">
        <f t="shared" si="3"/>
        <v>88.215040000000016</v>
      </c>
      <c r="J154" s="39">
        <f t="shared" si="3"/>
        <v>100</v>
      </c>
    </row>
    <row r="155" spans="1:10" ht="20.100000000000001" customHeight="1" x14ac:dyDescent="0.25">
      <c r="A155" s="38">
        <f t="shared" si="1"/>
        <v>0.66000000000000025</v>
      </c>
      <c r="B155" s="39">
        <f t="shared" si="2"/>
        <v>54.78000000000003</v>
      </c>
      <c r="C155" s="39">
        <f t="shared" si="3"/>
        <v>54.924704000000027</v>
      </c>
      <c r="D155" s="39">
        <f t="shared" si="3"/>
        <v>55.91954400000003</v>
      </c>
      <c r="E155" s="39">
        <f t="shared" si="3"/>
        <v>58.438298000000025</v>
      </c>
      <c r="F155" s="39">
        <f t="shared" si="3"/>
        <v>62.964820000000024</v>
      </c>
      <c r="G155" s="39">
        <f t="shared" si="3"/>
        <v>69.793040000000019</v>
      </c>
      <c r="H155" s="39">
        <f t="shared" si="3"/>
        <v>78.565720000000013</v>
      </c>
      <c r="I155" s="39">
        <f t="shared" si="3"/>
        <v>88.785440000000008</v>
      </c>
      <c r="J155" s="39">
        <f t="shared" si="3"/>
        <v>100</v>
      </c>
    </row>
    <row r="156" spans="1:10" ht="20.100000000000001" customHeight="1" x14ac:dyDescent="0.25">
      <c r="A156" s="38">
        <f t="shared" si="1"/>
        <v>0.68000000000000027</v>
      </c>
      <c r="B156" s="39">
        <f t="shared" si="2"/>
        <v>57.12000000000004</v>
      </c>
      <c r="C156" s="39">
        <f t="shared" ref="C156:J172" si="4">$B156+((100-$B156)*C$122/100)</f>
        <v>57.257216000000042</v>
      </c>
      <c r="D156" s="39">
        <f t="shared" si="4"/>
        <v>58.200576000000041</v>
      </c>
      <c r="E156" s="39">
        <f t="shared" si="4"/>
        <v>60.588992000000033</v>
      </c>
      <c r="F156" s="39">
        <f t="shared" si="4"/>
        <v>64.881280000000032</v>
      </c>
      <c r="G156" s="39">
        <f t="shared" si="4"/>
        <v>71.356160000000031</v>
      </c>
      <c r="H156" s="39">
        <f t="shared" si="4"/>
        <v>79.674880000000016</v>
      </c>
      <c r="I156" s="39">
        <f t="shared" si="4"/>
        <v>89.365760000000023</v>
      </c>
      <c r="J156" s="39">
        <f t="shared" si="4"/>
        <v>100</v>
      </c>
    </row>
    <row r="157" spans="1:10" ht="20.100000000000001" customHeight="1" x14ac:dyDescent="0.25">
      <c r="A157" s="38">
        <f t="shared" si="1"/>
        <v>0.70000000000000029</v>
      </c>
      <c r="B157" s="39">
        <f t="shared" si="2"/>
        <v>59.500000000000028</v>
      </c>
      <c r="C157" s="39">
        <f t="shared" si="4"/>
        <v>59.629600000000025</v>
      </c>
      <c r="D157" s="39">
        <f t="shared" si="4"/>
        <v>60.52060000000003</v>
      </c>
      <c r="E157" s="39">
        <f t="shared" si="4"/>
        <v>62.776450000000025</v>
      </c>
      <c r="F157" s="39">
        <f t="shared" si="4"/>
        <v>66.830500000000029</v>
      </c>
      <c r="G157" s="39">
        <f t="shared" si="4"/>
        <v>72.946000000000026</v>
      </c>
      <c r="H157" s="39">
        <f t="shared" si="4"/>
        <v>80.803000000000011</v>
      </c>
      <c r="I157" s="39">
        <f t="shared" si="4"/>
        <v>89.956000000000017</v>
      </c>
      <c r="J157" s="39">
        <f t="shared" si="4"/>
        <v>100</v>
      </c>
    </row>
    <row r="158" spans="1:10" ht="20.100000000000001" customHeight="1" x14ac:dyDescent="0.25">
      <c r="A158" s="38">
        <f t="shared" si="1"/>
        <v>0.72000000000000031</v>
      </c>
      <c r="B158" s="39">
        <f t="shared" si="2"/>
        <v>61.920000000000044</v>
      </c>
      <c r="C158" s="39">
        <f t="shared" si="4"/>
        <v>62.041856000000045</v>
      </c>
      <c r="D158" s="39">
        <f t="shared" si="4"/>
        <v>62.879616000000041</v>
      </c>
      <c r="E158" s="39">
        <f t="shared" si="4"/>
        <v>65.000672000000037</v>
      </c>
      <c r="F158" s="39">
        <f t="shared" si="4"/>
        <v>68.812480000000036</v>
      </c>
      <c r="G158" s="39">
        <f t="shared" si="4"/>
        <v>74.562560000000033</v>
      </c>
      <c r="H158" s="39">
        <f t="shared" si="4"/>
        <v>81.950080000000014</v>
      </c>
      <c r="I158" s="39">
        <f t="shared" si="4"/>
        <v>90.556160000000006</v>
      </c>
      <c r="J158" s="39">
        <f t="shared" si="4"/>
        <v>100</v>
      </c>
    </row>
    <row r="159" spans="1:10" ht="20.100000000000001" customHeight="1" x14ac:dyDescent="0.25">
      <c r="A159" s="38">
        <f t="shared" si="1"/>
        <v>0.74000000000000032</v>
      </c>
      <c r="B159" s="39">
        <f t="shared" si="2"/>
        <v>64.380000000000038</v>
      </c>
      <c r="C159" s="39">
        <f t="shared" si="4"/>
        <v>64.49398400000004</v>
      </c>
      <c r="D159" s="39">
        <f t="shared" si="4"/>
        <v>65.277624000000031</v>
      </c>
      <c r="E159" s="39">
        <f t="shared" si="4"/>
        <v>67.26165800000004</v>
      </c>
      <c r="F159" s="39">
        <f t="shared" si="4"/>
        <v>70.82722000000004</v>
      </c>
      <c r="G159" s="39">
        <f t="shared" si="4"/>
        <v>76.205840000000023</v>
      </c>
      <c r="H159" s="39">
        <f t="shared" si="4"/>
        <v>83.116120000000024</v>
      </c>
      <c r="I159" s="39">
        <f t="shared" si="4"/>
        <v>91.166240000000016</v>
      </c>
      <c r="J159" s="39">
        <f t="shared" si="4"/>
        <v>100</v>
      </c>
    </row>
    <row r="160" spans="1:10" ht="20.100000000000001" customHeight="1" x14ac:dyDescent="0.25">
      <c r="A160" s="38">
        <f t="shared" si="1"/>
        <v>0.76000000000000034</v>
      </c>
      <c r="B160" s="39">
        <f t="shared" si="2"/>
        <v>66.880000000000052</v>
      </c>
      <c r="C160" s="39">
        <f t="shared" si="4"/>
        <v>66.985984000000059</v>
      </c>
      <c r="D160" s="39">
        <f t="shared" si="4"/>
        <v>67.714624000000057</v>
      </c>
      <c r="E160" s="39">
        <f t="shared" si="4"/>
        <v>69.559408000000047</v>
      </c>
      <c r="F160" s="39">
        <f t="shared" si="4"/>
        <v>72.874720000000039</v>
      </c>
      <c r="G160" s="39">
        <f t="shared" si="4"/>
        <v>77.875840000000039</v>
      </c>
      <c r="H160" s="39">
        <f t="shared" si="4"/>
        <v>84.301120000000026</v>
      </c>
      <c r="I160" s="39">
        <f t="shared" si="4"/>
        <v>91.786240000000021</v>
      </c>
      <c r="J160" s="39">
        <f t="shared" si="4"/>
        <v>100</v>
      </c>
    </row>
    <row r="161" spans="1:10" ht="20.100000000000001" customHeight="1" x14ac:dyDescent="0.25">
      <c r="A161" s="38">
        <f t="shared" si="1"/>
        <v>0.78000000000000036</v>
      </c>
      <c r="B161" s="39">
        <f t="shared" si="2"/>
        <v>69.420000000000044</v>
      </c>
      <c r="C161" s="39">
        <f t="shared" si="4"/>
        <v>69.517856000000037</v>
      </c>
      <c r="D161" s="39">
        <f t="shared" si="4"/>
        <v>70.190616000000048</v>
      </c>
      <c r="E161" s="39">
        <f t="shared" si="4"/>
        <v>71.893922000000046</v>
      </c>
      <c r="F161" s="39">
        <f t="shared" si="4"/>
        <v>74.954980000000035</v>
      </c>
      <c r="G161" s="39">
        <f t="shared" si="4"/>
        <v>79.572560000000038</v>
      </c>
      <c r="H161" s="39">
        <f t="shared" si="4"/>
        <v>85.505080000000021</v>
      </c>
      <c r="I161" s="39">
        <f t="shared" si="4"/>
        <v>92.416160000000019</v>
      </c>
      <c r="J161" s="39">
        <f t="shared" si="4"/>
        <v>100</v>
      </c>
    </row>
    <row r="162" spans="1:10" ht="20.100000000000001" customHeight="1" x14ac:dyDescent="0.25">
      <c r="A162" s="38">
        <f t="shared" si="1"/>
        <v>0.80000000000000038</v>
      </c>
      <c r="B162" s="39">
        <f t="shared" si="2"/>
        <v>72.000000000000043</v>
      </c>
      <c r="C162" s="39">
        <f t="shared" si="4"/>
        <v>72.089600000000047</v>
      </c>
      <c r="D162" s="39">
        <f t="shared" si="4"/>
        <v>72.705600000000047</v>
      </c>
      <c r="E162" s="39">
        <f t="shared" si="4"/>
        <v>74.265200000000036</v>
      </c>
      <c r="F162" s="39">
        <f t="shared" si="4"/>
        <v>77.06800000000004</v>
      </c>
      <c r="G162" s="39">
        <f t="shared" si="4"/>
        <v>81.296000000000035</v>
      </c>
      <c r="H162" s="39">
        <f t="shared" si="4"/>
        <v>86.728000000000023</v>
      </c>
      <c r="I162" s="39">
        <f t="shared" si="4"/>
        <v>93.056000000000012</v>
      </c>
      <c r="J162" s="39">
        <f t="shared" si="4"/>
        <v>100</v>
      </c>
    </row>
    <row r="163" spans="1:10" ht="20.100000000000001" customHeight="1" x14ac:dyDescent="0.25">
      <c r="A163" s="38">
        <f t="shared" si="1"/>
        <v>0.8200000000000004</v>
      </c>
      <c r="B163" s="39">
        <f t="shared" si="2"/>
        <v>74.620000000000047</v>
      </c>
      <c r="C163" s="39">
        <f t="shared" si="4"/>
        <v>74.701216000000045</v>
      </c>
      <c r="D163" s="39">
        <f t="shared" si="4"/>
        <v>75.259576000000052</v>
      </c>
      <c r="E163" s="39">
        <f t="shared" si="4"/>
        <v>76.673242000000045</v>
      </c>
      <c r="F163" s="39">
        <f t="shared" si="4"/>
        <v>79.213780000000042</v>
      </c>
      <c r="G163" s="39">
        <f t="shared" si="4"/>
        <v>83.046160000000029</v>
      </c>
      <c r="H163" s="39">
        <f t="shared" si="4"/>
        <v>87.969880000000018</v>
      </c>
      <c r="I163" s="39">
        <f t="shared" si="4"/>
        <v>93.705760000000012</v>
      </c>
      <c r="J163" s="39">
        <f t="shared" si="4"/>
        <v>100</v>
      </c>
    </row>
    <row r="164" spans="1:10" ht="20.100000000000001" customHeight="1" x14ac:dyDescent="0.25">
      <c r="A164" s="38">
        <f t="shared" si="1"/>
        <v>0.84000000000000041</v>
      </c>
      <c r="B164" s="39">
        <f t="shared" si="2"/>
        <v>77.280000000000058</v>
      </c>
      <c r="C164" s="39">
        <f t="shared" si="4"/>
        <v>77.35270400000006</v>
      </c>
      <c r="D164" s="39">
        <f t="shared" si="4"/>
        <v>77.852544000000051</v>
      </c>
      <c r="E164" s="39">
        <f t="shared" si="4"/>
        <v>79.118048000000059</v>
      </c>
      <c r="F164" s="39">
        <f t="shared" si="4"/>
        <v>81.392320000000041</v>
      </c>
      <c r="G164" s="39">
        <f t="shared" si="4"/>
        <v>84.823040000000034</v>
      </c>
      <c r="H164" s="39">
        <f t="shared" si="4"/>
        <v>89.230720000000019</v>
      </c>
      <c r="I164" s="39">
        <f t="shared" si="4"/>
        <v>94.365440000000021</v>
      </c>
      <c r="J164" s="39">
        <f t="shared" si="4"/>
        <v>100</v>
      </c>
    </row>
    <row r="165" spans="1:10" ht="20.100000000000001" customHeight="1" x14ac:dyDescent="0.25">
      <c r="A165" s="38">
        <f t="shared" si="1"/>
        <v>0.86000000000000043</v>
      </c>
      <c r="B165" s="39">
        <f t="shared" si="2"/>
        <v>79.980000000000047</v>
      </c>
      <c r="C165" s="39">
        <f t="shared" si="4"/>
        <v>80.044064000000049</v>
      </c>
      <c r="D165" s="39">
        <f t="shared" si="4"/>
        <v>80.484504000000044</v>
      </c>
      <c r="E165" s="39">
        <f t="shared" si="4"/>
        <v>81.599618000000049</v>
      </c>
      <c r="F165" s="39">
        <f t="shared" si="4"/>
        <v>83.603620000000035</v>
      </c>
      <c r="G165" s="39">
        <f t="shared" si="4"/>
        <v>86.626640000000037</v>
      </c>
      <c r="H165" s="39">
        <f t="shared" si="4"/>
        <v>90.510520000000028</v>
      </c>
      <c r="I165" s="39">
        <f t="shared" si="4"/>
        <v>95.035040000000009</v>
      </c>
      <c r="J165" s="39">
        <f t="shared" si="4"/>
        <v>100</v>
      </c>
    </row>
    <row r="166" spans="1:10" ht="20.100000000000001" customHeight="1" x14ac:dyDescent="0.25">
      <c r="A166" s="38">
        <f t="shared" si="1"/>
        <v>0.88000000000000045</v>
      </c>
      <c r="B166" s="39">
        <f t="shared" si="2"/>
        <v>82.720000000000056</v>
      </c>
      <c r="C166" s="39">
        <f t="shared" si="4"/>
        <v>82.775296000000054</v>
      </c>
      <c r="D166" s="39">
        <f t="shared" si="4"/>
        <v>83.155456000000058</v>
      </c>
      <c r="E166" s="39">
        <f t="shared" si="4"/>
        <v>84.117952000000045</v>
      </c>
      <c r="F166" s="39">
        <f t="shared" si="4"/>
        <v>85.84768000000004</v>
      </c>
      <c r="G166" s="39">
        <f t="shared" si="4"/>
        <v>88.456960000000038</v>
      </c>
      <c r="H166" s="39">
        <f t="shared" si="4"/>
        <v>91.80928000000003</v>
      </c>
      <c r="I166" s="39">
        <f t="shared" si="4"/>
        <v>95.714560000000006</v>
      </c>
      <c r="J166" s="39">
        <f t="shared" si="4"/>
        <v>100</v>
      </c>
    </row>
    <row r="167" spans="1:10" ht="20.100000000000001" customHeight="1" x14ac:dyDescent="0.25">
      <c r="A167" s="38">
        <f t="shared" si="1"/>
        <v>0.90000000000000047</v>
      </c>
      <c r="B167" s="39">
        <f t="shared" si="2"/>
        <v>85.500000000000071</v>
      </c>
      <c r="C167" s="39">
        <f t="shared" si="4"/>
        <v>85.546400000000077</v>
      </c>
      <c r="D167" s="39">
        <f t="shared" si="4"/>
        <v>85.865400000000065</v>
      </c>
      <c r="E167" s="39">
        <f t="shared" si="4"/>
        <v>86.67305000000006</v>
      </c>
      <c r="F167" s="39">
        <f t="shared" si="4"/>
        <v>88.124500000000054</v>
      </c>
      <c r="G167" s="39">
        <f t="shared" si="4"/>
        <v>90.31400000000005</v>
      </c>
      <c r="H167" s="39">
        <f t="shared" si="4"/>
        <v>93.127000000000038</v>
      </c>
      <c r="I167" s="39">
        <f t="shared" si="4"/>
        <v>96.404000000000025</v>
      </c>
      <c r="J167" s="39">
        <f t="shared" si="4"/>
        <v>100</v>
      </c>
    </row>
    <row r="168" spans="1:10" ht="20.100000000000001" customHeight="1" x14ac:dyDescent="0.25">
      <c r="A168" s="38">
        <f t="shared" si="1"/>
        <v>0.92000000000000048</v>
      </c>
      <c r="B168" s="39">
        <f t="shared" si="2"/>
        <v>88.320000000000064</v>
      </c>
      <c r="C168" s="39">
        <f t="shared" si="4"/>
        <v>88.357376000000059</v>
      </c>
      <c r="D168" s="39">
        <f t="shared" si="4"/>
        <v>88.614336000000065</v>
      </c>
      <c r="E168" s="39">
        <f t="shared" si="4"/>
        <v>89.264912000000052</v>
      </c>
      <c r="F168" s="39">
        <f t="shared" si="4"/>
        <v>90.434080000000051</v>
      </c>
      <c r="G168" s="39">
        <f t="shared" si="4"/>
        <v>92.197760000000045</v>
      </c>
      <c r="H168" s="39">
        <f t="shared" si="4"/>
        <v>94.463680000000025</v>
      </c>
      <c r="I168" s="39">
        <f t="shared" si="4"/>
        <v>97.103360000000009</v>
      </c>
      <c r="J168" s="39">
        <f t="shared" si="4"/>
        <v>100</v>
      </c>
    </row>
    <row r="169" spans="1:10" ht="20.100000000000001" customHeight="1" x14ac:dyDescent="0.25">
      <c r="A169" s="38">
        <f t="shared" si="1"/>
        <v>0.9400000000000005</v>
      </c>
      <c r="B169" s="39">
        <f t="shared" si="2"/>
        <v>91.180000000000078</v>
      </c>
      <c r="C169" s="39">
        <f t="shared" si="4"/>
        <v>91.208224000000072</v>
      </c>
      <c r="D169" s="39">
        <f t="shared" si="4"/>
        <v>91.402264000000073</v>
      </c>
      <c r="E169" s="39">
        <f t="shared" si="4"/>
        <v>91.893538000000078</v>
      </c>
      <c r="F169" s="39">
        <f t="shared" si="4"/>
        <v>92.776420000000059</v>
      </c>
      <c r="G169" s="39">
        <f t="shared" si="4"/>
        <v>94.108240000000052</v>
      </c>
      <c r="H169" s="39">
        <f t="shared" si="4"/>
        <v>95.819320000000033</v>
      </c>
      <c r="I169" s="39">
        <f t="shared" si="4"/>
        <v>97.812640000000016</v>
      </c>
      <c r="J169" s="39">
        <f t="shared" si="4"/>
        <v>100</v>
      </c>
    </row>
    <row r="170" spans="1:10" ht="20.100000000000001" customHeight="1" x14ac:dyDescent="0.25">
      <c r="A170" s="38">
        <f t="shared" si="1"/>
        <v>0.96000000000000052</v>
      </c>
      <c r="B170" s="39">
        <f t="shared" si="2"/>
        <v>94.080000000000069</v>
      </c>
      <c r="C170" s="39">
        <f t="shared" si="4"/>
        <v>94.098944000000074</v>
      </c>
      <c r="D170" s="39">
        <f t="shared" si="4"/>
        <v>94.229184000000075</v>
      </c>
      <c r="E170" s="39">
        <f t="shared" si="4"/>
        <v>94.558928000000066</v>
      </c>
      <c r="F170" s="39">
        <f t="shared" si="4"/>
        <v>95.151520000000062</v>
      </c>
      <c r="G170" s="39">
        <f t="shared" si="4"/>
        <v>96.045440000000042</v>
      </c>
      <c r="H170" s="39">
        <f t="shared" si="4"/>
        <v>97.193920000000034</v>
      </c>
      <c r="I170" s="39">
        <f t="shared" si="4"/>
        <v>98.531840000000017</v>
      </c>
      <c r="J170" s="39">
        <f t="shared" si="4"/>
        <v>100</v>
      </c>
    </row>
    <row r="171" spans="1:10" ht="20.100000000000001" customHeight="1" x14ac:dyDescent="0.25">
      <c r="A171" s="38">
        <f t="shared" si="1"/>
        <v>0.98000000000000054</v>
      </c>
      <c r="B171" s="39">
        <f t="shared" si="2"/>
        <v>97.020000000000081</v>
      </c>
      <c r="C171" s="39">
        <f t="shared" si="4"/>
        <v>97.029536000000078</v>
      </c>
      <c r="D171" s="39">
        <f t="shared" si="4"/>
        <v>97.095096000000083</v>
      </c>
      <c r="E171" s="39">
        <f t="shared" si="4"/>
        <v>97.261082000000073</v>
      </c>
      <c r="F171" s="39">
        <f t="shared" si="4"/>
        <v>97.559380000000061</v>
      </c>
      <c r="G171" s="39">
        <f t="shared" si="4"/>
        <v>98.009360000000058</v>
      </c>
      <c r="H171" s="39">
        <f t="shared" si="4"/>
        <v>98.587480000000042</v>
      </c>
      <c r="I171" s="39">
        <f t="shared" si="4"/>
        <v>99.260960000000026</v>
      </c>
      <c r="J171" s="39">
        <f t="shared" si="4"/>
        <v>100</v>
      </c>
    </row>
    <row r="172" spans="1:10" ht="20.100000000000001" customHeight="1" x14ac:dyDescent="0.25">
      <c r="A172" s="38">
        <f t="shared" si="1"/>
        <v>1.0000000000000004</v>
      </c>
      <c r="B172" s="39">
        <f t="shared" si="2"/>
        <v>100.00000000000007</v>
      </c>
      <c r="C172" s="39">
        <f t="shared" si="4"/>
        <v>100.00000000000007</v>
      </c>
      <c r="D172" s="39">
        <f t="shared" si="4"/>
        <v>100.00000000000007</v>
      </c>
      <c r="E172" s="39">
        <f t="shared" si="4"/>
        <v>100.00000000000007</v>
      </c>
      <c r="F172" s="39">
        <f t="shared" si="4"/>
        <v>100.00000000000006</v>
      </c>
      <c r="G172" s="39">
        <f t="shared" si="4"/>
        <v>100.00000000000004</v>
      </c>
      <c r="H172" s="39">
        <f t="shared" si="4"/>
        <v>100.00000000000003</v>
      </c>
      <c r="I172" s="39">
        <f t="shared" si="4"/>
        <v>100.00000000000001</v>
      </c>
      <c r="J172" s="39">
        <f t="shared" si="4"/>
        <v>100</v>
      </c>
    </row>
    <row r="174" spans="1:10" ht="20.100000000000001" customHeight="1" x14ac:dyDescent="0.25">
      <c r="A174" s="236" t="s">
        <v>386</v>
      </c>
      <c r="B174" s="236"/>
      <c r="C174" s="236"/>
      <c r="D174" s="236"/>
      <c r="E174" s="236"/>
      <c r="F174" s="236"/>
      <c r="G174" s="236"/>
      <c r="H174" s="236"/>
      <c r="I174" s="236"/>
      <c r="J174" s="236"/>
    </row>
    <row r="176" spans="1:10" ht="20.100000000000001" customHeight="1" x14ac:dyDescent="0.25">
      <c r="E176" s="40"/>
      <c r="F176" s="40"/>
      <c r="G176" s="40"/>
      <c r="H176" s="40"/>
      <c r="I176" s="40"/>
      <c r="J176" s="40"/>
    </row>
    <row r="177" spans="1:10" ht="20.100000000000001" customHeight="1" x14ac:dyDescent="0.25">
      <c r="A177" s="17"/>
      <c r="B177" s="17"/>
      <c r="C177" s="41"/>
      <c r="D177" s="42"/>
      <c r="E177" s="40"/>
      <c r="F177" s="40"/>
      <c r="G177" s="40"/>
      <c r="H177" s="40"/>
      <c r="I177" s="40"/>
      <c r="J177" s="40"/>
    </row>
    <row r="178" spans="1:10" ht="20.100000000000001" customHeight="1" x14ac:dyDescent="0.25">
      <c r="A178" s="17"/>
      <c r="B178" s="17"/>
      <c r="C178" s="41"/>
      <c r="D178" s="42"/>
      <c r="E178" s="40"/>
      <c r="F178" s="40"/>
      <c r="G178" s="40"/>
      <c r="H178" s="40"/>
      <c r="I178" s="40"/>
      <c r="J178" s="40"/>
    </row>
    <row r="179" spans="1:10" ht="20.100000000000001" customHeight="1" x14ac:dyDescent="0.25">
      <c r="A179" s="17"/>
      <c r="B179" s="17"/>
      <c r="C179" s="41"/>
      <c r="D179" s="42"/>
      <c r="E179" s="40"/>
      <c r="F179" s="40"/>
      <c r="G179" s="40"/>
      <c r="H179" s="40"/>
      <c r="I179" s="40"/>
      <c r="J179" s="40"/>
    </row>
    <row r="180" spans="1:10" ht="20.100000000000001" customHeight="1" x14ac:dyDescent="0.25">
      <c r="C180" s="41"/>
      <c r="D180" s="42"/>
      <c r="E180" s="40"/>
      <c r="F180" s="40"/>
      <c r="G180" s="40"/>
      <c r="H180" s="40"/>
      <c r="I180" s="40"/>
      <c r="J180" s="40"/>
    </row>
    <row r="181" spans="1:10" ht="20.100000000000001" customHeight="1" x14ac:dyDescent="0.25">
      <c r="C181" s="41"/>
      <c r="D181" s="42"/>
      <c r="E181" s="40"/>
      <c r="F181" s="40"/>
      <c r="G181" s="40"/>
      <c r="H181" s="40"/>
      <c r="I181" s="40"/>
      <c r="J181" s="40"/>
    </row>
    <row r="182" spans="1:10" ht="20.100000000000001" customHeight="1" x14ac:dyDescent="0.25">
      <c r="C182" s="41"/>
      <c r="D182" s="42"/>
      <c r="E182" s="40"/>
      <c r="F182" s="40"/>
      <c r="G182" s="40"/>
      <c r="H182" s="40"/>
      <c r="I182" s="40"/>
      <c r="J182" s="40"/>
    </row>
    <row r="183" spans="1:10" ht="20.100000000000001" customHeight="1" x14ac:dyDescent="0.25">
      <c r="C183" s="41"/>
      <c r="D183" s="42"/>
      <c r="E183" s="40"/>
      <c r="F183" s="40"/>
      <c r="G183" s="40"/>
      <c r="H183" s="40"/>
      <c r="I183" s="40"/>
      <c r="J183" s="40"/>
    </row>
    <row r="184" spans="1:10" ht="20.100000000000001" customHeight="1" x14ac:dyDescent="0.25">
      <c r="C184" s="41"/>
      <c r="D184" s="42"/>
      <c r="E184" s="40"/>
      <c r="F184" s="40"/>
      <c r="G184" s="40"/>
      <c r="H184" s="40"/>
      <c r="I184" s="40"/>
      <c r="J184" s="40"/>
    </row>
    <row r="185" spans="1:10" ht="20.100000000000001" customHeight="1" x14ac:dyDescent="0.25">
      <c r="C185" s="41"/>
      <c r="D185" s="42"/>
      <c r="E185" s="40"/>
      <c r="F185" s="40"/>
      <c r="G185" s="40"/>
      <c r="H185" s="40"/>
      <c r="I185" s="40"/>
      <c r="J185" s="40"/>
    </row>
    <row r="186" spans="1:10" ht="20.100000000000001" customHeight="1" x14ac:dyDescent="0.25">
      <c r="C186" s="41"/>
      <c r="D186" s="42"/>
      <c r="E186" s="40"/>
      <c r="F186" s="40"/>
      <c r="G186" s="40"/>
      <c r="H186" s="40"/>
      <c r="I186" s="40"/>
      <c r="J186" s="40"/>
    </row>
    <row r="189" spans="1:10" ht="20.100000000000001" customHeight="1" x14ac:dyDescent="0.25">
      <c r="A189" s="237" t="str">
        <f>A118</f>
        <v>IDADE EM % DA VIDA ÚTIL</v>
      </c>
      <c r="B189" s="242" t="str">
        <f t="shared" ref="B189:J189" si="5">B118</f>
        <v>ESTADO DE CONSERVAÇÃO</v>
      </c>
      <c r="C189" s="243">
        <f t="shared" si="5"/>
        <v>0</v>
      </c>
      <c r="D189" s="243">
        <f t="shared" si="5"/>
        <v>0</v>
      </c>
      <c r="E189" s="243">
        <f t="shared" si="5"/>
        <v>0</v>
      </c>
      <c r="F189" s="243">
        <f t="shared" si="5"/>
        <v>0</v>
      </c>
      <c r="G189" s="243">
        <f t="shared" si="5"/>
        <v>0</v>
      </c>
      <c r="H189" s="243">
        <f t="shared" si="5"/>
        <v>0</v>
      </c>
      <c r="I189" s="243">
        <f t="shared" si="5"/>
        <v>0</v>
      </c>
      <c r="J189" s="244">
        <f t="shared" si="5"/>
        <v>0</v>
      </c>
    </row>
    <row r="190" spans="1:10" ht="20.100000000000001" customHeight="1" x14ac:dyDescent="0.25">
      <c r="A190" s="237">
        <f t="shared" ref="A190:J205" si="6">A119</f>
        <v>0</v>
      </c>
      <c r="B190" s="239" t="s">
        <v>387</v>
      </c>
      <c r="C190" s="239">
        <f t="shared" si="6"/>
        <v>0</v>
      </c>
      <c r="D190" s="239">
        <f t="shared" si="6"/>
        <v>0</v>
      </c>
      <c r="E190" s="239">
        <f t="shared" si="6"/>
        <v>0</v>
      </c>
      <c r="F190" s="239">
        <f t="shared" si="6"/>
        <v>0</v>
      </c>
      <c r="G190" s="239">
        <f t="shared" si="6"/>
        <v>0</v>
      </c>
      <c r="H190" s="239">
        <f t="shared" si="6"/>
        <v>0</v>
      </c>
      <c r="I190" s="239">
        <f t="shared" si="6"/>
        <v>0</v>
      </c>
      <c r="J190" s="239">
        <f t="shared" si="6"/>
        <v>0</v>
      </c>
    </row>
    <row r="191" spans="1:10" ht="20.100000000000001" customHeight="1" x14ac:dyDescent="0.25">
      <c r="A191" s="237">
        <f t="shared" si="6"/>
        <v>0</v>
      </c>
      <c r="B191" s="237" t="str">
        <f t="shared" si="6"/>
        <v>Classificação do estado de conservação de acordo com a tabela de Heidecke</v>
      </c>
      <c r="C191" s="237">
        <f t="shared" si="6"/>
        <v>0</v>
      </c>
      <c r="D191" s="237">
        <f t="shared" si="6"/>
        <v>0</v>
      </c>
      <c r="E191" s="237">
        <f t="shared" si="6"/>
        <v>0</v>
      </c>
      <c r="F191" s="237">
        <f t="shared" si="6"/>
        <v>0</v>
      </c>
      <c r="G191" s="237">
        <f t="shared" si="6"/>
        <v>0</v>
      </c>
      <c r="H191" s="237">
        <f t="shared" si="6"/>
        <v>0</v>
      </c>
      <c r="I191" s="237">
        <f t="shared" si="6"/>
        <v>0</v>
      </c>
      <c r="J191" s="237">
        <f t="shared" si="6"/>
        <v>0</v>
      </c>
    </row>
    <row r="192" spans="1:10" ht="20.100000000000001" customHeight="1" x14ac:dyDescent="0.25">
      <c r="A192" s="237">
        <f t="shared" si="6"/>
        <v>0</v>
      </c>
      <c r="B192" s="37" t="str">
        <f t="shared" si="6"/>
        <v>A</v>
      </c>
      <c r="C192" s="37" t="str">
        <f t="shared" si="6"/>
        <v>B</v>
      </c>
      <c r="D192" s="37" t="str">
        <f t="shared" si="6"/>
        <v>C</v>
      </c>
      <c r="E192" s="37" t="str">
        <f t="shared" si="6"/>
        <v>D</v>
      </c>
      <c r="F192" s="37" t="str">
        <f t="shared" si="6"/>
        <v>E</v>
      </c>
      <c r="G192" s="37" t="str">
        <f t="shared" si="6"/>
        <v>F</v>
      </c>
      <c r="H192" s="37" t="str">
        <f t="shared" si="6"/>
        <v>G</v>
      </c>
      <c r="I192" s="37" t="str">
        <f t="shared" si="6"/>
        <v>H</v>
      </c>
      <c r="J192" s="37" t="str">
        <f t="shared" si="6"/>
        <v>I</v>
      </c>
    </row>
    <row r="193" spans="1:10" ht="20.100000000000001" customHeight="1" x14ac:dyDescent="0.25">
      <c r="A193" s="43">
        <f t="shared" si="6"/>
        <v>0</v>
      </c>
      <c r="B193" s="44">
        <f>-(B122/100)</f>
        <v>0</v>
      </c>
      <c r="C193" s="44">
        <f t="shared" ref="C193:J193" si="7">-(C122/100)</f>
        <v>-3.2000000000000002E-3</v>
      </c>
      <c r="D193" s="44">
        <f t="shared" si="7"/>
        <v>-2.52E-2</v>
      </c>
      <c r="E193" s="44">
        <f t="shared" si="7"/>
        <v>-8.09E-2</v>
      </c>
      <c r="F193" s="44">
        <f t="shared" si="7"/>
        <v>-0.18100000000000002</v>
      </c>
      <c r="G193" s="44">
        <f t="shared" si="7"/>
        <v>-0.33200000000000002</v>
      </c>
      <c r="H193" s="44">
        <f t="shared" si="7"/>
        <v>-0.52600000000000002</v>
      </c>
      <c r="I193" s="44">
        <f t="shared" si="7"/>
        <v>-0.752</v>
      </c>
      <c r="J193" s="44">
        <f t="shared" si="7"/>
        <v>-1</v>
      </c>
    </row>
    <row r="194" spans="1:10" ht="20.100000000000001" customHeight="1" x14ac:dyDescent="0.25">
      <c r="A194" s="43">
        <f t="shared" si="6"/>
        <v>0.02</v>
      </c>
      <c r="B194" s="44">
        <f t="shared" ref="B194:J209" si="8">-(B123/100)</f>
        <v>-1.0200000000000001E-2</v>
      </c>
      <c r="C194" s="44">
        <f t="shared" si="8"/>
        <v>-1.3367360000000002E-2</v>
      </c>
      <c r="D194" s="44">
        <f t="shared" si="8"/>
        <v>-3.5142960000000001E-2</v>
      </c>
      <c r="E194" s="44">
        <f t="shared" si="8"/>
        <v>-9.0274819999999992E-2</v>
      </c>
      <c r="F194" s="44">
        <f t="shared" si="8"/>
        <v>-0.18935380000000002</v>
      </c>
      <c r="G194" s="44">
        <f t="shared" si="8"/>
        <v>-0.3388136000000001</v>
      </c>
      <c r="H194" s="44">
        <f t="shared" si="8"/>
        <v>-0.53083480000000005</v>
      </c>
      <c r="I194" s="44">
        <f t="shared" si="8"/>
        <v>-0.75452960000000002</v>
      </c>
      <c r="J194" s="44">
        <f t="shared" si="8"/>
        <v>-1</v>
      </c>
    </row>
    <row r="195" spans="1:10" ht="20.100000000000001" customHeight="1" x14ac:dyDescent="0.25">
      <c r="A195" s="43">
        <f t="shared" si="6"/>
        <v>0.04</v>
      </c>
      <c r="B195" s="44">
        <f t="shared" si="8"/>
        <v>-2.0799999999999999E-2</v>
      </c>
      <c r="C195" s="44">
        <f t="shared" si="8"/>
        <v>-2.393344E-2</v>
      </c>
      <c r="D195" s="44">
        <f t="shared" si="8"/>
        <v>-4.5475840000000003E-2</v>
      </c>
      <c r="E195" s="44">
        <f t="shared" si="8"/>
        <v>-0.10001728</v>
      </c>
      <c r="F195" s="44">
        <f t="shared" si="8"/>
        <v>-0.19803519999999999</v>
      </c>
      <c r="G195" s="44">
        <f t="shared" si="8"/>
        <v>-0.34589440000000005</v>
      </c>
      <c r="H195" s="44">
        <f t="shared" si="8"/>
        <v>-0.53585919999999998</v>
      </c>
      <c r="I195" s="44">
        <f t="shared" si="8"/>
        <v>-0.75715840000000001</v>
      </c>
      <c r="J195" s="44">
        <f t="shared" si="8"/>
        <v>-1</v>
      </c>
    </row>
    <row r="196" spans="1:10" ht="20.100000000000001" customHeight="1" x14ac:dyDescent="0.25">
      <c r="A196" s="43">
        <f t="shared" si="6"/>
        <v>0.06</v>
      </c>
      <c r="B196" s="44">
        <f t="shared" si="8"/>
        <v>-3.1800000000000002E-2</v>
      </c>
      <c r="C196" s="44">
        <f t="shared" si="8"/>
        <v>-3.4898239999999997E-2</v>
      </c>
      <c r="D196" s="44">
        <f t="shared" si="8"/>
        <v>-5.6198639999999994E-2</v>
      </c>
      <c r="E196" s="44">
        <f t="shared" si="8"/>
        <v>-0.11012737999999998</v>
      </c>
      <c r="F196" s="44">
        <f t="shared" si="8"/>
        <v>-0.20704419999999998</v>
      </c>
      <c r="G196" s="44">
        <f t="shared" si="8"/>
        <v>-0.35324239999999996</v>
      </c>
      <c r="H196" s="44">
        <f t="shared" si="8"/>
        <v>-0.54107320000000003</v>
      </c>
      <c r="I196" s="44">
        <f t="shared" si="8"/>
        <v>-0.75988640000000007</v>
      </c>
      <c r="J196" s="44">
        <f t="shared" si="8"/>
        <v>-1</v>
      </c>
    </row>
    <row r="197" spans="1:10" ht="20.100000000000001" customHeight="1" x14ac:dyDescent="0.25">
      <c r="A197" s="43">
        <f t="shared" si="6"/>
        <v>0.08</v>
      </c>
      <c r="B197" s="44">
        <f t="shared" si="8"/>
        <v>-4.3200000000000002E-2</v>
      </c>
      <c r="C197" s="44">
        <f t="shared" si="8"/>
        <v>-4.6261759999999999E-2</v>
      </c>
      <c r="D197" s="44">
        <f t="shared" si="8"/>
        <v>-6.7311360000000015E-2</v>
      </c>
      <c r="E197" s="44">
        <f t="shared" si="8"/>
        <v>-0.12060512</v>
      </c>
      <c r="F197" s="44">
        <f t="shared" si="8"/>
        <v>-0.21638080000000001</v>
      </c>
      <c r="G197" s="44">
        <f t="shared" si="8"/>
        <v>-0.36085760000000006</v>
      </c>
      <c r="H197" s="44">
        <f t="shared" si="8"/>
        <v>-0.5464768000000001</v>
      </c>
      <c r="I197" s="44">
        <f t="shared" si="8"/>
        <v>-0.7627136000000001</v>
      </c>
      <c r="J197" s="44">
        <f t="shared" si="8"/>
        <v>-1</v>
      </c>
    </row>
    <row r="198" spans="1:10" ht="20.100000000000001" customHeight="1" x14ac:dyDescent="0.25">
      <c r="A198" s="43">
        <f t="shared" si="6"/>
        <v>0.1</v>
      </c>
      <c r="B198" s="44">
        <f t="shared" si="8"/>
        <v>-5.5000000000000007E-2</v>
      </c>
      <c r="C198" s="44">
        <f t="shared" si="8"/>
        <v>-5.8024000000000006E-2</v>
      </c>
      <c r="D198" s="44">
        <f t="shared" si="8"/>
        <v>-7.8814000000000009E-2</v>
      </c>
      <c r="E198" s="44">
        <f t="shared" si="8"/>
        <v>-0.13145050000000003</v>
      </c>
      <c r="F198" s="44">
        <f t="shared" si="8"/>
        <v>-0.22604500000000002</v>
      </c>
      <c r="G198" s="44">
        <f t="shared" si="8"/>
        <v>-0.36874000000000001</v>
      </c>
      <c r="H198" s="44">
        <f t="shared" si="8"/>
        <v>-0.55207000000000006</v>
      </c>
      <c r="I198" s="44">
        <f t="shared" si="8"/>
        <v>-0.7656400000000001</v>
      </c>
      <c r="J198" s="44">
        <f t="shared" si="8"/>
        <v>-1</v>
      </c>
    </row>
    <row r="199" spans="1:10" ht="20.100000000000001" customHeight="1" x14ac:dyDescent="0.25">
      <c r="A199" s="43">
        <f t="shared" si="6"/>
        <v>0.12000000000000001</v>
      </c>
      <c r="B199" s="44">
        <f t="shared" si="8"/>
        <v>-6.720000000000001E-2</v>
      </c>
      <c r="C199" s="44">
        <f t="shared" si="8"/>
        <v>-7.0184960000000005E-2</v>
      </c>
      <c r="D199" s="44">
        <f t="shared" si="8"/>
        <v>-9.0706560000000019E-2</v>
      </c>
      <c r="E199" s="44">
        <f t="shared" si="8"/>
        <v>-0.14266352000000002</v>
      </c>
      <c r="F199" s="44">
        <f t="shared" si="8"/>
        <v>-0.23603680000000005</v>
      </c>
      <c r="G199" s="44">
        <f t="shared" si="8"/>
        <v>-0.37688959999999999</v>
      </c>
      <c r="H199" s="44">
        <f t="shared" si="8"/>
        <v>-0.55785280000000004</v>
      </c>
      <c r="I199" s="44">
        <f t="shared" si="8"/>
        <v>-0.76866559999999995</v>
      </c>
      <c r="J199" s="44">
        <f t="shared" si="8"/>
        <v>-1</v>
      </c>
    </row>
    <row r="200" spans="1:10" ht="20.100000000000001" customHeight="1" x14ac:dyDescent="0.25">
      <c r="A200" s="43">
        <f t="shared" si="6"/>
        <v>0.14000000000000001</v>
      </c>
      <c r="B200" s="44">
        <f t="shared" si="8"/>
        <v>-7.980000000000001E-2</v>
      </c>
      <c r="C200" s="44">
        <f t="shared" si="8"/>
        <v>-8.2744640000000022E-2</v>
      </c>
      <c r="D200" s="44">
        <f t="shared" si="8"/>
        <v>-0.10298904</v>
      </c>
      <c r="E200" s="44">
        <f t="shared" si="8"/>
        <v>-0.15424418000000001</v>
      </c>
      <c r="F200" s="44">
        <f t="shared" si="8"/>
        <v>-0.24635620000000003</v>
      </c>
      <c r="G200" s="44">
        <f t="shared" si="8"/>
        <v>-0.38530640000000005</v>
      </c>
      <c r="H200" s="44">
        <f t="shared" si="8"/>
        <v>-0.56382520000000003</v>
      </c>
      <c r="I200" s="44">
        <f t="shared" si="8"/>
        <v>-0.77179039999999999</v>
      </c>
      <c r="J200" s="44">
        <f t="shared" si="8"/>
        <v>-1</v>
      </c>
    </row>
    <row r="201" spans="1:10" ht="20.100000000000001" customHeight="1" x14ac:dyDescent="0.25">
      <c r="A201" s="43">
        <f t="shared" si="6"/>
        <v>0.16</v>
      </c>
      <c r="B201" s="44">
        <f t="shared" si="8"/>
        <v>-9.2800000000000007E-2</v>
      </c>
      <c r="C201" s="44">
        <f t="shared" si="8"/>
        <v>-9.5703040000000017E-2</v>
      </c>
      <c r="D201" s="44">
        <f t="shared" si="8"/>
        <v>-0.11566144000000002</v>
      </c>
      <c r="E201" s="44">
        <f t="shared" si="8"/>
        <v>-0.16619248000000003</v>
      </c>
      <c r="F201" s="44">
        <f t="shared" si="8"/>
        <v>-0.25700319999999999</v>
      </c>
      <c r="G201" s="44">
        <f t="shared" si="8"/>
        <v>-0.39399040000000002</v>
      </c>
      <c r="H201" s="44">
        <f t="shared" si="8"/>
        <v>-0.56998720000000003</v>
      </c>
      <c r="I201" s="44">
        <f t="shared" si="8"/>
        <v>-0.77501439999999999</v>
      </c>
      <c r="J201" s="44">
        <f t="shared" si="8"/>
        <v>-1</v>
      </c>
    </row>
    <row r="202" spans="1:10" ht="20.100000000000001" customHeight="1" x14ac:dyDescent="0.25">
      <c r="A202" s="43">
        <f t="shared" si="6"/>
        <v>0.18</v>
      </c>
      <c r="B202" s="44">
        <f t="shared" si="8"/>
        <v>-0.10619999999999999</v>
      </c>
      <c r="C202" s="44">
        <f t="shared" si="8"/>
        <v>-0.10906015999999999</v>
      </c>
      <c r="D202" s="44">
        <f t="shared" si="8"/>
        <v>-0.12872375999999999</v>
      </c>
      <c r="E202" s="44">
        <f t="shared" si="8"/>
        <v>-0.17850842</v>
      </c>
      <c r="F202" s="44">
        <f t="shared" si="8"/>
        <v>-0.26797779999999993</v>
      </c>
      <c r="G202" s="44">
        <f t="shared" si="8"/>
        <v>-0.40294159999999996</v>
      </c>
      <c r="H202" s="44">
        <f t="shared" si="8"/>
        <v>-0.57633879999999993</v>
      </c>
      <c r="I202" s="44">
        <f t="shared" si="8"/>
        <v>-0.77833760000000007</v>
      </c>
      <c r="J202" s="44">
        <f t="shared" si="8"/>
        <v>-1</v>
      </c>
    </row>
    <row r="203" spans="1:10" ht="20.100000000000001" customHeight="1" x14ac:dyDescent="0.25">
      <c r="A203" s="43">
        <f t="shared" si="6"/>
        <v>0.19999999999999998</v>
      </c>
      <c r="B203" s="44">
        <f t="shared" si="8"/>
        <v>-0.12</v>
      </c>
      <c r="C203" s="44">
        <f t="shared" si="8"/>
        <v>-0.12281599999999999</v>
      </c>
      <c r="D203" s="44">
        <f t="shared" si="8"/>
        <v>-0.142176</v>
      </c>
      <c r="E203" s="44">
        <f t="shared" si="8"/>
        <v>-0.191192</v>
      </c>
      <c r="F203" s="44">
        <f t="shared" si="8"/>
        <v>-0.27928000000000003</v>
      </c>
      <c r="G203" s="44">
        <f t="shared" si="8"/>
        <v>-0.41216000000000008</v>
      </c>
      <c r="H203" s="44">
        <f t="shared" si="8"/>
        <v>-0.58288000000000006</v>
      </c>
      <c r="I203" s="44">
        <f t="shared" si="8"/>
        <v>-0.78176000000000001</v>
      </c>
      <c r="J203" s="44">
        <f t="shared" si="8"/>
        <v>-1</v>
      </c>
    </row>
    <row r="204" spans="1:10" ht="20.100000000000001" customHeight="1" x14ac:dyDescent="0.25">
      <c r="A204" s="43">
        <f t="shared" si="6"/>
        <v>0.21999999999999997</v>
      </c>
      <c r="B204" s="44">
        <f t="shared" si="8"/>
        <v>-0.13419999999999999</v>
      </c>
      <c r="C204" s="44">
        <f t="shared" si="8"/>
        <v>-0.13697055999999999</v>
      </c>
      <c r="D204" s="44">
        <f t="shared" si="8"/>
        <v>-0.15601815999999999</v>
      </c>
      <c r="E204" s="44">
        <f t="shared" si="8"/>
        <v>-0.20424321999999998</v>
      </c>
      <c r="F204" s="44">
        <f t="shared" si="8"/>
        <v>-0.2909098</v>
      </c>
      <c r="G204" s="44">
        <f t="shared" si="8"/>
        <v>-0.42164559999999995</v>
      </c>
      <c r="H204" s="44">
        <f t="shared" si="8"/>
        <v>-0.58961079999999999</v>
      </c>
      <c r="I204" s="44">
        <f t="shared" si="8"/>
        <v>-0.78528160000000002</v>
      </c>
      <c r="J204" s="44">
        <f t="shared" si="8"/>
        <v>-1</v>
      </c>
    </row>
    <row r="205" spans="1:10" ht="20.100000000000001" customHeight="1" x14ac:dyDescent="0.25">
      <c r="A205" s="43">
        <f t="shared" si="6"/>
        <v>0.23999999999999996</v>
      </c>
      <c r="B205" s="44">
        <f t="shared" si="8"/>
        <v>-0.14879999999999999</v>
      </c>
      <c r="C205" s="44">
        <f t="shared" si="8"/>
        <v>-0.15152383999999999</v>
      </c>
      <c r="D205" s="44">
        <f t="shared" si="8"/>
        <v>-0.17025024</v>
      </c>
      <c r="E205" s="44">
        <f t="shared" si="8"/>
        <v>-0.21766207999999998</v>
      </c>
      <c r="F205" s="44">
        <f t="shared" si="8"/>
        <v>-0.3028672</v>
      </c>
      <c r="G205" s="44">
        <f t="shared" si="8"/>
        <v>-0.43139840000000007</v>
      </c>
      <c r="H205" s="44">
        <f t="shared" si="8"/>
        <v>-0.59653120000000004</v>
      </c>
      <c r="I205" s="44">
        <f t="shared" si="8"/>
        <v>-0.7889024</v>
      </c>
      <c r="J205" s="44">
        <f t="shared" si="8"/>
        <v>-1</v>
      </c>
    </row>
    <row r="206" spans="1:10" ht="20.100000000000001" customHeight="1" x14ac:dyDescent="0.25">
      <c r="A206" s="43">
        <f t="shared" ref="A206:A209" si="9">A135</f>
        <v>0.25999999999999995</v>
      </c>
      <c r="B206" s="44">
        <f t="shared" si="8"/>
        <v>-0.1638</v>
      </c>
      <c r="C206" s="44">
        <f t="shared" si="8"/>
        <v>-0.16647583999999999</v>
      </c>
      <c r="D206" s="44">
        <f t="shared" si="8"/>
        <v>-0.18487223999999997</v>
      </c>
      <c r="E206" s="44">
        <f t="shared" si="8"/>
        <v>-0.23144857999999999</v>
      </c>
      <c r="F206" s="44">
        <f t="shared" si="8"/>
        <v>-0.31515219999999999</v>
      </c>
      <c r="G206" s="44">
        <f t="shared" si="8"/>
        <v>-0.44141840000000004</v>
      </c>
      <c r="H206" s="44">
        <f t="shared" si="8"/>
        <v>-0.60364119999999999</v>
      </c>
      <c r="I206" s="44">
        <f t="shared" si="8"/>
        <v>-0.79262240000000006</v>
      </c>
      <c r="J206" s="44">
        <f t="shared" si="8"/>
        <v>-1</v>
      </c>
    </row>
    <row r="207" spans="1:10" ht="20.100000000000001" customHeight="1" x14ac:dyDescent="0.25">
      <c r="A207" s="43">
        <f t="shared" si="9"/>
        <v>0.27999999999999997</v>
      </c>
      <c r="B207" s="44">
        <f t="shared" si="8"/>
        <v>-0.17919999999999997</v>
      </c>
      <c r="C207" s="44">
        <f t="shared" si="8"/>
        <v>-0.18182655999999997</v>
      </c>
      <c r="D207" s="44">
        <f t="shared" si="8"/>
        <v>-0.19988415999999998</v>
      </c>
      <c r="E207" s="44">
        <f t="shared" si="8"/>
        <v>-0.24560271999999997</v>
      </c>
      <c r="F207" s="44">
        <f t="shared" si="8"/>
        <v>-0.32776479999999997</v>
      </c>
      <c r="G207" s="44">
        <f t="shared" si="8"/>
        <v>-0.45170559999999993</v>
      </c>
      <c r="H207" s="44">
        <f t="shared" si="8"/>
        <v>-0.61094080000000006</v>
      </c>
      <c r="I207" s="44">
        <f t="shared" si="8"/>
        <v>-0.79644159999999997</v>
      </c>
      <c r="J207" s="44">
        <f t="shared" si="8"/>
        <v>-1</v>
      </c>
    </row>
    <row r="208" spans="1:10" ht="20.100000000000001" customHeight="1" x14ac:dyDescent="0.25">
      <c r="A208" s="43">
        <f t="shared" si="9"/>
        <v>0.3</v>
      </c>
      <c r="B208" s="44">
        <f t="shared" si="8"/>
        <v>-0.19500000000000001</v>
      </c>
      <c r="C208" s="44">
        <f t="shared" si="8"/>
        <v>-0.197576</v>
      </c>
      <c r="D208" s="44">
        <f t="shared" si="8"/>
        <v>-0.21528600000000001</v>
      </c>
      <c r="E208" s="44">
        <f t="shared" si="8"/>
        <v>-0.26012450000000004</v>
      </c>
      <c r="F208" s="44">
        <f t="shared" si="8"/>
        <v>-0.34070500000000004</v>
      </c>
      <c r="G208" s="44">
        <f t="shared" si="8"/>
        <v>-0.46226</v>
      </c>
      <c r="H208" s="44">
        <f t="shared" si="8"/>
        <v>-0.61843000000000004</v>
      </c>
      <c r="I208" s="44">
        <f t="shared" si="8"/>
        <v>-0.80035999999999996</v>
      </c>
      <c r="J208" s="44">
        <f t="shared" si="8"/>
        <v>-1</v>
      </c>
    </row>
    <row r="209" spans="1:10" ht="20.100000000000001" customHeight="1" x14ac:dyDescent="0.25">
      <c r="A209" s="43">
        <f t="shared" si="9"/>
        <v>0.32</v>
      </c>
      <c r="B209" s="44">
        <f t="shared" si="8"/>
        <v>-0.2112</v>
      </c>
      <c r="C209" s="44">
        <f t="shared" si="8"/>
        <v>-0.21372416000000002</v>
      </c>
      <c r="D209" s="44">
        <f t="shared" si="8"/>
        <v>-0.23107776000000002</v>
      </c>
      <c r="E209" s="44">
        <f t="shared" si="8"/>
        <v>-0.27501392000000002</v>
      </c>
      <c r="F209" s="44">
        <f t="shared" si="8"/>
        <v>-0.35397280000000003</v>
      </c>
      <c r="G209" s="44">
        <f t="shared" si="8"/>
        <v>-0.47308159999999999</v>
      </c>
      <c r="H209" s="44">
        <f t="shared" si="8"/>
        <v>-0.62610879999999991</v>
      </c>
      <c r="I209" s="44">
        <f t="shared" si="8"/>
        <v>-0.80437760000000003</v>
      </c>
      <c r="J209" s="44">
        <f t="shared" si="8"/>
        <v>-1</v>
      </c>
    </row>
    <row r="210" spans="1:10" ht="20.100000000000001" customHeight="1" x14ac:dyDescent="0.25">
      <c r="A210" s="43">
        <f>A139</f>
        <v>0.34</v>
      </c>
      <c r="B210" s="44">
        <f t="shared" ref="B210:J225" si="10">-(B139/100)</f>
        <v>-0.22780000000000006</v>
      </c>
      <c r="C210" s="44">
        <f t="shared" si="10"/>
        <v>-0.23027104000000004</v>
      </c>
      <c r="D210" s="44">
        <f t="shared" si="10"/>
        <v>-0.24725944000000005</v>
      </c>
      <c r="E210" s="44">
        <f t="shared" si="10"/>
        <v>-0.29027098000000001</v>
      </c>
      <c r="F210" s="44">
        <f t="shared" si="10"/>
        <v>-0.36756820000000007</v>
      </c>
      <c r="G210" s="44">
        <f t="shared" si="10"/>
        <v>-0.48417040000000006</v>
      </c>
      <c r="H210" s="44">
        <f t="shared" si="10"/>
        <v>-0.63397720000000002</v>
      </c>
      <c r="I210" s="44">
        <f t="shared" si="10"/>
        <v>-0.80849440000000017</v>
      </c>
      <c r="J210" s="44">
        <f t="shared" si="10"/>
        <v>-1</v>
      </c>
    </row>
    <row r="211" spans="1:10" ht="20.100000000000001" customHeight="1" x14ac:dyDescent="0.25">
      <c r="A211" s="43">
        <f t="shared" ref="A211:A225" si="11">A140</f>
        <v>0.36000000000000004</v>
      </c>
      <c r="B211" s="44">
        <f t="shared" si="10"/>
        <v>-0.24480000000000002</v>
      </c>
      <c r="C211" s="44">
        <f t="shared" si="10"/>
        <v>-0.24721664000000002</v>
      </c>
      <c r="D211" s="44">
        <f t="shared" si="10"/>
        <v>-0.26383104000000002</v>
      </c>
      <c r="E211" s="44">
        <f t="shared" si="10"/>
        <v>-0.30589568</v>
      </c>
      <c r="F211" s="44">
        <f t="shared" si="10"/>
        <v>-0.38149119999999997</v>
      </c>
      <c r="G211" s="44">
        <f t="shared" si="10"/>
        <v>-0.49552639999999998</v>
      </c>
      <c r="H211" s="44">
        <f t="shared" si="10"/>
        <v>-0.64203520000000003</v>
      </c>
      <c r="I211" s="44">
        <f t="shared" si="10"/>
        <v>-0.81271039999999994</v>
      </c>
      <c r="J211" s="44">
        <f t="shared" si="10"/>
        <v>-1</v>
      </c>
    </row>
    <row r="212" spans="1:10" ht="20.100000000000001" customHeight="1" x14ac:dyDescent="0.25">
      <c r="A212" s="43">
        <f t="shared" si="11"/>
        <v>0.38000000000000006</v>
      </c>
      <c r="B212" s="44">
        <f t="shared" si="10"/>
        <v>-0.26220000000000004</v>
      </c>
      <c r="C212" s="44">
        <f t="shared" si="10"/>
        <v>-0.26456096000000007</v>
      </c>
      <c r="D212" s="44">
        <f t="shared" si="10"/>
        <v>-0.28079256000000002</v>
      </c>
      <c r="E212" s="44">
        <f t="shared" si="10"/>
        <v>-0.32188802000000005</v>
      </c>
      <c r="F212" s="44">
        <f t="shared" si="10"/>
        <v>-0.39574180000000003</v>
      </c>
      <c r="G212" s="44">
        <f t="shared" si="10"/>
        <v>-0.50714960000000009</v>
      </c>
      <c r="H212" s="44">
        <f t="shared" si="10"/>
        <v>-0.65028279999999994</v>
      </c>
      <c r="I212" s="44">
        <f t="shared" si="10"/>
        <v>-0.81702560000000002</v>
      </c>
      <c r="J212" s="44">
        <f t="shared" si="10"/>
        <v>-1</v>
      </c>
    </row>
    <row r="213" spans="1:10" ht="20.100000000000001" customHeight="1" x14ac:dyDescent="0.25">
      <c r="A213" s="43">
        <f t="shared" si="11"/>
        <v>0.40000000000000008</v>
      </c>
      <c r="B213" s="44">
        <f t="shared" si="10"/>
        <v>-0.28000000000000008</v>
      </c>
      <c r="C213" s="44">
        <f t="shared" si="10"/>
        <v>-0.28230400000000005</v>
      </c>
      <c r="D213" s="44">
        <f t="shared" si="10"/>
        <v>-0.29814400000000008</v>
      </c>
      <c r="E213" s="44">
        <f t="shared" si="10"/>
        <v>-0.3382480000000001</v>
      </c>
      <c r="F213" s="44">
        <f t="shared" si="10"/>
        <v>-0.41032000000000013</v>
      </c>
      <c r="G213" s="44">
        <f t="shared" si="10"/>
        <v>-0.51904000000000006</v>
      </c>
      <c r="H213" s="44">
        <f t="shared" si="10"/>
        <v>-0.65872000000000019</v>
      </c>
      <c r="I213" s="44">
        <f t="shared" si="10"/>
        <v>-0.82144000000000006</v>
      </c>
      <c r="J213" s="44">
        <f t="shared" si="10"/>
        <v>-1</v>
      </c>
    </row>
    <row r="214" spans="1:10" ht="20.100000000000001" customHeight="1" x14ac:dyDescent="0.25">
      <c r="A214" s="43">
        <f t="shared" si="11"/>
        <v>0.4200000000000001</v>
      </c>
      <c r="B214" s="44">
        <f t="shared" si="10"/>
        <v>-0.29820000000000008</v>
      </c>
      <c r="C214" s="44">
        <f t="shared" si="10"/>
        <v>-0.30044576000000006</v>
      </c>
      <c r="D214" s="44">
        <f t="shared" si="10"/>
        <v>-0.31588536000000006</v>
      </c>
      <c r="E214" s="44">
        <f t="shared" si="10"/>
        <v>-0.3549756200000001</v>
      </c>
      <c r="F214" s="44">
        <f t="shared" si="10"/>
        <v>-0.42522580000000004</v>
      </c>
      <c r="G214" s="44">
        <f t="shared" si="10"/>
        <v>-0.53119760000000016</v>
      </c>
      <c r="H214" s="44">
        <f t="shared" si="10"/>
        <v>-0.66734680000000002</v>
      </c>
      <c r="I214" s="44">
        <f t="shared" si="10"/>
        <v>-0.82595359999999995</v>
      </c>
      <c r="J214" s="44">
        <f t="shared" si="10"/>
        <v>-1</v>
      </c>
    </row>
    <row r="215" spans="1:10" ht="20.100000000000001" customHeight="1" x14ac:dyDescent="0.25">
      <c r="A215" s="43">
        <f t="shared" si="11"/>
        <v>0.44000000000000011</v>
      </c>
      <c r="B215" s="44">
        <f t="shared" si="10"/>
        <v>-0.31680000000000008</v>
      </c>
      <c r="C215" s="44">
        <f t="shared" si="10"/>
        <v>-0.31898624000000003</v>
      </c>
      <c r="D215" s="44">
        <f t="shared" si="10"/>
        <v>-0.33401664000000003</v>
      </c>
      <c r="E215" s="44">
        <f t="shared" si="10"/>
        <v>-0.37207088000000005</v>
      </c>
      <c r="F215" s="44">
        <f t="shared" si="10"/>
        <v>-0.44045920000000011</v>
      </c>
      <c r="G215" s="44">
        <f t="shared" si="10"/>
        <v>-0.54362240000000006</v>
      </c>
      <c r="H215" s="44">
        <f t="shared" si="10"/>
        <v>-0.67616319999999996</v>
      </c>
      <c r="I215" s="44">
        <f t="shared" si="10"/>
        <v>-0.83056640000000004</v>
      </c>
      <c r="J215" s="44">
        <f t="shared" si="10"/>
        <v>-1</v>
      </c>
    </row>
    <row r="216" spans="1:10" ht="20.100000000000001" customHeight="1" x14ac:dyDescent="0.25">
      <c r="A216" s="43">
        <f t="shared" si="11"/>
        <v>0.46000000000000013</v>
      </c>
      <c r="B216" s="44">
        <f t="shared" si="10"/>
        <v>-0.3358000000000001</v>
      </c>
      <c r="C216" s="44">
        <f t="shared" si="10"/>
        <v>-0.33792544000000013</v>
      </c>
      <c r="D216" s="44">
        <f t="shared" si="10"/>
        <v>-0.3525378400000001</v>
      </c>
      <c r="E216" s="44">
        <f t="shared" si="10"/>
        <v>-0.38953378000000016</v>
      </c>
      <c r="F216" s="44">
        <f t="shared" si="10"/>
        <v>-0.4560202000000001</v>
      </c>
      <c r="G216" s="44">
        <f t="shared" si="10"/>
        <v>-0.5563144000000001</v>
      </c>
      <c r="H216" s="44">
        <f t="shared" si="10"/>
        <v>-0.68516920000000003</v>
      </c>
      <c r="I216" s="44">
        <f t="shared" si="10"/>
        <v>-0.83527840000000009</v>
      </c>
      <c r="J216" s="44">
        <f t="shared" si="10"/>
        <v>-1</v>
      </c>
    </row>
    <row r="217" spans="1:10" ht="20.100000000000001" customHeight="1" x14ac:dyDescent="0.25">
      <c r="A217" s="43">
        <f t="shared" si="11"/>
        <v>0.48000000000000015</v>
      </c>
      <c r="B217" s="44">
        <f t="shared" si="10"/>
        <v>-0.35520000000000013</v>
      </c>
      <c r="C217" s="44">
        <f t="shared" si="10"/>
        <v>-0.35726336000000009</v>
      </c>
      <c r="D217" s="44">
        <f t="shared" si="10"/>
        <v>-0.37144896000000011</v>
      </c>
      <c r="E217" s="44">
        <f t="shared" si="10"/>
        <v>-0.40736432000000006</v>
      </c>
      <c r="F217" s="44">
        <f t="shared" si="10"/>
        <v>-0.47190880000000007</v>
      </c>
      <c r="G217" s="44">
        <f t="shared" si="10"/>
        <v>-0.56927360000000005</v>
      </c>
      <c r="H217" s="44">
        <f t="shared" si="10"/>
        <v>-0.69436480000000023</v>
      </c>
      <c r="I217" s="44">
        <f t="shared" si="10"/>
        <v>-0.84008959999999999</v>
      </c>
      <c r="J217" s="44">
        <f t="shared" si="10"/>
        <v>-1</v>
      </c>
    </row>
    <row r="218" spans="1:10" ht="20.100000000000001" customHeight="1" x14ac:dyDescent="0.25">
      <c r="A218" s="43">
        <f t="shared" si="11"/>
        <v>0.50000000000000011</v>
      </c>
      <c r="B218" s="44">
        <f t="shared" si="10"/>
        <v>-0.37500000000000017</v>
      </c>
      <c r="C218" s="44">
        <f t="shared" si="10"/>
        <v>-0.37700000000000017</v>
      </c>
      <c r="D218" s="44">
        <f t="shared" si="10"/>
        <v>-0.39075000000000015</v>
      </c>
      <c r="E218" s="44">
        <f t="shared" si="10"/>
        <v>-0.42556250000000012</v>
      </c>
      <c r="F218" s="44">
        <f t="shared" si="10"/>
        <v>-0.48812500000000014</v>
      </c>
      <c r="G218" s="44">
        <f t="shared" si="10"/>
        <v>-0.58250000000000013</v>
      </c>
      <c r="H218" s="44">
        <f t="shared" si="10"/>
        <v>-0.70374999999999999</v>
      </c>
      <c r="I218" s="44">
        <f t="shared" si="10"/>
        <v>-0.84499999999999997</v>
      </c>
      <c r="J218" s="44">
        <f t="shared" si="10"/>
        <v>-1</v>
      </c>
    </row>
    <row r="219" spans="1:10" ht="20.100000000000001" customHeight="1" x14ac:dyDescent="0.25">
      <c r="A219" s="43">
        <f t="shared" si="11"/>
        <v>0.52000000000000013</v>
      </c>
      <c r="B219" s="44">
        <f t="shared" si="10"/>
        <v>-0.39520000000000011</v>
      </c>
      <c r="C219" s="44">
        <f t="shared" si="10"/>
        <v>-0.3971353600000001</v>
      </c>
      <c r="D219" s="44">
        <f t="shared" si="10"/>
        <v>-0.41044096000000008</v>
      </c>
      <c r="E219" s="44">
        <f t="shared" si="10"/>
        <v>-0.44412832000000008</v>
      </c>
      <c r="F219" s="44">
        <f t="shared" si="10"/>
        <v>-0.50466880000000014</v>
      </c>
      <c r="G219" s="44">
        <f t="shared" si="10"/>
        <v>-0.59599360000000001</v>
      </c>
      <c r="H219" s="44">
        <f t="shared" si="10"/>
        <v>-0.71332480000000009</v>
      </c>
      <c r="I219" s="44">
        <f t="shared" si="10"/>
        <v>-0.85000960000000003</v>
      </c>
      <c r="J219" s="44">
        <f t="shared" si="10"/>
        <v>-1</v>
      </c>
    </row>
    <row r="220" spans="1:10" ht="20.100000000000001" customHeight="1" x14ac:dyDescent="0.25">
      <c r="A220" s="43">
        <f t="shared" si="11"/>
        <v>0.54000000000000015</v>
      </c>
      <c r="B220" s="44">
        <f t="shared" si="10"/>
        <v>-0.41580000000000017</v>
      </c>
      <c r="C220" s="44">
        <f t="shared" si="10"/>
        <v>-0.41766944000000017</v>
      </c>
      <c r="D220" s="44">
        <f t="shared" si="10"/>
        <v>-0.43052184000000016</v>
      </c>
      <c r="E220" s="44">
        <f t="shared" si="10"/>
        <v>-0.46306178000000014</v>
      </c>
      <c r="F220" s="44">
        <f t="shared" si="10"/>
        <v>-0.52154020000000012</v>
      </c>
      <c r="G220" s="44">
        <f t="shared" si="10"/>
        <v>-0.60975440000000014</v>
      </c>
      <c r="H220" s="44">
        <f t="shared" si="10"/>
        <v>-0.72308919999999999</v>
      </c>
      <c r="I220" s="44">
        <f t="shared" si="10"/>
        <v>-0.85511840000000006</v>
      </c>
      <c r="J220" s="44">
        <f t="shared" si="10"/>
        <v>-1</v>
      </c>
    </row>
    <row r="221" spans="1:10" ht="20.100000000000001" customHeight="1" x14ac:dyDescent="0.25">
      <c r="A221" s="43">
        <f t="shared" si="11"/>
        <v>0.56000000000000016</v>
      </c>
      <c r="B221" s="44">
        <f t="shared" si="10"/>
        <v>-0.43680000000000019</v>
      </c>
      <c r="C221" s="44">
        <f t="shared" si="10"/>
        <v>-0.43860224000000025</v>
      </c>
      <c r="D221" s="44">
        <f t="shared" si="10"/>
        <v>-0.45099264000000017</v>
      </c>
      <c r="E221" s="44">
        <f t="shared" si="10"/>
        <v>-0.48236288000000016</v>
      </c>
      <c r="F221" s="44">
        <f t="shared" si="10"/>
        <v>-0.5387392000000002</v>
      </c>
      <c r="G221" s="44">
        <f t="shared" si="10"/>
        <v>-0.62378240000000018</v>
      </c>
      <c r="H221" s="44">
        <f t="shared" si="10"/>
        <v>-0.73304320000000023</v>
      </c>
      <c r="I221" s="44">
        <f t="shared" si="10"/>
        <v>-0.86032640000000005</v>
      </c>
      <c r="J221" s="44">
        <f t="shared" si="10"/>
        <v>-1</v>
      </c>
    </row>
    <row r="222" spans="1:10" ht="20.100000000000001" customHeight="1" x14ac:dyDescent="0.25">
      <c r="A222" s="43">
        <f t="shared" si="11"/>
        <v>0.58000000000000018</v>
      </c>
      <c r="B222" s="44">
        <f t="shared" si="10"/>
        <v>-0.45820000000000016</v>
      </c>
      <c r="C222" s="44">
        <f t="shared" si="10"/>
        <v>-0.45993376000000014</v>
      </c>
      <c r="D222" s="44">
        <f t="shared" si="10"/>
        <v>-0.47185336000000011</v>
      </c>
      <c r="E222" s="44">
        <f t="shared" si="10"/>
        <v>-0.50203162000000012</v>
      </c>
      <c r="F222" s="44">
        <f t="shared" si="10"/>
        <v>-0.55626580000000014</v>
      </c>
      <c r="G222" s="44">
        <f t="shared" si="10"/>
        <v>-0.63807760000000013</v>
      </c>
      <c r="H222" s="44">
        <f t="shared" si="10"/>
        <v>-0.74318680000000004</v>
      </c>
      <c r="I222" s="44">
        <f t="shared" si="10"/>
        <v>-0.8656336</v>
      </c>
      <c r="J222" s="44">
        <f t="shared" si="10"/>
        <v>-1</v>
      </c>
    </row>
    <row r="223" spans="1:10" ht="20.100000000000001" customHeight="1" x14ac:dyDescent="0.25">
      <c r="A223" s="43">
        <f t="shared" si="11"/>
        <v>0.6000000000000002</v>
      </c>
      <c r="B223" s="44">
        <f t="shared" si="10"/>
        <v>-0.4800000000000002</v>
      </c>
      <c r="C223" s="44">
        <f t="shared" si="10"/>
        <v>-0.48166400000000026</v>
      </c>
      <c r="D223" s="44">
        <f t="shared" si="10"/>
        <v>-0.49310400000000021</v>
      </c>
      <c r="E223" s="44">
        <f t="shared" si="10"/>
        <v>-0.5220680000000002</v>
      </c>
      <c r="F223" s="44">
        <f t="shared" si="10"/>
        <v>-0.57412000000000019</v>
      </c>
      <c r="G223" s="44">
        <f t="shared" si="10"/>
        <v>-0.65264000000000011</v>
      </c>
      <c r="H223" s="44">
        <f t="shared" si="10"/>
        <v>-0.75352000000000008</v>
      </c>
      <c r="I223" s="44">
        <f t="shared" si="10"/>
        <v>-0.87104000000000015</v>
      </c>
      <c r="J223" s="44">
        <f t="shared" si="10"/>
        <v>-1</v>
      </c>
    </row>
    <row r="224" spans="1:10" ht="20.100000000000001" customHeight="1" x14ac:dyDescent="0.25">
      <c r="A224" s="43">
        <f t="shared" si="11"/>
        <v>0.62000000000000022</v>
      </c>
      <c r="B224" s="44">
        <f t="shared" si="10"/>
        <v>-0.5022000000000002</v>
      </c>
      <c r="C224" s="44">
        <f t="shared" si="10"/>
        <v>-0.50379296000000018</v>
      </c>
      <c r="D224" s="44">
        <f t="shared" si="10"/>
        <v>-0.51474456000000013</v>
      </c>
      <c r="E224" s="44">
        <f t="shared" si="10"/>
        <v>-0.54247202000000017</v>
      </c>
      <c r="F224" s="44">
        <f t="shared" si="10"/>
        <v>-0.59230180000000021</v>
      </c>
      <c r="G224" s="44">
        <f t="shared" si="10"/>
        <v>-0.66746960000000011</v>
      </c>
      <c r="H224" s="44">
        <f t="shared" si="10"/>
        <v>-0.76404280000000013</v>
      </c>
      <c r="I224" s="44">
        <f t="shared" si="10"/>
        <v>-0.87654560000000004</v>
      </c>
      <c r="J224" s="44">
        <f t="shared" si="10"/>
        <v>-1</v>
      </c>
    </row>
    <row r="225" spans="1:10" ht="20.100000000000001" customHeight="1" x14ac:dyDescent="0.25">
      <c r="A225" s="43">
        <f t="shared" si="11"/>
        <v>0.64000000000000024</v>
      </c>
      <c r="B225" s="44">
        <f t="shared" si="10"/>
        <v>-0.52480000000000027</v>
      </c>
      <c r="C225" s="44">
        <f t="shared" si="10"/>
        <v>-0.52632064000000023</v>
      </c>
      <c r="D225" s="44">
        <f t="shared" si="10"/>
        <v>-0.53677504000000031</v>
      </c>
      <c r="E225" s="44">
        <f t="shared" si="10"/>
        <v>-0.56324368000000025</v>
      </c>
      <c r="F225" s="44">
        <f t="shared" si="10"/>
        <v>-0.61081120000000022</v>
      </c>
      <c r="G225" s="44">
        <f t="shared" si="10"/>
        <v>-0.68256640000000024</v>
      </c>
      <c r="H225" s="44">
        <f t="shared" si="10"/>
        <v>-0.7747552000000002</v>
      </c>
      <c r="I225" s="44">
        <f t="shared" si="10"/>
        <v>-0.88215040000000011</v>
      </c>
      <c r="J225" s="44">
        <f t="shared" si="10"/>
        <v>-1</v>
      </c>
    </row>
    <row r="226" spans="1:10" ht="20.100000000000001" customHeight="1" x14ac:dyDescent="0.25">
      <c r="A226" s="43">
        <f>A155</f>
        <v>0.66000000000000025</v>
      </c>
      <c r="B226" s="44">
        <f t="shared" ref="B226:J241" si="12">-(B155/100)</f>
        <v>-0.54780000000000029</v>
      </c>
      <c r="C226" s="44">
        <f t="shared" si="12"/>
        <v>-0.54924704000000024</v>
      </c>
      <c r="D226" s="44">
        <f t="shared" si="12"/>
        <v>-0.55919544000000032</v>
      </c>
      <c r="E226" s="44">
        <f t="shared" si="12"/>
        <v>-0.58438298000000022</v>
      </c>
      <c r="F226" s="44">
        <f t="shared" si="12"/>
        <v>-0.62964820000000021</v>
      </c>
      <c r="G226" s="44">
        <f t="shared" si="12"/>
        <v>-0.69793040000000017</v>
      </c>
      <c r="H226" s="44">
        <f t="shared" si="12"/>
        <v>-0.78565720000000017</v>
      </c>
      <c r="I226" s="44">
        <f t="shared" si="12"/>
        <v>-0.88785440000000004</v>
      </c>
      <c r="J226" s="44">
        <f t="shared" si="12"/>
        <v>-1</v>
      </c>
    </row>
    <row r="227" spans="1:10" ht="20.100000000000001" customHeight="1" x14ac:dyDescent="0.25">
      <c r="A227" s="43">
        <f t="shared" ref="A227:A243" si="13">A156</f>
        <v>0.68000000000000027</v>
      </c>
      <c r="B227" s="44">
        <f t="shared" si="12"/>
        <v>-0.57120000000000037</v>
      </c>
      <c r="C227" s="44">
        <f t="shared" si="12"/>
        <v>-0.57257216000000044</v>
      </c>
      <c r="D227" s="44">
        <f t="shared" si="12"/>
        <v>-0.58200576000000037</v>
      </c>
      <c r="E227" s="44">
        <f t="shared" si="12"/>
        <v>-0.6058899200000003</v>
      </c>
      <c r="F227" s="44">
        <f t="shared" si="12"/>
        <v>-0.6488128000000003</v>
      </c>
      <c r="G227" s="44">
        <f t="shared" si="12"/>
        <v>-0.71356160000000035</v>
      </c>
      <c r="H227" s="44">
        <f t="shared" si="12"/>
        <v>-0.79674880000000015</v>
      </c>
      <c r="I227" s="44">
        <f t="shared" si="12"/>
        <v>-0.89365760000000027</v>
      </c>
      <c r="J227" s="44">
        <f t="shared" si="12"/>
        <v>-1</v>
      </c>
    </row>
    <row r="228" spans="1:10" ht="20.100000000000001" customHeight="1" x14ac:dyDescent="0.25">
      <c r="A228" s="43">
        <f t="shared" si="13"/>
        <v>0.70000000000000029</v>
      </c>
      <c r="B228" s="44">
        <f t="shared" si="12"/>
        <v>-0.59500000000000031</v>
      </c>
      <c r="C228" s="44">
        <f t="shared" si="12"/>
        <v>-0.59629600000000027</v>
      </c>
      <c r="D228" s="44">
        <f t="shared" si="12"/>
        <v>-0.60520600000000035</v>
      </c>
      <c r="E228" s="44">
        <f t="shared" si="12"/>
        <v>-0.62776450000000028</v>
      </c>
      <c r="F228" s="44">
        <f t="shared" si="12"/>
        <v>-0.66830500000000026</v>
      </c>
      <c r="G228" s="44">
        <f t="shared" si="12"/>
        <v>-0.72946000000000022</v>
      </c>
      <c r="H228" s="44">
        <f t="shared" si="12"/>
        <v>-0.80803000000000014</v>
      </c>
      <c r="I228" s="44">
        <f t="shared" si="12"/>
        <v>-0.89956000000000014</v>
      </c>
      <c r="J228" s="44">
        <f t="shared" si="12"/>
        <v>-1</v>
      </c>
    </row>
    <row r="229" spans="1:10" ht="20.100000000000001" customHeight="1" x14ac:dyDescent="0.25">
      <c r="A229" s="43">
        <f t="shared" si="13"/>
        <v>0.72000000000000031</v>
      </c>
      <c r="B229" s="44">
        <f t="shared" si="12"/>
        <v>-0.61920000000000042</v>
      </c>
      <c r="C229" s="44">
        <f t="shared" si="12"/>
        <v>-0.62041856000000051</v>
      </c>
      <c r="D229" s="44">
        <f t="shared" si="12"/>
        <v>-0.62879616000000038</v>
      </c>
      <c r="E229" s="44">
        <f t="shared" si="12"/>
        <v>-0.65000672000000037</v>
      </c>
      <c r="F229" s="44">
        <f t="shared" si="12"/>
        <v>-0.68812480000000031</v>
      </c>
      <c r="G229" s="44">
        <f t="shared" si="12"/>
        <v>-0.74562560000000033</v>
      </c>
      <c r="H229" s="44">
        <f t="shared" si="12"/>
        <v>-0.81950080000000014</v>
      </c>
      <c r="I229" s="44">
        <f t="shared" si="12"/>
        <v>-0.90556160000000008</v>
      </c>
      <c r="J229" s="44">
        <f t="shared" si="12"/>
        <v>-1</v>
      </c>
    </row>
    <row r="230" spans="1:10" ht="20.100000000000001" customHeight="1" x14ac:dyDescent="0.25">
      <c r="A230" s="43">
        <f t="shared" si="13"/>
        <v>0.74000000000000032</v>
      </c>
      <c r="B230" s="44">
        <f t="shared" si="12"/>
        <v>-0.64380000000000037</v>
      </c>
      <c r="C230" s="44">
        <f t="shared" si="12"/>
        <v>-0.64493984000000038</v>
      </c>
      <c r="D230" s="44">
        <f t="shared" si="12"/>
        <v>-0.65277624000000034</v>
      </c>
      <c r="E230" s="44">
        <f t="shared" si="12"/>
        <v>-0.67261658000000035</v>
      </c>
      <c r="F230" s="44">
        <f t="shared" si="12"/>
        <v>-0.70827220000000035</v>
      </c>
      <c r="G230" s="44">
        <f t="shared" si="12"/>
        <v>-0.76205840000000025</v>
      </c>
      <c r="H230" s="44">
        <f t="shared" si="12"/>
        <v>-0.83116120000000027</v>
      </c>
      <c r="I230" s="44">
        <f t="shared" si="12"/>
        <v>-0.91166240000000021</v>
      </c>
      <c r="J230" s="44">
        <f t="shared" si="12"/>
        <v>-1</v>
      </c>
    </row>
    <row r="231" spans="1:10" ht="20.100000000000001" customHeight="1" x14ac:dyDescent="0.25">
      <c r="A231" s="43">
        <f t="shared" si="13"/>
        <v>0.76000000000000034</v>
      </c>
      <c r="B231" s="44">
        <f t="shared" si="12"/>
        <v>-0.66880000000000051</v>
      </c>
      <c r="C231" s="44">
        <f t="shared" si="12"/>
        <v>-0.66985984000000054</v>
      </c>
      <c r="D231" s="44">
        <f t="shared" si="12"/>
        <v>-0.67714624000000057</v>
      </c>
      <c r="E231" s="44">
        <f t="shared" si="12"/>
        <v>-0.69559408000000045</v>
      </c>
      <c r="F231" s="44">
        <f t="shared" si="12"/>
        <v>-0.72874720000000037</v>
      </c>
      <c r="G231" s="44">
        <f t="shared" si="12"/>
        <v>-0.77875840000000041</v>
      </c>
      <c r="H231" s="44">
        <f t="shared" si="12"/>
        <v>-0.84301120000000029</v>
      </c>
      <c r="I231" s="44">
        <f t="shared" si="12"/>
        <v>-0.91786240000000019</v>
      </c>
      <c r="J231" s="44">
        <f t="shared" si="12"/>
        <v>-1</v>
      </c>
    </row>
    <row r="232" spans="1:10" ht="20.100000000000001" customHeight="1" x14ac:dyDescent="0.25">
      <c r="A232" s="43">
        <f t="shared" si="13"/>
        <v>0.78000000000000036</v>
      </c>
      <c r="B232" s="44">
        <f t="shared" si="12"/>
        <v>-0.69420000000000048</v>
      </c>
      <c r="C232" s="44">
        <f t="shared" si="12"/>
        <v>-0.69517856000000033</v>
      </c>
      <c r="D232" s="44">
        <f t="shared" si="12"/>
        <v>-0.7019061600000005</v>
      </c>
      <c r="E232" s="44">
        <f t="shared" si="12"/>
        <v>-0.71893922000000043</v>
      </c>
      <c r="F232" s="44">
        <f t="shared" si="12"/>
        <v>-0.74954980000000038</v>
      </c>
      <c r="G232" s="44">
        <f t="shared" si="12"/>
        <v>-0.79572560000000037</v>
      </c>
      <c r="H232" s="44">
        <f t="shared" si="12"/>
        <v>-0.85505080000000022</v>
      </c>
      <c r="I232" s="44">
        <f t="shared" si="12"/>
        <v>-0.92416160000000014</v>
      </c>
      <c r="J232" s="44">
        <f t="shared" si="12"/>
        <v>-1</v>
      </c>
    </row>
    <row r="233" spans="1:10" ht="20.100000000000001" customHeight="1" x14ac:dyDescent="0.25">
      <c r="A233" s="43">
        <f t="shared" si="13"/>
        <v>0.80000000000000038</v>
      </c>
      <c r="B233" s="44">
        <f t="shared" si="12"/>
        <v>-0.72000000000000042</v>
      </c>
      <c r="C233" s="44">
        <f t="shared" si="12"/>
        <v>-0.72089600000000043</v>
      </c>
      <c r="D233" s="44">
        <f t="shared" si="12"/>
        <v>-0.72705600000000048</v>
      </c>
      <c r="E233" s="44">
        <f t="shared" si="12"/>
        <v>-0.74265200000000031</v>
      </c>
      <c r="F233" s="44">
        <f t="shared" si="12"/>
        <v>-0.77068000000000036</v>
      </c>
      <c r="G233" s="44">
        <f t="shared" si="12"/>
        <v>-0.81296000000000035</v>
      </c>
      <c r="H233" s="44">
        <f t="shared" si="12"/>
        <v>-0.86728000000000027</v>
      </c>
      <c r="I233" s="44">
        <f t="shared" si="12"/>
        <v>-0.93056000000000016</v>
      </c>
      <c r="J233" s="44">
        <f t="shared" si="12"/>
        <v>-1</v>
      </c>
    </row>
    <row r="234" spans="1:10" ht="20.100000000000001" customHeight="1" x14ac:dyDescent="0.25">
      <c r="A234" s="43">
        <f t="shared" si="13"/>
        <v>0.8200000000000004</v>
      </c>
      <c r="B234" s="44">
        <f t="shared" si="12"/>
        <v>-0.74620000000000042</v>
      </c>
      <c r="C234" s="44">
        <f t="shared" si="12"/>
        <v>-0.74701216000000048</v>
      </c>
      <c r="D234" s="44">
        <f t="shared" si="12"/>
        <v>-0.7525957600000005</v>
      </c>
      <c r="E234" s="44">
        <f t="shared" si="12"/>
        <v>-0.76673242000000041</v>
      </c>
      <c r="F234" s="44">
        <f t="shared" si="12"/>
        <v>-0.79213780000000045</v>
      </c>
      <c r="G234" s="44">
        <f t="shared" si="12"/>
        <v>-0.83046160000000024</v>
      </c>
      <c r="H234" s="44">
        <f t="shared" si="12"/>
        <v>-0.87969880000000023</v>
      </c>
      <c r="I234" s="44">
        <f t="shared" si="12"/>
        <v>-0.93705760000000016</v>
      </c>
      <c r="J234" s="44">
        <f t="shared" si="12"/>
        <v>-1</v>
      </c>
    </row>
    <row r="235" spans="1:10" ht="20.100000000000001" customHeight="1" x14ac:dyDescent="0.25">
      <c r="A235" s="43">
        <f t="shared" si="13"/>
        <v>0.84000000000000041</v>
      </c>
      <c r="B235" s="44">
        <f t="shared" si="12"/>
        <v>-0.7728000000000006</v>
      </c>
      <c r="C235" s="44">
        <f t="shared" si="12"/>
        <v>-0.77352704000000061</v>
      </c>
      <c r="D235" s="44">
        <f t="shared" si="12"/>
        <v>-0.77852544000000057</v>
      </c>
      <c r="E235" s="44">
        <f t="shared" si="12"/>
        <v>-0.79118048000000063</v>
      </c>
      <c r="F235" s="44">
        <f t="shared" si="12"/>
        <v>-0.8139232000000004</v>
      </c>
      <c r="G235" s="44">
        <f t="shared" si="12"/>
        <v>-0.84823040000000038</v>
      </c>
      <c r="H235" s="44">
        <f t="shared" si="12"/>
        <v>-0.89230720000000019</v>
      </c>
      <c r="I235" s="44">
        <f t="shared" si="12"/>
        <v>-0.94365440000000023</v>
      </c>
      <c r="J235" s="44">
        <f t="shared" si="12"/>
        <v>-1</v>
      </c>
    </row>
    <row r="236" spans="1:10" ht="20.100000000000001" customHeight="1" x14ac:dyDescent="0.25">
      <c r="A236" s="43">
        <f t="shared" si="13"/>
        <v>0.86000000000000043</v>
      </c>
      <c r="B236" s="44">
        <f t="shared" si="12"/>
        <v>-0.79980000000000051</v>
      </c>
      <c r="C236" s="44">
        <f t="shared" si="12"/>
        <v>-0.80044064000000048</v>
      </c>
      <c r="D236" s="44">
        <f t="shared" si="12"/>
        <v>-0.80484504000000046</v>
      </c>
      <c r="E236" s="44">
        <f t="shared" si="12"/>
        <v>-0.81599618000000051</v>
      </c>
      <c r="F236" s="44">
        <f t="shared" si="12"/>
        <v>-0.83603620000000034</v>
      </c>
      <c r="G236" s="44">
        <f t="shared" si="12"/>
        <v>-0.86626640000000033</v>
      </c>
      <c r="H236" s="44">
        <f t="shared" si="12"/>
        <v>-0.90510520000000028</v>
      </c>
      <c r="I236" s="44">
        <f t="shared" si="12"/>
        <v>-0.95035040000000004</v>
      </c>
      <c r="J236" s="44">
        <f t="shared" si="12"/>
        <v>-1</v>
      </c>
    </row>
    <row r="237" spans="1:10" ht="20.100000000000001" customHeight="1" x14ac:dyDescent="0.25">
      <c r="A237" s="43">
        <f t="shared" si="13"/>
        <v>0.88000000000000045</v>
      </c>
      <c r="B237" s="44">
        <f t="shared" si="12"/>
        <v>-0.8272000000000006</v>
      </c>
      <c r="C237" s="44">
        <f t="shared" si="12"/>
        <v>-0.82775296000000054</v>
      </c>
      <c r="D237" s="44">
        <f t="shared" si="12"/>
        <v>-0.83155456000000061</v>
      </c>
      <c r="E237" s="44">
        <f t="shared" si="12"/>
        <v>-0.8411795200000004</v>
      </c>
      <c r="F237" s="44">
        <f t="shared" si="12"/>
        <v>-0.85847680000000037</v>
      </c>
      <c r="G237" s="44">
        <f t="shared" si="12"/>
        <v>-0.8845696000000004</v>
      </c>
      <c r="H237" s="44">
        <f t="shared" si="12"/>
        <v>-0.91809280000000026</v>
      </c>
      <c r="I237" s="44">
        <f t="shared" si="12"/>
        <v>-0.95714560000000004</v>
      </c>
      <c r="J237" s="44">
        <f t="shared" si="12"/>
        <v>-1</v>
      </c>
    </row>
    <row r="238" spans="1:10" ht="20.100000000000001" customHeight="1" x14ac:dyDescent="0.25">
      <c r="A238" s="43">
        <f t="shared" si="13"/>
        <v>0.90000000000000047</v>
      </c>
      <c r="B238" s="44">
        <f t="shared" si="12"/>
        <v>-0.85500000000000076</v>
      </c>
      <c r="C238" s="44">
        <f t="shared" si="12"/>
        <v>-0.85546400000000078</v>
      </c>
      <c r="D238" s="44">
        <f t="shared" si="12"/>
        <v>-0.85865400000000069</v>
      </c>
      <c r="E238" s="44">
        <f t="shared" si="12"/>
        <v>-0.86673050000000063</v>
      </c>
      <c r="F238" s="44">
        <f t="shared" si="12"/>
        <v>-0.8812450000000005</v>
      </c>
      <c r="G238" s="44">
        <f t="shared" si="12"/>
        <v>-0.9031400000000005</v>
      </c>
      <c r="H238" s="44">
        <f t="shared" si="12"/>
        <v>-0.93127000000000038</v>
      </c>
      <c r="I238" s="44">
        <f t="shared" si="12"/>
        <v>-0.96404000000000023</v>
      </c>
      <c r="J238" s="44">
        <f t="shared" si="12"/>
        <v>-1</v>
      </c>
    </row>
    <row r="239" spans="1:10" ht="20.100000000000001" customHeight="1" x14ac:dyDescent="0.25">
      <c r="A239" s="43">
        <f t="shared" si="13"/>
        <v>0.92000000000000048</v>
      </c>
      <c r="B239" s="44">
        <f t="shared" si="12"/>
        <v>-0.88320000000000065</v>
      </c>
      <c r="C239" s="44">
        <f t="shared" si="12"/>
        <v>-0.88357376000000054</v>
      </c>
      <c r="D239" s="44">
        <f t="shared" si="12"/>
        <v>-0.8861433600000006</v>
      </c>
      <c r="E239" s="44">
        <f t="shared" si="12"/>
        <v>-0.89264912000000052</v>
      </c>
      <c r="F239" s="44">
        <f t="shared" si="12"/>
        <v>-0.9043408000000005</v>
      </c>
      <c r="G239" s="44">
        <f t="shared" si="12"/>
        <v>-0.9219776000000004</v>
      </c>
      <c r="H239" s="44">
        <f t="shared" si="12"/>
        <v>-0.94463680000000028</v>
      </c>
      <c r="I239" s="44">
        <f t="shared" si="12"/>
        <v>-0.97103360000000005</v>
      </c>
      <c r="J239" s="44">
        <f t="shared" si="12"/>
        <v>-1</v>
      </c>
    </row>
    <row r="240" spans="1:10" ht="20.100000000000001" customHeight="1" x14ac:dyDescent="0.25">
      <c r="A240" s="43">
        <f t="shared" si="13"/>
        <v>0.9400000000000005</v>
      </c>
      <c r="B240" s="44">
        <f t="shared" si="12"/>
        <v>-0.91180000000000083</v>
      </c>
      <c r="C240" s="44">
        <f t="shared" si="12"/>
        <v>-0.91208224000000071</v>
      </c>
      <c r="D240" s="44">
        <f t="shared" si="12"/>
        <v>-0.91402264000000077</v>
      </c>
      <c r="E240" s="44">
        <f t="shared" si="12"/>
        <v>-0.91893538000000075</v>
      </c>
      <c r="F240" s="44">
        <f t="shared" si="12"/>
        <v>-0.92776420000000059</v>
      </c>
      <c r="G240" s="44">
        <f t="shared" si="12"/>
        <v>-0.94108240000000054</v>
      </c>
      <c r="H240" s="44">
        <f t="shared" si="12"/>
        <v>-0.9581932000000003</v>
      </c>
      <c r="I240" s="44">
        <f t="shared" si="12"/>
        <v>-0.97812640000000017</v>
      </c>
      <c r="J240" s="44">
        <f t="shared" si="12"/>
        <v>-1</v>
      </c>
    </row>
    <row r="241" spans="1:10" ht="20.100000000000001" customHeight="1" x14ac:dyDescent="0.25">
      <c r="A241" s="43">
        <f t="shared" si="13"/>
        <v>0.96000000000000052</v>
      </c>
      <c r="B241" s="44">
        <f t="shared" si="12"/>
        <v>-0.94080000000000075</v>
      </c>
      <c r="C241" s="44">
        <f t="shared" si="12"/>
        <v>-0.94098944000000073</v>
      </c>
      <c r="D241" s="44">
        <f t="shared" si="12"/>
        <v>-0.94229184000000077</v>
      </c>
      <c r="E241" s="44">
        <f t="shared" si="12"/>
        <v>-0.94558928000000064</v>
      </c>
      <c r="F241" s="44">
        <f t="shared" si="12"/>
        <v>-0.95151520000000067</v>
      </c>
      <c r="G241" s="44">
        <f t="shared" si="12"/>
        <v>-0.96045440000000037</v>
      </c>
      <c r="H241" s="44">
        <f t="shared" si="12"/>
        <v>-0.97193920000000034</v>
      </c>
      <c r="I241" s="44">
        <f t="shared" si="12"/>
        <v>-0.98531840000000015</v>
      </c>
      <c r="J241" s="44">
        <f t="shared" si="12"/>
        <v>-1</v>
      </c>
    </row>
    <row r="242" spans="1:10" ht="20.100000000000001" customHeight="1" x14ac:dyDescent="0.25">
      <c r="A242" s="43">
        <f t="shared" si="13"/>
        <v>0.98000000000000054</v>
      </c>
      <c r="B242" s="44">
        <f t="shared" ref="B242:J243" si="14">-(B171/100)</f>
        <v>-0.97020000000000084</v>
      </c>
      <c r="C242" s="44">
        <f t="shared" si="14"/>
        <v>-0.97029536000000083</v>
      </c>
      <c r="D242" s="44">
        <f t="shared" si="14"/>
        <v>-0.97095096000000081</v>
      </c>
      <c r="E242" s="44">
        <f t="shared" si="14"/>
        <v>-0.97261082000000076</v>
      </c>
      <c r="F242" s="44">
        <f t="shared" si="14"/>
        <v>-0.97559380000000062</v>
      </c>
      <c r="G242" s="44">
        <f t="shared" si="14"/>
        <v>-0.98009360000000056</v>
      </c>
      <c r="H242" s="44">
        <f t="shared" si="14"/>
        <v>-0.98587480000000038</v>
      </c>
      <c r="I242" s="44">
        <f t="shared" si="14"/>
        <v>-0.9926096000000002</v>
      </c>
      <c r="J242" s="44">
        <f t="shared" si="14"/>
        <v>-1</v>
      </c>
    </row>
    <row r="243" spans="1:10" ht="20.100000000000001" customHeight="1" x14ac:dyDescent="0.25">
      <c r="A243" s="43">
        <f t="shared" si="13"/>
        <v>1.0000000000000004</v>
      </c>
      <c r="B243" s="44">
        <f t="shared" si="14"/>
        <v>-1.0000000000000007</v>
      </c>
      <c r="C243" s="44">
        <f t="shared" si="14"/>
        <v>-1.0000000000000007</v>
      </c>
      <c r="D243" s="44">
        <f t="shared" si="14"/>
        <v>-1.0000000000000007</v>
      </c>
      <c r="E243" s="44">
        <f t="shared" si="14"/>
        <v>-1.0000000000000007</v>
      </c>
      <c r="F243" s="44">
        <f t="shared" si="14"/>
        <v>-1.0000000000000007</v>
      </c>
      <c r="G243" s="44">
        <f t="shared" si="14"/>
        <v>-1.0000000000000004</v>
      </c>
      <c r="H243" s="44">
        <f t="shared" si="14"/>
        <v>-1.0000000000000002</v>
      </c>
      <c r="I243" s="44">
        <f t="shared" si="14"/>
        <v>-1.0000000000000002</v>
      </c>
      <c r="J243" s="44">
        <f t="shared" si="14"/>
        <v>-1</v>
      </c>
    </row>
    <row r="245" spans="1:10" ht="20.100000000000001" customHeight="1" x14ac:dyDescent="0.25">
      <c r="A245" s="236" t="s">
        <v>388</v>
      </c>
      <c r="B245" s="236"/>
      <c r="C245" s="236"/>
      <c r="D245" s="236"/>
      <c r="E245" s="236"/>
      <c r="F245" s="236"/>
      <c r="G245" s="236"/>
      <c r="H245" s="236"/>
      <c r="I245" s="236"/>
      <c r="J245" s="236"/>
    </row>
    <row r="246" spans="1:10" ht="20.100000000000001" customHeight="1" x14ac:dyDescent="0.25">
      <c r="A246" s="236"/>
      <c r="B246" s="236"/>
      <c r="C246" s="236"/>
      <c r="D246" s="236"/>
      <c r="E246" s="236"/>
      <c r="F246" s="236"/>
      <c r="G246" s="236"/>
      <c r="H246" s="236"/>
      <c r="I246" s="236"/>
      <c r="J246" s="236"/>
    </row>
    <row r="247" spans="1:10" ht="20.100000000000001" customHeight="1" x14ac:dyDescent="0.25">
      <c r="A247" s="236"/>
      <c r="B247" s="236"/>
      <c r="C247" s="236"/>
      <c r="D247" s="236"/>
      <c r="E247" s="236"/>
      <c r="F247" s="236"/>
      <c r="G247" s="236"/>
      <c r="H247" s="236"/>
      <c r="I247" s="236"/>
      <c r="J247" s="236"/>
    </row>
    <row r="249" spans="1:10" ht="20.100000000000001" customHeight="1" x14ac:dyDescent="0.25">
      <c r="C249" s="45"/>
    </row>
    <row r="256" spans="1:10" ht="20.100000000000001" customHeight="1" x14ac:dyDescent="0.25">
      <c r="A256" s="245" t="s">
        <v>382</v>
      </c>
      <c r="B256" s="248" t="s">
        <v>383</v>
      </c>
      <c r="C256" s="248"/>
      <c r="D256" s="248"/>
      <c r="E256" s="248"/>
      <c r="F256" s="248"/>
      <c r="G256" s="248"/>
      <c r="H256" s="248"/>
      <c r="I256" s="248"/>
      <c r="J256" s="248"/>
    </row>
    <row r="257" spans="1:10" ht="20.100000000000001" customHeight="1" x14ac:dyDescent="0.25">
      <c r="A257" s="246"/>
      <c r="B257" s="239" t="s">
        <v>389</v>
      </c>
      <c r="C257" s="239"/>
      <c r="D257" s="239"/>
      <c r="E257" s="239"/>
      <c r="F257" s="239"/>
      <c r="G257" s="239"/>
      <c r="H257" s="239"/>
      <c r="I257" s="239"/>
      <c r="J257" s="239"/>
    </row>
    <row r="258" spans="1:10" ht="20.100000000000001" customHeight="1" x14ac:dyDescent="0.25">
      <c r="A258" s="246"/>
      <c r="B258" s="249" t="s">
        <v>385</v>
      </c>
      <c r="C258" s="249"/>
      <c r="D258" s="249"/>
      <c r="E258" s="249"/>
      <c r="F258" s="249"/>
      <c r="G258" s="249"/>
      <c r="H258" s="249"/>
      <c r="I258" s="249"/>
      <c r="J258" s="249"/>
    </row>
    <row r="259" spans="1:10" ht="20.100000000000001" customHeight="1" x14ac:dyDescent="0.25">
      <c r="A259" s="247"/>
      <c r="B259" s="37" t="str">
        <f t="shared" ref="B259:J259" si="15">B121</f>
        <v>A</v>
      </c>
      <c r="C259" s="37" t="str">
        <f t="shared" si="15"/>
        <v>B</v>
      </c>
      <c r="D259" s="37" t="str">
        <f t="shared" si="15"/>
        <v>C</v>
      </c>
      <c r="E259" s="37" t="str">
        <f t="shared" si="15"/>
        <v>D</v>
      </c>
      <c r="F259" s="37" t="str">
        <f t="shared" si="15"/>
        <v>E</v>
      </c>
      <c r="G259" s="37" t="str">
        <f t="shared" si="15"/>
        <v>F</v>
      </c>
      <c r="H259" s="37" t="str">
        <f t="shared" si="15"/>
        <v>G</v>
      </c>
      <c r="I259" s="37" t="str">
        <f t="shared" si="15"/>
        <v>H</v>
      </c>
      <c r="J259" s="37" t="str">
        <f t="shared" si="15"/>
        <v>I</v>
      </c>
    </row>
    <row r="260" spans="1:10" ht="20.100000000000001" customHeight="1" x14ac:dyDescent="0.25">
      <c r="A260" s="38">
        <v>0</v>
      </c>
      <c r="B260" s="46">
        <f t="shared" ref="B260:B276" si="16">1+B193</f>
        <v>1</v>
      </c>
      <c r="C260" s="46">
        <f t="shared" ref="C260:J260" si="17">1+C193</f>
        <v>0.99680000000000002</v>
      </c>
      <c r="D260" s="46">
        <f t="shared" si="17"/>
        <v>0.9748</v>
      </c>
      <c r="E260" s="46">
        <f t="shared" si="17"/>
        <v>0.91910000000000003</v>
      </c>
      <c r="F260" s="46">
        <f t="shared" si="17"/>
        <v>0.81899999999999995</v>
      </c>
      <c r="G260" s="46">
        <f t="shared" si="17"/>
        <v>0.66799999999999993</v>
      </c>
      <c r="H260" s="46">
        <f t="shared" si="17"/>
        <v>0.47399999999999998</v>
      </c>
      <c r="I260" s="46">
        <f t="shared" si="17"/>
        <v>0.248</v>
      </c>
      <c r="J260" s="46">
        <f t="shared" si="17"/>
        <v>0</v>
      </c>
    </row>
    <row r="261" spans="1:10" ht="20.100000000000001" customHeight="1" x14ac:dyDescent="0.25">
      <c r="A261" s="38">
        <f>A260+0.02</f>
        <v>0.02</v>
      </c>
      <c r="B261" s="46">
        <f t="shared" si="16"/>
        <v>0.98980000000000001</v>
      </c>
      <c r="C261" s="46">
        <f t="shared" ref="C261:J270" si="18">1+C194</f>
        <v>0.98663263999999995</v>
      </c>
      <c r="D261" s="46">
        <f t="shared" si="18"/>
        <v>0.96485704000000005</v>
      </c>
      <c r="E261" s="46">
        <f t="shared" si="18"/>
        <v>0.90972518000000002</v>
      </c>
      <c r="F261" s="46">
        <f t="shared" si="18"/>
        <v>0.81064619999999998</v>
      </c>
      <c r="G261" s="46">
        <f t="shared" si="18"/>
        <v>0.66118639999999984</v>
      </c>
      <c r="H261" s="46">
        <f t="shared" si="18"/>
        <v>0.46916519999999995</v>
      </c>
      <c r="I261" s="46">
        <f t="shared" si="18"/>
        <v>0.24547039999999998</v>
      </c>
      <c r="J261" s="46">
        <f t="shared" si="18"/>
        <v>0</v>
      </c>
    </row>
    <row r="262" spans="1:10" ht="20.100000000000001" customHeight="1" x14ac:dyDescent="0.25">
      <c r="A262" s="38">
        <f t="shared" ref="A262:A310" si="19">A261+0.02</f>
        <v>0.04</v>
      </c>
      <c r="B262" s="46">
        <f t="shared" si="16"/>
        <v>0.97919999999999996</v>
      </c>
      <c r="C262" s="46">
        <f t="shared" si="18"/>
        <v>0.97606656000000003</v>
      </c>
      <c r="D262" s="46">
        <f t="shared" si="18"/>
        <v>0.95452415999999995</v>
      </c>
      <c r="E262" s="46">
        <f t="shared" si="18"/>
        <v>0.89998272000000001</v>
      </c>
      <c r="F262" s="46">
        <f t="shared" si="18"/>
        <v>0.80196480000000003</v>
      </c>
      <c r="G262" s="46">
        <f t="shared" si="18"/>
        <v>0.65410559999999995</v>
      </c>
      <c r="H262" s="46">
        <f t="shared" si="18"/>
        <v>0.46414080000000002</v>
      </c>
      <c r="I262" s="46">
        <f t="shared" si="18"/>
        <v>0.24284159999999999</v>
      </c>
      <c r="J262" s="46">
        <f t="shared" si="18"/>
        <v>0</v>
      </c>
    </row>
    <row r="263" spans="1:10" ht="20.100000000000001" customHeight="1" x14ac:dyDescent="0.25">
      <c r="A263" s="38">
        <f t="shared" si="19"/>
        <v>0.06</v>
      </c>
      <c r="B263" s="46">
        <f t="shared" si="16"/>
        <v>0.96819999999999995</v>
      </c>
      <c r="C263" s="46">
        <f t="shared" si="18"/>
        <v>0.96510176000000003</v>
      </c>
      <c r="D263" s="46">
        <f t="shared" si="18"/>
        <v>0.94380136000000003</v>
      </c>
      <c r="E263" s="46">
        <f t="shared" si="18"/>
        <v>0.88987262</v>
      </c>
      <c r="F263" s="46">
        <f t="shared" si="18"/>
        <v>0.79295579999999999</v>
      </c>
      <c r="G263" s="46">
        <f t="shared" si="18"/>
        <v>0.64675760000000004</v>
      </c>
      <c r="H263" s="46">
        <f t="shared" si="18"/>
        <v>0.45892679999999997</v>
      </c>
      <c r="I263" s="46">
        <f t="shared" si="18"/>
        <v>0.24011359999999993</v>
      </c>
      <c r="J263" s="46">
        <f t="shared" si="18"/>
        <v>0</v>
      </c>
    </row>
    <row r="264" spans="1:10" ht="20.100000000000001" customHeight="1" x14ac:dyDescent="0.25">
      <c r="A264" s="38">
        <f t="shared" si="19"/>
        <v>0.08</v>
      </c>
      <c r="B264" s="46">
        <f t="shared" si="16"/>
        <v>0.95679999999999998</v>
      </c>
      <c r="C264" s="46">
        <f t="shared" si="18"/>
        <v>0.95373823999999996</v>
      </c>
      <c r="D264" s="46">
        <f t="shared" si="18"/>
        <v>0.93268863999999996</v>
      </c>
      <c r="E264" s="46">
        <f t="shared" si="18"/>
        <v>0.87939487999999999</v>
      </c>
      <c r="F264" s="46">
        <f t="shared" si="18"/>
        <v>0.78361919999999996</v>
      </c>
      <c r="G264" s="46">
        <f t="shared" si="18"/>
        <v>0.63914239999999989</v>
      </c>
      <c r="H264" s="46">
        <f t="shared" si="18"/>
        <v>0.4535231999999999</v>
      </c>
      <c r="I264" s="46">
        <f t="shared" si="18"/>
        <v>0.2372863999999999</v>
      </c>
      <c r="J264" s="46">
        <f t="shared" si="18"/>
        <v>0</v>
      </c>
    </row>
    <row r="265" spans="1:10" ht="20.100000000000001" customHeight="1" x14ac:dyDescent="0.25">
      <c r="A265" s="38">
        <f t="shared" si="19"/>
        <v>0.1</v>
      </c>
      <c r="B265" s="46">
        <f t="shared" si="16"/>
        <v>0.94499999999999995</v>
      </c>
      <c r="C265" s="46">
        <f t="shared" si="18"/>
        <v>0.94197600000000004</v>
      </c>
      <c r="D265" s="46">
        <f t="shared" si="18"/>
        <v>0.92118599999999995</v>
      </c>
      <c r="E265" s="46">
        <f t="shared" si="18"/>
        <v>0.86854949999999997</v>
      </c>
      <c r="F265" s="46">
        <f t="shared" si="18"/>
        <v>0.77395499999999995</v>
      </c>
      <c r="G265" s="46">
        <f t="shared" si="18"/>
        <v>0.63125999999999993</v>
      </c>
      <c r="H265" s="46">
        <f t="shared" si="18"/>
        <v>0.44792999999999994</v>
      </c>
      <c r="I265" s="46">
        <f t="shared" si="18"/>
        <v>0.2343599999999999</v>
      </c>
      <c r="J265" s="46">
        <f t="shared" si="18"/>
        <v>0</v>
      </c>
    </row>
    <row r="266" spans="1:10" ht="20.100000000000001" customHeight="1" x14ac:dyDescent="0.25">
      <c r="A266" s="38">
        <f t="shared" si="19"/>
        <v>0.12000000000000001</v>
      </c>
      <c r="B266" s="46">
        <f t="shared" si="16"/>
        <v>0.93279999999999996</v>
      </c>
      <c r="C266" s="46">
        <f t="shared" si="18"/>
        <v>0.92981504000000004</v>
      </c>
      <c r="D266" s="46">
        <f t="shared" si="18"/>
        <v>0.90929344000000001</v>
      </c>
      <c r="E266" s="46">
        <f t="shared" si="18"/>
        <v>0.85733647999999996</v>
      </c>
      <c r="F266" s="46">
        <f t="shared" si="18"/>
        <v>0.76396319999999995</v>
      </c>
      <c r="G266" s="46">
        <f t="shared" si="18"/>
        <v>0.62311040000000006</v>
      </c>
      <c r="H266" s="46">
        <f t="shared" si="18"/>
        <v>0.44214719999999996</v>
      </c>
      <c r="I266" s="46">
        <f t="shared" si="18"/>
        <v>0.23133440000000005</v>
      </c>
      <c r="J266" s="46">
        <f t="shared" si="18"/>
        <v>0</v>
      </c>
    </row>
    <row r="267" spans="1:10" ht="20.100000000000001" customHeight="1" x14ac:dyDescent="0.25">
      <c r="A267" s="38">
        <f t="shared" si="19"/>
        <v>0.14000000000000001</v>
      </c>
      <c r="B267" s="46">
        <f t="shared" si="16"/>
        <v>0.92020000000000002</v>
      </c>
      <c r="C267" s="46">
        <f t="shared" si="18"/>
        <v>0.91725535999999996</v>
      </c>
      <c r="D267" s="46">
        <f t="shared" si="18"/>
        <v>0.89701096000000002</v>
      </c>
      <c r="E267" s="46">
        <f t="shared" si="18"/>
        <v>0.84575581999999994</v>
      </c>
      <c r="F267" s="46">
        <f t="shared" si="18"/>
        <v>0.75364379999999997</v>
      </c>
      <c r="G267" s="46">
        <f t="shared" si="18"/>
        <v>0.61469359999999995</v>
      </c>
      <c r="H267" s="46">
        <f t="shared" si="18"/>
        <v>0.43617479999999997</v>
      </c>
      <c r="I267" s="46">
        <f t="shared" si="18"/>
        <v>0.22820960000000001</v>
      </c>
      <c r="J267" s="46">
        <f t="shared" si="18"/>
        <v>0</v>
      </c>
    </row>
    <row r="268" spans="1:10" ht="20.100000000000001" customHeight="1" x14ac:dyDescent="0.25">
      <c r="A268" s="38">
        <f t="shared" si="19"/>
        <v>0.16</v>
      </c>
      <c r="B268" s="46">
        <f t="shared" si="16"/>
        <v>0.90720000000000001</v>
      </c>
      <c r="C268" s="46">
        <f t="shared" si="18"/>
        <v>0.90429695999999993</v>
      </c>
      <c r="D268" s="46">
        <f t="shared" si="18"/>
        <v>0.88433856</v>
      </c>
      <c r="E268" s="46">
        <f t="shared" si="18"/>
        <v>0.83380751999999991</v>
      </c>
      <c r="F268" s="46">
        <f t="shared" si="18"/>
        <v>0.74299680000000001</v>
      </c>
      <c r="G268" s="46">
        <f t="shared" si="18"/>
        <v>0.60600959999999993</v>
      </c>
      <c r="H268" s="46">
        <f t="shared" si="18"/>
        <v>0.43001279999999997</v>
      </c>
      <c r="I268" s="46">
        <f t="shared" si="18"/>
        <v>0.22498560000000001</v>
      </c>
      <c r="J268" s="46">
        <f t="shared" si="18"/>
        <v>0</v>
      </c>
    </row>
    <row r="269" spans="1:10" ht="20.100000000000001" customHeight="1" x14ac:dyDescent="0.25">
      <c r="A269" s="38">
        <f t="shared" si="19"/>
        <v>0.18</v>
      </c>
      <c r="B269" s="46">
        <f t="shared" si="16"/>
        <v>0.89380000000000004</v>
      </c>
      <c r="C269" s="46">
        <f t="shared" si="18"/>
        <v>0.89093984000000004</v>
      </c>
      <c r="D269" s="46">
        <f t="shared" si="18"/>
        <v>0.87127624000000004</v>
      </c>
      <c r="E269" s="46">
        <f t="shared" si="18"/>
        <v>0.82149158</v>
      </c>
      <c r="F269" s="46">
        <f t="shared" si="18"/>
        <v>0.73202220000000007</v>
      </c>
      <c r="G269" s="46">
        <f t="shared" si="18"/>
        <v>0.5970584000000001</v>
      </c>
      <c r="H269" s="46">
        <f t="shared" si="18"/>
        <v>0.42366120000000007</v>
      </c>
      <c r="I269" s="46">
        <f t="shared" si="18"/>
        <v>0.22166239999999993</v>
      </c>
      <c r="J269" s="46">
        <f t="shared" si="18"/>
        <v>0</v>
      </c>
    </row>
    <row r="270" spans="1:10" ht="20.100000000000001" customHeight="1" x14ac:dyDescent="0.25">
      <c r="A270" s="38">
        <f t="shared" si="19"/>
        <v>0.19999999999999998</v>
      </c>
      <c r="B270" s="46">
        <f t="shared" si="16"/>
        <v>0.88</v>
      </c>
      <c r="C270" s="46">
        <f t="shared" si="18"/>
        <v>0.87718399999999996</v>
      </c>
      <c r="D270" s="46">
        <f t="shared" si="18"/>
        <v>0.85782400000000003</v>
      </c>
      <c r="E270" s="46">
        <f t="shared" si="18"/>
        <v>0.80880799999999997</v>
      </c>
      <c r="F270" s="46">
        <f t="shared" si="18"/>
        <v>0.72072000000000003</v>
      </c>
      <c r="G270" s="46">
        <f t="shared" si="18"/>
        <v>0.58783999999999992</v>
      </c>
      <c r="H270" s="46">
        <f t="shared" si="18"/>
        <v>0.41711999999999994</v>
      </c>
      <c r="I270" s="46">
        <f t="shared" si="18"/>
        <v>0.21823999999999999</v>
      </c>
      <c r="J270" s="46">
        <f t="shared" si="18"/>
        <v>0</v>
      </c>
    </row>
    <row r="271" spans="1:10" ht="20.100000000000001" customHeight="1" x14ac:dyDescent="0.25">
      <c r="A271" s="38">
        <f t="shared" si="19"/>
        <v>0.21999999999999997</v>
      </c>
      <c r="B271" s="46">
        <f t="shared" si="16"/>
        <v>0.86580000000000001</v>
      </c>
      <c r="C271" s="46">
        <f t="shared" ref="C271:J276" si="20">1+C204</f>
        <v>0.86302944000000004</v>
      </c>
      <c r="D271" s="46">
        <f t="shared" si="20"/>
        <v>0.84398183999999998</v>
      </c>
      <c r="E271" s="46">
        <f t="shared" si="20"/>
        <v>0.79575678000000005</v>
      </c>
      <c r="F271" s="46">
        <f t="shared" si="20"/>
        <v>0.7090902</v>
      </c>
      <c r="G271" s="46">
        <f t="shared" si="20"/>
        <v>0.57835440000000005</v>
      </c>
      <c r="H271" s="46">
        <f t="shared" si="20"/>
        <v>0.41038920000000001</v>
      </c>
      <c r="I271" s="46">
        <f t="shared" si="20"/>
        <v>0.21471839999999998</v>
      </c>
      <c r="J271" s="46">
        <f t="shared" si="20"/>
        <v>0</v>
      </c>
    </row>
    <row r="272" spans="1:10" ht="20.100000000000001" customHeight="1" x14ac:dyDescent="0.25">
      <c r="A272" s="38">
        <f t="shared" si="19"/>
        <v>0.23999999999999996</v>
      </c>
      <c r="B272" s="46">
        <f t="shared" si="16"/>
        <v>0.85119999999999996</v>
      </c>
      <c r="C272" s="46">
        <f t="shared" si="20"/>
        <v>0.84847616000000003</v>
      </c>
      <c r="D272" s="46">
        <f t="shared" si="20"/>
        <v>0.82974976</v>
      </c>
      <c r="E272" s="46">
        <f t="shared" si="20"/>
        <v>0.78233792000000002</v>
      </c>
      <c r="F272" s="46">
        <f t="shared" si="20"/>
        <v>0.6971328</v>
      </c>
      <c r="G272" s="46">
        <f t="shared" si="20"/>
        <v>0.56860159999999993</v>
      </c>
      <c r="H272" s="46">
        <f t="shared" si="20"/>
        <v>0.40346879999999996</v>
      </c>
      <c r="I272" s="46">
        <f t="shared" si="20"/>
        <v>0.2110976</v>
      </c>
      <c r="J272" s="46">
        <f t="shared" si="20"/>
        <v>0</v>
      </c>
    </row>
    <row r="273" spans="1:10" ht="20.100000000000001" customHeight="1" x14ac:dyDescent="0.25">
      <c r="A273" s="38">
        <f t="shared" si="19"/>
        <v>0.25999999999999995</v>
      </c>
      <c r="B273" s="46">
        <f t="shared" si="16"/>
        <v>0.83620000000000005</v>
      </c>
      <c r="C273" s="46">
        <f t="shared" si="20"/>
        <v>0.83352416000000007</v>
      </c>
      <c r="D273" s="46">
        <f t="shared" si="20"/>
        <v>0.81512775999999998</v>
      </c>
      <c r="E273" s="46">
        <f t="shared" si="20"/>
        <v>0.76855141999999999</v>
      </c>
      <c r="F273" s="46">
        <f t="shared" si="20"/>
        <v>0.68484780000000001</v>
      </c>
      <c r="G273" s="46">
        <f t="shared" si="20"/>
        <v>0.5585815999999999</v>
      </c>
      <c r="H273" s="46">
        <f t="shared" si="20"/>
        <v>0.39635880000000001</v>
      </c>
      <c r="I273" s="46">
        <f t="shared" si="20"/>
        <v>0.20737759999999994</v>
      </c>
      <c r="J273" s="46">
        <f t="shared" si="20"/>
        <v>0</v>
      </c>
    </row>
    <row r="274" spans="1:10" ht="20.100000000000001" customHeight="1" x14ac:dyDescent="0.25">
      <c r="A274" s="38">
        <f t="shared" si="19"/>
        <v>0.27999999999999997</v>
      </c>
      <c r="B274" s="46">
        <f t="shared" si="16"/>
        <v>0.82079999999999997</v>
      </c>
      <c r="C274" s="46">
        <f t="shared" si="20"/>
        <v>0.81817344000000003</v>
      </c>
      <c r="D274" s="46">
        <f t="shared" si="20"/>
        <v>0.80011584000000002</v>
      </c>
      <c r="E274" s="46">
        <f t="shared" si="20"/>
        <v>0.75439728000000006</v>
      </c>
      <c r="F274" s="46">
        <f t="shared" si="20"/>
        <v>0.67223520000000003</v>
      </c>
      <c r="G274" s="46">
        <f t="shared" si="20"/>
        <v>0.54829440000000007</v>
      </c>
      <c r="H274" s="46">
        <f t="shared" si="20"/>
        <v>0.38905919999999994</v>
      </c>
      <c r="I274" s="46">
        <f t="shared" si="20"/>
        <v>0.20355840000000003</v>
      </c>
      <c r="J274" s="46">
        <f t="shared" si="20"/>
        <v>0</v>
      </c>
    </row>
    <row r="275" spans="1:10" ht="20.100000000000001" customHeight="1" x14ac:dyDescent="0.25">
      <c r="A275" s="38">
        <f t="shared" si="19"/>
        <v>0.3</v>
      </c>
      <c r="B275" s="46">
        <f t="shared" si="16"/>
        <v>0.80499999999999994</v>
      </c>
      <c r="C275" s="46">
        <f t="shared" si="20"/>
        <v>0.80242400000000003</v>
      </c>
      <c r="D275" s="46">
        <f t="shared" si="20"/>
        <v>0.78471400000000002</v>
      </c>
      <c r="E275" s="46">
        <f t="shared" si="20"/>
        <v>0.73987549999999991</v>
      </c>
      <c r="F275" s="46">
        <f t="shared" si="20"/>
        <v>0.65929499999999996</v>
      </c>
      <c r="G275" s="46">
        <f t="shared" si="20"/>
        <v>0.53774</v>
      </c>
      <c r="H275" s="46">
        <f t="shared" si="20"/>
        <v>0.38156999999999996</v>
      </c>
      <c r="I275" s="46">
        <f t="shared" si="20"/>
        <v>0.19964000000000004</v>
      </c>
      <c r="J275" s="46">
        <f t="shared" si="20"/>
        <v>0</v>
      </c>
    </row>
    <row r="276" spans="1:10" ht="20.100000000000001" customHeight="1" x14ac:dyDescent="0.25">
      <c r="A276" s="38">
        <f t="shared" si="19"/>
        <v>0.32</v>
      </c>
      <c r="B276" s="46">
        <f t="shared" si="16"/>
        <v>0.78879999999999995</v>
      </c>
      <c r="C276" s="46">
        <f t="shared" si="20"/>
        <v>0.78627583999999995</v>
      </c>
      <c r="D276" s="46">
        <f t="shared" si="20"/>
        <v>0.76892223999999998</v>
      </c>
      <c r="E276" s="46">
        <f t="shared" si="20"/>
        <v>0.72498607999999998</v>
      </c>
      <c r="F276" s="46">
        <f t="shared" si="20"/>
        <v>0.64602720000000002</v>
      </c>
      <c r="G276" s="46">
        <f t="shared" si="20"/>
        <v>0.52691840000000001</v>
      </c>
      <c r="H276" s="46">
        <f t="shared" si="20"/>
        <v>0.37389120000000009</v>
      </c>
      <c r="I276" s="46">
        <f t="shared" si="20"/>
        <v>0.19562239999999997</v>
      </c>
      <c r="J276" s="46">
        <f t="shared" si="20"/>
        <v>0</v>
      </c>
    </row>
    <row r="277" spans="1:10" ht="20.100000000000001" customHeight="1" x14ac:dyDescent="0.25">
      <c r="A277" s="38">
        <f t="shared" si="19"/>
        <v>0.34</v>
      </c>
      <c r="B277" s="46">
        <f t="shared" ref="B277:J292" si="21">1+B210</f>
        <v>0.7722</v>
      </c>
      <c r="C277" s="46">
        <f t="shared" si="21"/>
        <v>0.76972895999999991</v>
      </c>
      <c r="D277" s="46">
        <f t="shared" si="21"/>
        <v>0.75274055999999989</v>
      </c>
      <c r="E277" s="46">
        <f t="shared" si="21"/>
        <v>0.70972901999999993</v>
      </c>
      <c r="F277" s="46">
        <f t="shared" si="21"/>
        <v>0.63243179999999999</v>
      </c>
      <c r="G277" s="46">
        <f t="shared" si="21"/>
        <v>0.5158296</v>
      </c>
      <c r="H277" s="46">
        <f t="shared" si="21"/>
        <v>0.36602279999999998</v>
      </c>
      <c r="I277" s="46">
        <f t="shared" si="21"/>
        <v>0.19150559999999983</v>
      </c>
      <c r="J277" s="46">
        <f t="shared" si="21"/>
        <v>0</v>
      </c>
    </row>
    <row r="278" spans="1:10" ht="20.100000000000001" customHeight="1" x14ac:dyDescent="0.25">
      <c r="A278" s="38">
        <f t="shared" si="19"/>
        <v>0.36000000000000004</v>
      </c>
      <c r="B278" s="46">
        <f t="shared" si="21"/>
        <v>0.75519999999999998</v>
      </c>
      <c r="C278" s="46">
        <f t="shared" si="21"/>
        <v>0.75278336000000001</v>
      </c>
      <c r="D278" s="46">
        <f t="shared" si="21"/>
        <v>0.73616895999999998</v>
      </c>
      <c r="E278" s="46">
        <f t="shared" si="21"/>
        <v>0.69410432</v>
      </c>
      <c r="F278" s="46">
        <f t="shared" si="21"/>
        <v>0.61850880000000008</v>
      </c>
      <c r="G278" s="46">
        <f t="shared" si="21"/>
        <v>0.50447360000000008</v>
      </c>
      <c r="H278" s="46">
        <f t="shared" si="21"/>
        <v>0.35796479999999997</v>
      </c>
      <c r="I278" s="46">
        <f t="shared" si="21"/>
        <v>0.18728960000000006</v>
      </c>
      <c r="J278" s="46">
        <f t="shared" si="21"/>
        <v>0</v>
      </c>
    </row>
    <row r="279" spans="1:10" ht="20.100000000000001" customHeight="1" x14ac:dyDescent="0.25">
      <c r="A279" s="38">
        <f t="shared" si="19"/>
        <v>0.38000000000000006</v>
      </c>
      <c r="B279" s="46">
        <f t="shared" si="21"/>
        <v>0.73780000000000001</v>
      </c>
      <c r="C279" s="46">
        <f t="shared" si="21"/>
        <v>0.73543903999999993</v>
      </c>
      <c r="D279" s="46">
        <f t="shared" si="21"/>
        <v>0.71920743999999992</v>
      </c>
      <c r="E279" s="46">
        <f t="shared" si="21"/>
        <v>0.67811197999999995</v>
      </c>
      <c r="F279" s="46">
        <f t="shared" si="21"/>
        <v>0.60425819999999997</v>
      </c>
      <c r="G279" s="46">
        <f t="shared" si="21"/>
        <v>0.49285039999999991</v>
      </c>
      <c r="H279" s="46">
        <f t="shared" si="21"/>
        <v>0.34971720000000006</v>
      </c>
      <c r="I279" s="46">
        <f t="shared" si="21"/>
        <v>0.18297439999999998</v>
      </c>
      <c r="J279" s="46">
        <f t="shared" si="21"/>
        <v>0</v>
      </c>
    </row>
    <row r="280" spans="1:10" ht="20.100000000000001" customHeight="1" x14ac:dyDescent="0.25">
      <c r="A280" s="38">
        <f t="shared" si="19"/>
        <v>0.40000000000000008</v>
      </c>
      <c r="B280" s="46">
        <f t="shared" si="21"/>
        <v>0.72</v>
      </c>
      <c r="C280" s="46">
        <f t="shared" si="21"/>
        <v>0.71769599999999989</v>
      </c>
      <c r="D280" s="46">
        <f t="shared" si="21"/>
        <v>0.70185599999999992</v>
      </c>
      <c r="E280" s="46">
        <f t="shared" si="21"/>
        <v>0.6617519999999999</v>
      </c>
      <c r="F280" s="46">
        <f t="shared" si="21"/>
        <v>0.58967999999999987</v>
      </c>
      <c r="G280" s="46">
        <f t="shared" si="21"/>
        <v>0.48095999999999994</v>
      </c>
      <c r="H280" s="46">
        <f t="shared" si="21"/>
        <v>0.34127999999999981</v>
      </c>
      <c r="I280" s="46">
        <f t="shared" si="21"/>
        <v>0.17855999999999994</v>
      </c>
      <c r="J280" s="46">
        <f t="shared" si="21"/>
        <v>0</v>
      </c>
    </row>
    <row r="281" spans="1:10" ht="20.100000000000001" customHeight="1" x14ac:dyDescent="0.25">
      <c r="A281" s="38">
        <f t="shared" si="19"/>
        <v>0.4200000000000001</v>
      </c>
      <c r="B281" s="46">
        <f t="shared" si="21"/>
        <v>0.70179999999999998</v>
      </c>
      <c r="C281" s="46">
        <f t="shared" si="21"/>
        <v>0.69955423999999988</v>
      </c>
      <c r="D281" s="46">
        <f t="shared" si="21"/>
        <v>0.68411464</v>
      </c>
      <c r="E281" s="46">
        <f t="shared" si="21"/>
        <v>0.64502437999999995</v>
      </c>
      <c r="F281" s="46">
        <f t="shared" si="21"/>
        <v>0.57477420000000001</v>
      </c>
      <c r="G281" s="46">
        <f t="shared" si="21"/>
        <v>0.46880239999999984</v>
      </c>
      <c r="H281" s="46">
        <f t="shared" si="21"/>
        <v>0.33265319999999998</v>
      </c>
      <c r="I281" s="46">
        <f t="shared" si="21"/>
        <v>0.17404640000000005</v>
      </c>
      <c r="J281" s="46">
        <f t="shared" si="21"/>
        <v>0</v>
      </c>
    </row>
    <row r="282" spans="1:10" ht="20.100000000000001" customHeight="1" x14ac:dyDescent="0.25">
      <c r="A282" s="38">
        <f t="shared" si="19"/>
        <v>0.44000000000000011</v>
      </c>
      <c r="B282" s="46">
        <f t="shared" si="21"/>
        <v>0.68319999999999992</v>
      </c>
      <c r="C282" s="46">
        <f t="shared" si="21"/>
        <v>0.68101375999999991</v>
      </c>
      <c r="D282" s="46">
        <f t="shared" si="21"/>
        <v>0.66598336000000002</v>
      </c>
      <c r="E282" s="46">
        <f t="shared" si="21"/>
        <v>0.6279291199999999</v>
      </c>
      <c r="F282" s="46">
        <f t="shared" si="21"/>
        <v>0.55954079999999995</v>
      </c>
      <c r="G282" s="46">
        <f t="shared" si="21"/>
        <v>0.45637759999999994</v>
      </c>
      <c r="H282" s="46">
        <f t="shared" si="21"/>
        <v>0.32383680000000004</v>
      </c>
      <c r="I282" s="46">
        <f t="shared" si="21"/>
        <v>0.16943359999999996</v>
      </c>
      <c r="J282" s="46">
        <f t="shared" si="21"/>
        <v>0</v>
      </c>
    </row>
    <row r="283" spans="1:10" ht="20.100000000000001" customHeight="1" x14ac:dyDescent="0.25">
      <c r="A283" s="38">
        <f t="shared" si="19"/>
        <v>0.46000000000000013</v>
      </c>
      <c r="B283" s="46">
        <f t="shared" si="21"/>
        <v>0.6641999999999999</v>
      </c>
      <c r="C283" s="46">
        <f t="shared" si="21"/>
        <v>0.66207455999999987</v>
      </c>
      <c r="D283" s="46">
        <f t="shared" si="21"/>
        <v>0.6474621599999999</v>
      </c>
      <c r="E283" s="46">
        <f t="shared" si="21"/>
        <v>0.61046621999999984</v>
      </c>
      <c r="F283" s="46">
        <f t="shared" si="21"/>
        <v>0.5439797999999999</v>
      </c>
      <c r="G283" s="46">
        <f t="shared" si="21"/>
        <v>0.4436855999999999</v>
      </c>
      <c r="H283" s="46">
        <f t="shared" si="21"/>
        <v>0.31483079999999997</v>
      </c>
      <c r="I283" s="46">
        <f t="shared" si="21"/>
        <v>0.16472159999999991</v>
      </c>
      <c r="J283" s="46">
        <f t="shared" si="21"/>
        <v>0</v>
      </c>
    </row>
    <row r="284" spans="1:10" ht="20.100000000000001" customHeight="1" x14ac:dyDescent="0.25">
      <c r="A284" s="38">
        <f t="shared" si="19"/>
        <v>0.48000000000000015</v>
      </c>
      <c r="B284" s="46">
        <f t="shared" si="21"/>
        <v>0.64479999999999982</v>
      </c>
      <c r="C284" s="46">
        <f t="shared" si="21"/>
        <v>0.64273663999999986</v>
      </c>
      <c r="D284" s="46">
        <f t="shared" si="21"/>
        <v>0.62855103999999984</v>
      </c>
      <c r="E284" s="46">
        <f t="shared" si="21"/>
        <v>0.59263567999999989</v>
      </c>
      <c r="F284" s="46">
        <f t="shared" si="21"/>
        <v>0.52809119999999998</v>
      </c>
      <c r="G284" s="46">
        <f t="shared" si="21"/>
        <v>0.43072639999999995</v>
      </c>
      <c r="H284" s="46">
        <f t="shared" si="21"/>
        <v>0.30563519999999977</v>
      </c>
      <c r="I284" s="46">
        <f t="shared" si="21"/>
        <v>0.15991040000000001</v>
      </c>
      <c r="J284" s="46">
        <f t="shared" si="21"/>
        <v>0</v>
      </c>
    </row>
    <row r="285" spans="1:10" ht="20.100000000000001" customHeight="1" x14ac:dyDescent="0.25">
      <c r="A285" s="38">
        <f t="shared" si="19"/>
        <v>0.50000000000000011</v>
      </c>
      <c r="B285" s="46">
        <f t="shared" si="21"/>
        <v>0.62499999999999978</v>
      </c>
      <c r="C285" s="46">
        <f t="shared" si="21"/>
        <v>0.62299999999999978</v>
      </c>
      <c r="D285" s="46">
        <f t="shared" si="21"/>
        <v>0.60924999999999985</v>
      </c>
      <c r="E285" s="46">
        <f t="shared" si="21"/>
        <v>0.57443749999999993</v>
      </c>
      <c r="F285" s="46">
        <f t="shared" si="21"/>
        <v>0.51187499999999986</v>
      </c>
      <c r="G285" s="46">
        <f t="shared" si="21"/>
        <v>0.41749999999999987</v>
      </c>
      <c r="H285" s="46">
        <f t="shared" si="21"/>
        <v>0.29625000000000001</v>
      </c>
      <c r="I285" s="46">
        <f t="shared" si="21"/>
        <v>0.15500000000000003</v>
      </c>
      <c r="J285" s="46">
        <f t="shared" si="21"/>
        <v>0</v>
      </c>
    </row>
    <row r="286" spans="1:10" ht="20.100000000000001" customHeight="1" x14ac:dyDescent="0.25">
      <c r="A286" s="38">
        <f t="shared" si="19"/>
        <v>0.52000000000000013</v>
      </c>
      <c r="B286" s="46">
        <f t="shared" si="21"/>
        <v>0.60479999999999989</v>
      </c>
      <c r="C286" s="46">
        <f t="shared" si="21"/>
        <v>0.60286463999999995</v>
      </c>
      <c r="D286" s="46">
        <f t="shared" si="21"/>
        <v>0.58955903999999992</v>
      </c>
      <c r="E286" s="46">
        <f t="shared" si="21"/>
        <v>0.55587167999999987</v>
      </c>
      <c r="F286" s="46">
        <f t="shared" si="21"/>
        <v>0.49533119999999986</v>
      </c>
      <c r="G286" s="46">
        <f t="shared" si="21"/>
        <v>0.40400639999999999</v>
      </c>
      <c r="H286" s="46">
        <f t="shared" si="21"/>
        <v>0.28667519999999991</v>
      </c>
      <c r="I286" s="46">
        <f t="shared" si="21"/>
        <v>0.14999039999999997</v>
      </c>
      <c r="J286" s="46">
        <f t="shared" si="21"/>
        <v>0</v>
      </c>
    </row>
    <row r="287" spans="1:10" ht="20.100000000000001" customHeight="1" x14ac:dyDescent="0.25">
      <c r="A287" s="38">
        <f t="shared" si="19"/>
        <v>0.54000000000000015</v>
      </c>
      <c r="B287" s="46">
        <f t="shared" si="21"/>
        <v>0.58419999999999983</v>
      </c>
      <c r="C287" s="46">
        <f t="shared" si="21"/>
        <v>0.58233055999999983</v>
      </c>
      <c r="D287" s="46">
        <f t="shared" si="21"/>
        <v>0.56947815999999984</v>
      </c>
      <c r="E287" s="46">
        <f t="shared" si="21"/>
        <v>0.53693821999999991</v>
      </c>
      <c r="F287" s="46">
        <f t="shared" si="21"/>
        <v>0.47845979999999988</v>
      </c>
      <c r="G287" s="46">
        <f t="shared" si="21"/>
        <v>0.39024559999999986</v>
      </c>
      <c r="H287" s="46">
        <f t="shared" si="21"/>
        <v>0.27691080000000001</v>
      </c>
      <c r="I287" s="46">
        <f t="shared" si="21"/>
        <v>0.14488159999999994</v>
      </c>
      <c r="J287" s="46">
        <f t="shared" si="21"/>
        <v>0</v>
      </c>
    </row>
    <row r="288" spans="1:10" ht="20.100000000000001" customHeight="1" x14ac:dyDescent="0.25">
      <c r="A288" s="38">
        <f t="shared" si="19"/>
        <v>0.56000000000000016</v>
      </c>
      <c r="B288" s="46">
        <f t="shared" si="21"/>
        <v>0.56319999999999981</v>
      </c>
      <c r="C288" s="46">
        <f t="shared" si="21"/>
        <v>0.56139775999999975</v>
      </c>
      <c r="D288" s="46">
        <f t="shared" si="21"/>
        <v>0.54900735999999983</v>
      </c>
      <c r="E288" s="46">
        <f t="shared" si="21"/>
        <v>0.51763711999999984</v>
      </c>
      <c r="F288" s="46">
        <f t="shared" si="21"/>
        <v>0.4612607999999998</v>
      </c>
      <c r="G288" s="46">
        <f t="shared" si="21"/>
        <v>0.37621759999999982</v>
      </c>
      <c r="H288" s="46">
        <f t="shared" si="21"/>
        <v>0.26695679999999977</v>
      </c>
      <c r="I288" s="46">
        <f t="shared" si="21"/>
        <v>0.13967359999999995</v>
      </c>
      <c r="J288" s="46">
        <f t="shared" si="21"/>
        <v>0</v>
      </c>
    </row>
    <row r="289" spans="1:10" ht="20.100000000000001" customHeight="1" x14ac:dyDescent="0.25">
      <c r="A289" s="38">
        <f t="shared" si="19"/>
        <v>0.58000000000000018</v>
      </c>
      <c r="B289" s="46">
        <f t="shared" si="21"/>
        <v>0.54179999999999984</v>
      </c>
      <c r="C289" s="46">
        <f t="shared" si="21"/>
        <v>0.54006623999999981</v>
      </c>
      <c r="D289" s="46">
        <f t="shared" si="21"/>
        <v>0.52814663999999989</v>
      </c>
      <c r="E289" s="46">
        <f t="shared" si="21"/>
        <v>0.49796837999999988</v>
      </c>
      <c r="F289" s="46">
        <f t="shared" si="21"/>
        <v>0.44373419999999986</v>
      </c>
      <c r="G289" s="46">
        <f t="shared" si="21"/>
        <v>0.36192239999999987</v>
      </c>
      <c r="H289" s="46">
        <f t="shared" si="21"/>
        <v>0.25681319999999996</v>
      </c>
      <c r="I289" s="46">
        <f t="shared" si="21"/>
        <v>0.1343664</v>
      </c>
      <c r="J289" s="46">
        <f t="shared" si="21"/>
        <v>0</v>
      </c>
    </row>
    <row r="290" spans="1:10" ht="20.100000000000001" customHeight="1" x14ac:dyDescent="0.25">
      <c r="A290" s="38">
        <f t="shared" si="19"/>
        <v>0.6000000000000002</v>
      </c>
      <c r="B290" s="46">
        <f t="shared" si="21"/>
        <v>0.5199999999999998</v>
      </c>
      <c r="C290" s="46">
        <f t="shared" si="21"/>
        <v>0.51833599999999969</v>
      </c>
      <c r="D290" s="46">
        <f t="shared" si="21"/>
        <v>0.50689599999999979</v>
      </c>
      <c r="E290" s="46">
        <f t="shared" si="21"/>
        <v>0.4779319999999998</v>
      </c>
      <c r="F290" s="46">
        <f t="shared" si="21"/>
        <v>0.42587999999999981</v>
      </c>
      <c r="G290" s="46">
        <f t="shared" si="21"/>
        <v>0.34735999999999989</v>
      </c>
      <c r="H290" s="46">
        <f t="shared" si="21"/>
        <v>0.24647999999999992</v>
      </c>
      <c r="I290" s="46">
        <f t="shared" si="21"/>
        <v>0.12895999999999985</v>
      </c>
      <c r="J290" s="46">
        <f t="shared" si="21"/>
        <v>0</v>
      </c>
    </row>
    <row r="291" spans="1:10" ht="20.100000000000001" customHeight="1" x14ac:dyDescent="0.25">
      <c r="A291" s="38">
        <f t="shared" si="19"/>
        <v>0.62000000000000022</v>
      </c>
      <c r="B291" s="46">
        <f t="shared" si="21"/>
        <v>0.4977999999999998</v>
      </c>
      <c r="C291" s="46">
        <f t="shared" si="21"/>
        <v>0.49620703999999982</v>
      </c>
      <c r="D291" s="46">
        <f t="shared" si="21"/>
        <v>0.48525543999999987</v>
      </c>
      <c r="E291" s="46">
        <f t="shared" si="21"/>
        <v>0.45752797999999983</v>
      </c>
      <c r="F291" s="46">
        <f t="shared" si="21"/>
        <v>0.40769819999999979</v>
      </c>
      <c r="G291" s="46">
        <f t="shared" si="21"/>
        <v>0.33253039999999989</v>
      </c>
      <c r="H291" s="46">
        <f t="shared" si="21"/>
        <v>0.23595719999999987</v>
      </c>
      <c r="I291" s="46">
        <f t="shared" si="21"/>
        <v>0.12345439999999996</v>
      </c>
      <c r="J291" s="46">
        <f t="shared" si="21"/>
        <v>0</v>
      </c>
    </row>
    <row r="292" spans="1:10" ht="20.100000000000001" customHeight="1" x14ac:dyDescent="0.25">
      <c r="A292" s="38">
        <f t="shared" si="19"/>
        <v>0.64000000000000024</v>
      </c>
      <c r="B292" s="46">
        <f t="shared" si="21"/>
        <v>0.47519999999999973</v>
      </c>
      <c r="C292" s="46">
        <f t="shared" si="21"/>
        <v>0.47367935999999977</v>
      </c>
      <c r="D292" s="46">
        <f t="shared" si="21"/>
        <v>0.46322495999999969</v>
      </c>
      <c r="E292" s="46">
        <f t="shared" si="21"/>
        <v>0.43675631999999975</v>
      </c>
      <c r="F292" s="46">
        <f t="shared" si="21"/>
        <v>0.38918879999999978</v>
      </c>
      <c r="G292" s="46">
        <f t="shared" si="21"/>
        <v>0.31743359999999976</v>
      </c>
      <c r="H292" s="46">
        <f t="shared" si="21"/>
        <v>0.2252447999999998</v>
      </c>
      <c r="I292" s="46">
        <f t="shared" si="21"/>
        <v>0.11784959999999989</v>
      </c>
      <c r="J292" s="46">
        <f t="shared" si="21"/>
        <v>0</v>
      </c>
    </row>
    <row r="293" spans="1:10" ht="20.100000000000001" customHeight="1" x14ac:dyDescent="0.25">
      <c r="A293" s="38">
        <f t="shared" si="19"/>
        <v>0.66000000000000025</v>
      </c>
      <c r="B293" s="46">
        <f t="shared" ref="B293:J308" si="22">1+B226</f>
        <v>0.45219999999999971</v>
      </c>
      <c r="C293" s="46">
        <f t="shared" si="22"/>
        <v>0.45075295999999976</v>
      </c>
      <c r="D293" s="46">
        <f t="shared" si="22"/>
        <v>0.44080455999999968</v>
      </c>
      <c r="E293" s="46">
        <f t="shared" si="22"/>
        <v>0.41561701999999978</v>
      </c>
      <c r="F293" s="46">
        <f t="shared" si="22"/>
        <v>0.37035179999999979</v>
      </c>
      <c r="G293" s="46">
        <f t="shared" si="22"/>
        <v>0.30206959999999983</v>
      </c>
      <c r="H293" s="46">
        <f t="shared" si="22"/>
        <v>0.21434279999999983</v>
      </c>
      <c r="I293" s="46">
        <f t="shared" si="22"/>
        <v>0.11214559999999996</v>
      </c>
      <c r="J293" s="46">
        <f t="shared" si="22"/>
        <v>0</v>
      </c>
    </row>
    <row r="294" spans="1:10" ht="20.100000000000001" customHeight="1" x14ac:dyDescent="0.25">
      <c r="A294" s="38">
        <f t="shared" si="19"/>
        <v>0.68000000000000027</v>
      </c>
      <c r="B294" s="46">
        <f t="shared" si="22"/>
        <v>0.42879999999999963</v>
      </c>
      <c r="C294" s="46">
        <f t="shared" si="22"/>
        <v>0.42742783999999956</v>
      </c>
      <c r="D294" s="46">
        <f t="shared" si="22"/>
        <v>0.41799423999999963</v>
      </c>
      <c r="E294" s="46">
        <f t="shared" si="22"/>
        <v>0.3941100799999997</v>
      </c>
      <c r="F294" s="46">
        <f t="shared" si="22"/>
        <v>0.3511871999999997</v>
      </c>
      <c r="G294" s="46">
        <f t="shared" si="22"/>
        <v>0.28643839999999965</v>
      </c>
      <c r="H294" s="46">
        <f t="shared" si="22"/>
        <v>0.20325119999999985</v>
      </c>
      <c r="I294" s="46">
        <f t="shared" si="22"/>
        <v>0.10634239999999973</v>
      </c>
      <c r="J294" s="46">
        <f t="shared" si="22"/>
        <v>0</v>
      </c>
    </row>
    <row r="295" spans="1:10" ht="20.100000000000001" customHeight="1" x14ac:dyDescent="0.25">
      <c r="A295" s="38">
        <f t="shared" si="19"/>
        <v>0.70000000000000029</v>
      </c>
      <c r="B295" s="46">
        <f t="shared" si="22"/>
        <v>0.40499999999999969</v>
      </c>
      <c r="C295" s="46">
        <f t="shared" si="22"/>
        <v>0.40370399999999973</v>
      </c>
      <c r="D295" s="46">
        <f t="shared" si="22"/>
        <v>0.39479399999999965</v>
      </c>
      <c r="E295" s="46">
        <f t="shared" si="22"/>
        <v>0.37223549999999972</v>
      </c>
      <c r="F295" s="46">
        <f t="shared" si="22"/>
        <v>0.33169499999999974</v>
      </c>
      <c r="G295" s="46">
        <f t="shared" si="22"/>
        <v>0.27053999999999978</v>
      </c>
      <c r="H295" s="46">
        <f t="shared" si="22"/>
        <v>0.19196999999999986</v>
      </c>
      <c r="I295" s="46">
        <f t="shared" si="22"/>
        <v>0.10043999999999986</v>
      </c>
      <c r="J295" s="46">
        <f t="shared" si="22"/>
        <v>0</v>
      </c>
    </row>
    <row r="296" spans="1:10" ht="20.100000000000001" customHeight="1" x14ac:dyDescent="0.25">
      <c r="A296" s="38">
        <f t="shared" si="19"/>
        <v>0.72000000000000031</v>
      </c>
      <c r="B296" s="46">
        <f t="shared" si="22"/>
        <v>0.38079999999999958</v>
      </c>
      <c r="C296" s="46">
        <f t="shared" si="22"/>
        <v>0.37958143999999949</v>
      </c>
      <c r="D296" s="46">
        <f t="shared" si="22"/>
        <v>0.37120383999999962</v>
      </c>
      <c r="E296" s="46">
        <f t="shared" si="22"/>
        <v>0.34999327999999963</v>
      </c>
      <c r="F296" s="46">
        <f t="shared" si="22"/>
        <v>0.31187519999999969</v>
      </c>
      <c r="G296" s="46">
        <f t="shared" si="22"/>
        <v>0.25437439999999967</v>
      </c>
      <c r="H296" s="46">
        <f t="shared" si="22"/>
        <v>0.18049919999999986</v>
      </c>
      <c r="I296" s="46">
        <f t="shared" si="22"/>
        <v>9.4438399999999922E-2</v>
      </c>
      <c r="J296" s="46">
        <f t="shared" si="22"/>
        <v>0</v>
      </c>
    </row>
    <row r="297" spans="1:10" ht="20.100000000000001" customHeight="1" x14ac:dyDescent="0.25">
      <c r="A297" s="38">
        <f t="shared" si="19"/>
        <v>0.74000000000000032</v>
      </c>
      <c r="B297" s="46">
        <f t="shared" si="22"/>
        <v>0.35619999999999963</v>
      </c>
      <c r="C297" s="46">
        <f t="shared" si="22"/>
        <v>0.35506015999999962</v>
      </c>
      <c r="D297" s="46">
        <f t="shared" si="22"/>
        <v>0.34722375999999966</v>
      </c>
      <c r="E297" s="46">
        <f t="shared" si="22"/>
        <v>0.32738341999999965</v>
      </c>
      <c r="F297" s="46">
        <f t="shared" si="22"/>
        <v>0.29172779999999965</v>
      </c>
      <c r="G297" s="46">
        <f t="shared" si="22"/>
        <v>0.23794159999999975</v>
      </c>
      <c r="H297" s="46">
        <f t="shared" si="22"/>
        <v>0.16883879999999973</v>
      </c>
      <c r="I297" s="46">
        <f t="shared" si="22"/>
        <v>8.8337599999999794E-2</v>
      </c>
      <c r="J297" s="46">
        <f t="shared" si="22"/>
        <v>0</v>
      </c>
    </row>
    <row r="298" spans="1:10" ht="20.100000000000001" customHeight="1" x14ac:dyDescent="0.25">
      <c r="A298" s="38">
        <f t="shared" si="19"/>
        <v>0.76000000000000034</v>
      </c>
      <c r="B298" s="46">
        <f t="shared" si="22"/>
        <v>0.33119999999999949</v>
      </c>
      <c r="C298" s="46">
        <f t="shared" si="22"/>
        <v>0.33014015999999946</v>
      </c>
      <c r="D298" s="46">
        <f t="shared" si="22"/>
        <v>0.32285375999999943</v>
      </c>
      <c r="E298" s="46">
        <f t="shared" si="22"/>
        <v>0.30440591999999955</v>
      </c>
      <c r="F298" s="46">
        <f t="shared" si="22"/>
        <v>0.27125279999999963</v>
      </c>
      <c r="G298" s="46">
        <f t="shared" si="22"/>
        <v>0.22124159999999959</v>
      </c>
      <c r="H298" s="46">
        <f t="shared" si="22"/>
        <v>0.15698879999999971</v>
      </c>
      <c r="I298" s="46">
        <f t="shared" si="22"/>
        <v>8.2137599999999811E-2</v>
      </c>
      <c r="J298" s="46">
        <f t="shared" si="22"/>
        <v>0</v>
      </c>
    </row>
    <row r="299" spans="1:10" ht="20.100000000000001" customHeight="1" x14ac:dyDescent="0.25">
      <c r="A299" s="38">
        <f t="shared" si="19"/>
        <v>0.78000000000000036</v>
      </c>
      <c r="B299" s="46">
        <f t="shared" si="22"/>
        <v>0.30579999999999952</v>
      </c>
      <c r="C299" s="46">
        <f t="shared" si="22"/>
        <v>0.30482143999999967</v>
      </c>
      <c r="D299" s="46">
        <f t="shared" si="22"/>
        <v>0.2980938399999995</v>
      </c>
      <c r="E299" s="46">
        <f t="shared" si="22"/>
        <v>0.28106077999999957</v>
      </c>
      <c r="F299" s="46">
        <f t="shared" si="22"/>
        <v>0.25045019999999962</v>
      </c>
      <c r="G299" s="46">
        <f t="shared" si="22"/>
        <v>0.20427439999999963</v>
      </c>
      <c r="H299" s="46">
        <f t="shared" si="22"/>
        <v>0.14494919999999978</v>
      </c>
      <c r="I299" s="46">
        <f t="shared" si="22"/>
        <v>7.5838399999999861E-2</v>
      </c>
      <c r="J299" s="46">
        <f t="shared" si="22"/>
        <v>0</v>
      </c>
    </row>
    <row r="300" spans="1:10" ht="20.100000000000001" customHeight="1" x14ac:dyDescent="0.25">
      <c r="A300" s="38">
        <f t="shared" si="19"/>
        <v>0.80000000000000038</v>
      </c>
      <c r="B300" s="46">
        <f t="shared" si="22"/>
        <v>0.27999999999999958</v>
      </c>
      <c r="C300" s="46">
        <f t="shared" si="22"/>
        <v>0.27910399999999957</v>
      </c>
      <c r="D300" s="46">
        <f t="shared" si="22"/>
        <v>0.27294399999999952</v>
      </c>
      <c r="E300" s="46">
        <f t="shared" si="22"/>
        <v>0.25734799999999969</v>
      </c>
      <c r="F300" s="46">
        <f t="shared" si="22"/>
        <v>0.22931999999999964</v>
      </c>
      <c r="G300" s="46">
        <f t="shared" si="22"/>
        <v>0.18703999999999965</v>
      </c>
      <c r="H300" s="46">
        <f t="shared" si="22"/>
        <v>0.13271999999999973</v>
      </c>
      <c r="I300" s="46">
        <f t="shared" si="22"/>
        <v>6.9439999999999835E-2</v>
      </c>
      <c r="J300" s="46">
        <f t="shared" si="22"/>
        <v>0</v>
      </c>
    </row>
    <row r="301" spans="1:10" ht="20.100000000000001" customHeight="1" x14ac:dyDescent="0.25">
      <c r="A301" s="38">
        <f t="shared" si="19"/>
        <v>0.8200000000000004</v>
      </c>
      <c r="B301" s="46">
        <f t="shared" si="22"/>
        <v>0.25379999999999958</v>
      </c>
      <c r="C301" s="46">
        <f t="shared" si="22"/>
        <v>0.25298783999999952</v>
      </c>
      <c r="D301" s="46">
        <f t="shared" si="22"/>
        <v>0.2474042399999995</v>
      </c>
      <c r="E301" s="46">
        <f t="shared" si="22"/>
        <v>0.23326757999999959</v>
      </c>
      <c r="F301" s="46">
        <f t="shared" si="22"/>
        <v>0.20786219999999955</v>
      </c>
      <c r="G301" s="46">
        <f t="shared" si="22"/>
        <v>0.16953839999999976</v>
      </c>
      <c r="H301" s="46">
        <f t="shared" si="22"/>
        <v>0.12030119999999977</v>
      </c>
      <c r="I301" s="46">
        <f t="shared" si="22"/>
        <v>6.2942399999999843E-2</v>
      </c>
      <c r="J301" s="46">
        <f t="shared" si="22"/>
        <v>0</v>
      </c>
    </row>
    <row r="302" spans="1:10" ht="20.100000000000001" customHeight="1" x14ac:dyDescent="0.25">
      <c r="A302" s="38">
        <f t="shared" si="19"/>
        <v>0.84000000000000041</v>
      </c>
      <c r="B302" s="46">
        <f t="shared" si="22"/>
        <v>0.2271999999999994</v>
      </c>
      <c r="C302" s="46">
        <f t="shared" si="22"/>
        <v>0.22647295999999939</v>
      </c>
      <c r="D302" s="46">
        <f t="shared" si="22"/>
        <v>0.22147455999999943</v>
      </c>
      <c r="E302" s="46">
        <f t="shared" si="22"/>
        <v>0.20881951999999937</v>
      </c>
      <c r="F302" s="46">
        <f t="shared" si="22"/>
        <v>0.1860767999999996</v>
      </c>
      <c r="G302" s="46">
        <f t="shared" si="22"/>
        <v>0.15176959999999962</v>
      </c>
      <c r="H302" s="46">
        <f t="shared" si="22"/>
        <v>0.10769279999999981</v>
      </c>
      <c r="I302" s="46">
        <f t="shared" si="22"/>
        <v>5.6345599999999774E-2</v>
      </c>
      <c r="J302" s="46">
        <f t="shared" si="22"/>
        <v>0</v>
      </c>
    </row>
    <row r="303" spans="1:10" ht="20.100000000000001" customHeight="1" x14ac:dyDescent="0.25">
      <c r="A303" s="38">
        <f t="shared" si="19"/>
        <v>0.86000000000000043</v>
      </c>
      <c r="B303" s="46">
        <f t="shared" si="22"/>
        <v>0.20019999999999949</v>
      </c>
      <c r="C303" s="46">
        <f t="shared" si="22"/>
        <v>0.19955935999999952</v>
      </c>
      <c r="D303" s="46">
        <f t="shared" si="22"/>
        <v>0.19515495999999954</v>
      </c>
      <c r="E303" s="46">
        <f t="shared" si="22"/>
        <v>0.18400381999999949</v>
      </c>
      <c r="F303" s="46">
        <f t="shared" si="22"/>
        <v>0.16396379999999966</v>
      </c>
      <c r="G303" s="46">
        <f t="shared" si="22"/>
        <v>0.13373359999999967</v>
      </c>
      <c r="H303" s="46">
        <f t="shared" si="22"/>
        <v>9.4894799999999724E-2</v>
      </c>
      <c r="I303" s="46">
        <f t="shared" si="22"/>
        <v>4.964959999999996E-2</v>
      </c>
      <c r="J303" s="46">
        <f t="shared" si="22"/>
        <v>0</v>
      </c>
    </row>
    <row r="304" spans="1:10" ht="20.100000000000001" customHeight="1" x14ac:dyDescent="0.25">
      <c r="A304" s="38">
        <f t="shared" si="19"/>
        <v>0.88000000000000045</v>
      </c>
      <c r="B304" s="46">
        <f t="shared" si="22"/>
        <v>0.1727999999999994</v>
      </c>
      <c r="C304" s="46">
        <f t="shared" si="22"/>
        <v>0.17224703999999946</v>
      </c>
      <c r="D304" s="46">
        <f t="shared" si="22"/>
        <v>0.16844543999999939</v>
      </c>
      <c r="E304" s="46">
        <f t="shared" si="22"/>
        <v>0.1588204799999996</v>
      </c>
      <c r="F304" s="46">
        <f t="shared" si="22"/>
        <v>0.14152319999999963</v>
      </c>
      <c r="G304" s="46">
        <f t="shared" si="22"/>
        <v>0.1154303999999996</v>
      </c>
      <c r="H304" s="46">
        <f t="shared" si="22"/>
        <v>8.1907199999999736E-2</v>
      </c>
      <c r="I304" s="46">
        <f t="shared" si="22"/>
        <v>4.2854399999999959E-2</v>
      </c>
      <c r="J304" s="46">
        <f t="shared" si="22"/>
        <v>0</v>
      </c>
    </row>
    <row r="305" spans="1:10" ht="20.100000000000001" customHeight="1" x14ac:dyDescent="0.25">
      <c r="A305" s="38">
        <f t="shared" si="19"/>
        <v>0.90000000000000047</v>
      </c>
      <c r="B305" s="46">
        <f t="shared" si="22"/>
        <v>0.14499999999999924</v>
      </c>
      <c r="C305" s="46">
        <f t="shared" si="22"/>
        <v>0.14453599999999922</v>
      </c>
      <c r="D305" s="46">
        <f t="shared" si="22"/>
        <v>0.14134599999999931</v>
      </c>
      <c r="E305" s="46">
        <f t="shared" si="22"/>
        <v>0.13326949999999937</v>
      </c>
      <c r="F305" s="46">
        <f t="shared" si="22"/>
        <v>0.1187549999999995</v>
      </c>
      <c r="G305" s="46">
        <f t="shared" si="22"/>
        <v>9.6859999999999502E-2</v>
      </c>
      <c r="H305" s="46">
        <f t="shared" si="22"/>
        <v>6.8729999999999625E-2</v>
      </c>
      <c r="I305" s="46">
        <f t="shared" si="22"/>
        <v>3.595999999999977E-2</v>
      </c>
      <c r="J305" s="46">
        <f t="shared" si="22"/>
        <v>0</v>
      </c>
    </row>
    <row r="306" spans="1:10" ht="20.100000000000001" customHeight="1" x14ac:dyDescent="0.25">
      <c r="A306" s="38">
        <f t="shared" si="19"/>
        <v>0.92000000000000048</v>
      </c>
      <c r="B306" s="46">
        <f t="shared" si="22"/>
        <v>0.11679999999999935</v>
      </c>
      <c r="C306" s="46">
        <f t="shared" si="22"/>
        <v>0.11642623999999946</v>
      </c>
      <c r="D306" s="46">
        <f t="shared" si="22"/>
        <v>0.1138566399999994</v>
      </c>
      <c r="E306" s="46">
        <f t="shared" si="22"/>
        <v>0.10735087999999948</v>
      </c>
      <c r="F306" s="46">
        <f t="shared" si="22"/>
        <v>9.56591999999995E-2</v>
      </c>
      <c r="G306" s="46">
        <f t="shared" si="22"/>
        <v>7.8022399999999603E-2</v>
      </c>
      <c r="H306" s="46">
        <f t="shared" si="22"/>
        <v>5.5363199999999724E-2</v>
      </c>
      <c r="I306" s="46">
        <f t="shared" si="22"/>
        <v>2.8966399999999948E-2</v>
      </c>
      <c r="J306" s="46">
        <f t="shared" si="22"/>
        <v>0</v>
      </c>
    </row>
    <row r="307" spans="1:10" ht="20.100000000000001" customHeight="1" x14ac:dyDescent="0.25">
      <c r="A307" s="38">
        <f t="shared" si="19"/>
        <v>0.9400000000000005</v>
      </c>
      <c r="B307" s="46">
        <f t="shared" si="22"/>
        <v>8.8199999999999168E-2</v>
      </c>
      <c r="C307" s="46">
        <f t="shared" si="22"/>
        <v>8.791775999999929E-2</v>
      </c>
      <c r="D307" s="46">
        <f t="shared" si="22"/>
        <v>8.5977359999999226E-2</v>
      </c>
      <c r="E307" s="46">
        <f t="shared" si="22"/>
        <v>8.1064619999999254E-2</v>
      </c>
      <c r="F307" s="46">
        <f t="shared" si="22"/>
        <v>7.2235799999999406E-2</v>
      </c>
      <c r="G307" s="46">
        <f t="shared" si="22"/>
        <v>5.8917599999999459E-2</v>
      </c>
      <c r="H307" s="46">
        <f t="shared" si="22"/>
        <v>4.18067999999997E-2</v>
      </c>
      <c r="I307" s="46">
        <f t="shared" si="22"/>
        <v>2.1873599999999827E-2</v>
      </c>
      <c r="J307" s="46">
        <f t="shared" si="22"/>
        <v>0</v>
      </c>
    </row>
    <row r="308" spans="1:10" ht="20.100000000000001" customHeight="1" x14ac:dyDescent="0.25">
      <c r="A308" s="38">
        <f t="shared" si="19"/>
        <v>0.96000000000000052</v>
      </c>
      <c r="B308" s="46">
        <f t="shared" si="22"/>
        <v>5.9199999999999253E-2</v>
      </c>
      <c r="C308" s="46">
        <f t="shared" si="22"/>
        <v>5.9010559999999268E-2</v>
      </c>
      <c r="D308" s="46">
        <f t="shared" si="22"/>
        <v>5.7708159999999231E-2</v>
      </c>
      <c r="E308" s="46">
        <f t="shared" si="22"/>
        <v>5.4410719999999357E-2</v>
      </c>
      <c r="F308" s="46">
        <f t="shared" si="22"/>
        <v>4.8484799999999328E-2</v>
      </c>
      <c r="G308" s="46">
        <f t="shared" si="22"/>
        <v>3.9545599999999625E-2</v>
      </c>
      <c r="H308" s="46">
        <f t="shared" si="22"/>
        <v>2.8060799999999664E-2</v>
      </c>
      <c r="I308" s="46">
        <f t="shared" si="22"/>
        <v>1.468159999999985E-2</v>
      </c>
      <c r="J308" s="46">
        <f t="shared" si="22"/>
        <v>0</v>
      </c>
    </row>
    <row r="309" spans="1:10" ht="20.100000000000001" customHeight="1" x14ac:dyDescent="0.25">
      <c r="A309" s="38">
        <f t="shared" si="19"/>
        <v>0.98000000000000054</v>
      </c>
      <c r="B309" s="46">
        <f t="shared" ref="B309:J310" si="23">1+B242</f>
        <v>2.979999999999916E-2</v>
      </c>
      <c r="C309" s="46">
        <f t="shared" si="23"/>
        <v>2.9704639999999172E-2</v>
      </c>
      <c r="D309" s="46">
        <f t="shared" si="23"/>
        <v>2.9049039999999193E-2</v>
      </c>
      <c r="E309" s="46">
        <f t="shared" si="23"/>
        <v>2.7389179999999236E-2</v>
      </c>
      <c r="F309" s="46">
        <f t="shared" si="23"/>
        <v>2.4406199999999378E-2</v>
      </c>
      <c r="G309" s="46">
        <f t="shared" si="23"/>
        <v>1.9906399999999436E-2</v>
      </c>
      <c r="H309" s="46">
        <f t="shared" si="23"/>
        <v>1.4125199999999616E-2</v>
      </c>
      <c r="I309" s="46">
        <f t="shared" si="23"/>
        <v>7.3903999999997971E-3</v>
      </c>
      <c r="J309" s="46">
        <f t="shared" si="23"/>
        <v>0</v>
      </c>
    </row>
    <row r="310" spans="1:10" ht="20.100000000000001" customHeight="1" x14ac:dyDescent="0.25">
      <c r="A310" s="38">
        <f t="shared" si="19"/>
        <v>1.0000000000000004</v>
      </c>
      <c r="B310" s="46">
        <f t="shared" si="23"/>
        <v>0</v>
      </c>
      <c r="C310" s="46">
        <f t="shared" si="23"/>
        <v>0</v>
      </c>
      <c r="D310" s="46">
        <f t="shared" si="23"/>
        <v>0</v>
      </c>
      <c r="E310" s="46">
        <f t="shared" si="23"/>
        <v>0</v>
      </c>
      <c r="F310" s="46">
        <f t="shared" si="23"/>
        <v>0</v>
      </c>
      <c r="G310" s="46">
        <f t="shared" si="23"/>
        <v>0</v>
      </c>
      <c r="H310" s="46">
        <f t="shared" si="23"/>
        <v>0</v>
      </c>
      <c r="I310" s="46">
        <f t="shared" si="23"/>
        <v>0</v>
      </c>
      <c r="J310" s="46">
        <f t="shared" si="23"/>
        <v>0</v>
      </c>
    </row>
    <row r="312" spans="1:10" ht="20.100000000000001" customHeight="1" x14ac:dyDescent="0.25">
      <c r="A312" s="236" t="s">
        <v>390</v>
      </c>
      <c r="B312" s="236"/>
      <c r="C312" s="236"/>
      <c r="D312" s="236"/>
      <c r="E312" s="236"/>
      <c r="F312" s="236"/>
      <c r="G312" s="236"/>
      <c r="H312" s="236"/>
      <c r="I312" s="236"/>
      <c r="J312" s="236"/>
    </row>
    <row r="313" spans="1:10" ht="20.100000000000001" customHeight="1" x14ac:dyDescent="0.25">
      <c r="A313" s="236"/>
      <c r="B313" s="236"/>
      <c r="C313" s="236"/>
      <c r="D313" s="236"/>
      <c r="E313" s="236"/>
      <c r="F313" s="236"/>
      <c r="G313" s="236"/>
      <c r="H313" s="236"/>
      <c r="I313" s="236"/>
      <c r="J313" s="236"/>
    </row>
    <row r="315" spans="1:10" ht="20.100000000000001" customHeight="1" x14ac:dyDescent="0.25">
      <c r="C315" s="45"/>
    </row>
    <row r="322" spans="1:21" ht="20.100000000000001" customHeight="1" x14ac:dyDescent="0.25">
      <c r="A322" s="236" t="s">
        <v>80</v>
      </c>
      <c r="B322" s="236"/>
      <c r="C322" s="236"/>
      <c r="D322" s="236"/>
      <c r="E322" s="236"/>
      <c r="F322" s="236"/>
      <c r="G322" s="236"/>
      <c r="H322" s="236"/>
      <c r="I322" s="236"/>
      <c r="J322" s="236"/>
    </row>
    <row r="323" spans="1:21" ht="20.100000000000001" customHeight="1" x14ac:dyDescent="0.25">
      <c r="A323" s="236" t="s">
        <v>81</v>
      </c>
      <c r="B323" s="236"/>
      <c r="C323" s="236"/>
      <c r="D323" s="236"/>
      <c r="E323" s="236"/>
      <c r="F323" s="236"/>
      <c r="G323" s="236"/>
      <c r="H323" s="236"/>
      <c r="I323" s="236"/>
      <c r="J323" s="236"/>
      <c r="K323" s="27"/>
      <c r="L323" s="27"/>
      <c r="M323" s="27"/>
      <c r="N323" s="27"/>
      <c r="O323" s="27"/>
      <c r="P323" s="27"/>
      <c r="Q323" s="27"/>
      <c r="R323" s="27"/>
    </row>
    <row r="324" spans="1:21" ht="39.950000000000003" customHeight="1" x14ac:dyDescent="0.25">
      <c r="A324" s="236" t="s">
        <v>120</v>
      </c>
      <c r="B324" s="236"/>
      <c r="C324" s="236"/>
      <c r="D324" s="236"/>
      <c r="E324" s="236"/>
      <c r="F324" s="236"/>
      <c r="G324" s="236"/>
      <c r="H324" s="236"/>
      <c r="I324" s="236"/>
      <c r="J324" s="236"/>
    </row>
    <row r="325" spans="1:21" ht="20.100000000000001" customHeight="1" x14ac:dyDescent="0.25">
      <c r="A325" s="236" t="s">
        <v>391</v>
      </c>
      <c r="B325" s="236"/>
      <c r="C325" s="236"/>
      <c r="D325" s="236"/>
      <c r="E325" s="236"/>
      <c r="F325" s="236"/>
      <c r="G325" s="236"/>
      <c r="H325" s="236"/>
      <c r="I325" s="236"/>
      <c r="J325" s="236"/>
    </row>
    <row r="326" spans="1:21" ht="20.100000000000001" customHeight="1" x14ac:dyDescent="0.25">
      <c r="A326" s="236" t="s">
        <v>392</v>
      </c>
      <c r="B326" s="236"/>
      <c r="C326" s="236"/>
      <c r="D326" s="236"/>
      <c r="E326" s="236"/>
      <c r="F326" s="236"/>
      <c r="G326" s="236"/>
      <c r="H326" s="236"/>
      <c r="I326" s="236"/>
      <c r="J326" s="236"/>
    </row>
    <row r="327" spans="1:21" ht="39.950000000000003" customHeight="1" x14ac:dyDescent="0.25">
      <c r="A327" s="236" t="s">
        <v>393</v>
      </c>
      <c r="B327" s="236"/>
      <c r="C327" s="236"/>
      <c r="D327" s="236"/>
      <c r="E327" s="236"/>
      <c r="F327" s="236"/>
      <c r="G327" s="236"/>
      <c r="H327" s="236"/>
      <c r="I327" s="236"/>
      <c r="J327" s="236"/>
    </row>
    <row r="328" spans="1:21" ht="39.950000000000003" customHeight="1" x14ac:dyDescent="0.25">
      <c r="A328" s="236" t="s">
        <v>394</v>
      </c>
      <c r="B328" s="236"/>
      <c r="C328" s="236"/>
      <c r="D328" s="236"/>
      <c r="E328" s="236"/>
      <c r="F328" s="236"/>
      <c r="G328" s="236"/>
      <c r="H328" s="236"/>
      <c r="I328" s="236"/>
      <c r="J328" s="236"/>
    </row>
    <row r="329" spans="1:21" ht="20.100000000000001" customHeight="1" x14ac:dyDescent="0.25">
      <c r="A329" s="236" t="s">
        <v>395</v>
      </c>
      <c r="B329" s="236"/>
      <c r="C329" s="236"/>
      <c r="D329" s="236"/>
      <c r="E329" s="236"/>
      <c r="F329" s="236"/>
      <c r="G329" s="236"/>
      <c r="H329" s="236"/>
      <c r="I329" s="236"/>
      <c r="J329" s="236"/>
    </row>
    <row r="330" spans="1:21" ht="20.100000000000001" customHeight="1" x14ac:dyDescent="0.25">
      <c r="A330" s="236" t="s">
        <v>121</v>
      </c>
      <c r="B330" s="236"/>
      <c r="C330" s="236"/>
      <c r="D330" s="236"/>
      <c r="E330" s="236"/>
      <c r="F330" s="236"/>
      <c r="G330" s="236"/>
      <c r="H330" s="236"/>
      <c r="I330" s="236"/>
      <c r="J330" s="236"/>
    </row>
    <row r="331" spans="1:21" ht="39.950000000000003" customHeight="1" x14ac:dyDescent="0.25">
      <c r="A331" s="236" t="s">
        <v>396</v>
      </c>
      <c r="B331" s="236"/>
      <c r="C331" s="236"/>
      <c r="D331" s="236"/>
      <c r="E331" s="236"/>
      <c r="F331" s="236"/>
      <c r="G331" s="236"/>
      <c r="H331" s="236"/>
      <c r="I331" s="236"/>
      <c r="J331" s="236"/>
    </row>
    <row r="332" spans="1:21" ht="39.950000000000003" customHeight="1" x14ac:dyDescent="0.25">
      <c r="A332" s="236" t="s">
        <v>397</v>
      </c>
      <c r="B332" s="236"/>
      <c r="C332" s="236"/>
      <c r="D332" s="236"/>
      <c r="E332" s="236"/>
      <c r="F332" s="236"/>
      <c r="G332" s="236"/>
      <c r="H332" s="236"/>
      <c r="I332" s="236"/>
      <c r="J332" s="236"/>
    </row>
    <row r="333" spans="1:21" ht="39.950000000000003" customHeight="1" x14ac:dyDescent="0.25">
      <c r="A333" s="236" t="s">
        <v>123</v>
      </c>
      <c r="B333" s="236"/>
      <c r="C333" s="236"/>
      <c r="D333" s="236"/>
      <c r="E333" s="236"/>
      <c r="F333" s="236"/>
      <c r="G333" s="236"/>
      <c r="H333" s="236"/>
      <c r="I333" s="236"/>
      <c r="J333" s="236"/>
    </row>
    <row r="334" spans="1:21" ht="39.950000000000003" customHeight="1" x14ac:dyDescent="0.25">
      <c r="A334" s="236" t="s">
        <v>398</v>
      </c>
      <c r="B334" s="236"/>
      <c r="C334" s="236"/>
      <c r="D334" s="236"/>
      <c r="E334" s="236"/>
      <c r="F334" s="236"/>
      <c r="G334" s="236"/>
      <c r="H334" s="236"/>
      <c r="I334" s="236"/>
      <c r="J334" s="236"/>
      <c r="L334" s="30"/>
      <c r="M334" s="30"/>
      <c r="N334" s="30"/>
      <c r="O334" s="30"/>
      <c r="P334" s="30"/>
      <c r="Q334" s="30"/>
      <c r="R334" s="30"/>
      <c r="S334" s="30"/>
      <c r="T334" s="30"/>
      <c r="U334" s="30"/>
    </row>
    <row r="335" spans="1:21" ht="39.950000000000003" customHeight="1" x14ac:dyDescent="0.25">
      <c r="A335" s="236" t="s">
        <v>122</v>
      </c>
      <c r="B335" s="236"/>
      <c r="C335" s="236"/>
      <c r="D335" s="236"/>
      <c r="E335" s="236"/>
      <c r="F335" s="236"/>
      <c r="G335" s="236"/>
      <c r="H335" s="236"/>
      <c r="I335" s="236"/>
      <c r="J335" s="236"/>
      <c r="L335" s="30"/>
      <c r="M335" s="30"/>
      <c r="N335" s="30"/>
      <c r="O335" s="30"/>
      <c r="P335" s="30"/>
      <c r="Q335" s="30"/>
      <c r="R335" s="30"/>
      <c r="S335" s="30"/>
      <c r="T335" s="30"/>
      <c r="U335" s="30"/>
    </row>
    <row r="336" spans="1:21" ht="39.950000000000003" customHeight="1" x14ac:dyDescent="0.25">
      <c r="A336" s="236" t="s">
        <v>399</v>
      </c>
      <c r="B336" s="236"/>
      <c r="C336" s="236"/>
      <c r="D336" s="236"/>
      <c r="E336" s="236"/>
      <c r="F336" s="236"/>
      <c r="G336" s="236"/>
      <c r="H336" s="236"/>
      <c r="I336" s="236"/>
      <c r="J336" s="236"/>
      <c r="L336" s="30"/>
      <c r="M336" s="30"/>
      <c r="N336" s="30"/>
      <c r="O336" s="30"/>
      <c r="P336" s="30"/>
      <c r="Q336" s="30"/>
      <c r="R336" s="30"/>
      <c r="S336" s="30"/>
      <c r="T336" s="30"/>
      <c r="U336" s="30"/>
    </row>
    <row r="337" spans="1:10" ht="20.100000000000001" customHeight="1" x14ac:dyDescent="0.25">
      <c r="A337" s="236" t="s">
        <v>400</v>
      </c>
      <c r="B337" s="236"/>
      <c r="C337" s="236"/>
      <c r="D337" s="236"/>
      <c r="E337" s="236"/>
      <c r="F337" s="236"/>
      <c r="G337" s="236"/>
      <c r="H337" s="236"/>
      <c r="I337" s="236"/>
      <c r="J337" s="236"/>
    </row>
    <row r="338" spans="1:10" ht="20.100000000000001" customHeight="1" x14ac:dyDescent="0.25">
      <c r="A338" s="236" t="s">
        <v>401</v>
      </c>
      <c r="B338" s="236"/>
      <c r="C338" s="236"/>
      <c r="D338" s="236"/>
      <c r="E338" s="236"/>
      <c r="F338" s="236"/>
      <c r="G338" s="236"/>
      <c r="H338" s="236"/>
      <c r="I338" s="236"/>
      <c r="J338" s="236"/>
    </row>
    <row r="339" spans="1:10" ht="39.950000000000003" customHeight="1" x14ac:dyDescent="0.25">
      <c r="A339" s="236" t="s">
        <v>402</v>
      </c>
      <c r="B339" s="236"/>
      <c r="C339" s="236"/>
      <c r="D339" s="236"/>
      <c r="E339" s="236"/>
      <c r="F339" s="236"/>
      <c r="G339" s="236"/>
      <c r="H339" s="236"/>
      <c r="I339" s="236"/>
      <c r="J339" s="236"/>
    </row>
    <row r="340" spans="1:10" ht="20.100000000000001" customHeight="1" x14ac:dyDescent="0.25">
      <c r="A340" s="236" t="s">
        <v>403</v>
      </c>
      <c r="B340" s="236"/>
      <c r="C340" s="236"/>
      <c r="D340" s="236"/>
      <c r="E340" s="236"/>
      <c r="F340" s="236"/>
      <c r="G340" s="236"/>
      <c r="H340" s="236"/>
      <c r="I340" s="236"/>
      <c r="J340" s="236"/>
    </row>
    <row r="341" spans="1:10" ht="20.100000000000001" customHeight="1" x14ac:dyDescent="0.25">
      <c r="A341" s="236"/>
      <c r="B341" s="236"/>
      <c r="C341" s="236"/>
      <c r="D341" s="236"/>
      <c r="E341" s="236"/>
      <c r="F341" s="236"/>
      <c r="G341" s="236"/>
      <c r="H341" s="236"/>
      <c r="I341" s="236"/>
      <c r="J341" s="236"/>
    </row>
  </sheetData>
  <mergeCells count="239">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 ref="A322:J322"/>
    <mergeCell ref="A323:J323"/>
    <mergeCell ref="A324:J324"/>
    <mergeCell ref="A325:J325"/>
    <mergeCell ref="A326:J326"/>
    <mergeCell ref="A327:J327"/>
    <mergeCell ref="A245:J247"/>
    <mergeCell ref="A256:A259"/>
    <mergeCell ref="B256:J256"/>
    <mergeCell ref="B257:J257"/>
    <mergeCell ref="B258:J258"/>
    <mergeCell ref="A312:J313"/>
    <mergeCell ref="A118:A121"/>
    <mergeCell ref="B118:J118"/>
    <mergeCell ref="B119:J119"/>
    <mergeCell ref="B120:J120"/>
    <mergeCell ref="A174:J174"/>
    <mergeCell ref="A189:A192"/>
    <mergeCell ref="B189:J189"/>
    <mergeCell ref="B190:J190"/>
    <mergeCell ref="B191:J191"/>
    <mergeCell ref="A114:B114"/>
    <mergeCell ref="C114:D114"/>
    <mergeCell ref="E114:F114"/>
    <mergeCell ref="G114:H114"/>
    <mergeCell ref="I114:J114"/>
    <mergeCell ref="A115:B115"/>
    <mergeCell ref="C115:D115"/>
    <mergeCell ref="E115:F115"/>
    <mergeCell ref="G115:H115"/>
    <mergeCell ref="I115:J115"/>
    <mergeCell ref="A112:B112"/>
    <mergeCell ref="C112:D112"/>
    <mergeCell ref="E112:F112"/>
    <mergeCell ref="G112:H112"/>
    <mergeCell ref="I112:J112"/>
    <mergeCell ref="A113:B113"/>
    <mergeCell ref="C113:D113"/>
    <mergeCell ref="E113:F113"/>
    <mergeCell ref="G113:H113"/>
    <mergeCell ref="I113:J113"/>
    <mergeCell ref="A110:B110"/>
    <mergeCell ref="C110:D110"/>
    <mergeCell ref="E110:F110"/>
    <mergeCell ref="G110:H110"/>
    <mergeCell ref="I110:J110"/>
    <mergeCell ref="A111:B111"/>
    <mergeCell ref="C111:D111"/>
    <mergeCell ref="E111:F111"/>
    <mergeCell ref="G111:H111"/>
    <mergeCell ref="I111:J111"/>
    <mergeCell ref="A108:B108"/>
    <mergeCell ref="C108:D108"/>
    <mergeCell ref="E108:F108"/>
    <mergeCell ref="G108:H108"/>
    <mergeCell ref="I108:J108"/>
    <mergeCell ref="A109:B109"/>
    <mergeCell ref="C109:D109"/>
    <mergeCell ref="E109:F109"/>
    <mergeCell ref="G109:H109"/>
    <mergeCell ref="I109:J109"/>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B32:C34"/>
    <mergeCell ref="D32:F32"/>
    <mergeCell ref="G32:H32"/>
    <mergeCell ref="I32:J32"/>
    <mergeCell ref="D33:F33"/>
    <mergeCell ref="G33:H33"/>
    <mergeCell ref="I33:J33"/>
    <mergeCell ref="D34:F34"/>
    <mergeCell ref="G34:H34"/>
    <mergeCell ref="I34:J34"/>
    <mergeCell ref="G26:H26"/>
    <mergeCell ref="I26:J26"/>
    <mergeCell ref="D30:F30"/>
    <mergeCell ref="G30:H30"/>
    <mergeCell ref="I30:J30"/>
    <mergeCell ref="D31:F31"/>
    <mergeCell ref="G31:H31"/>
    <mergeCell ref="I31:J31"/>
    <mergeCell ref="D27:F27"/>
    <mergeCell ref="G27:H27"/>
    <mergeCell ref="I27:J27"/>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A1:J1"/>
    <mergeCell ref="A3:A5"/>
    <mergeCell ref="B3:C5"/>
    <mergeCell ref="D3:F5"/>
    <mergeCell ref="G3:H4"/>
    <mergeCell ref="I3:J5"/>
    <mergeCell ref="G5:H5"/>
    <mergeCell ref="G8:H8"/>
    <mergeCell ref="I8:J8"/>
  </mergeCells>
  <pageMargins left="0.511811024" right="0.511811024" top="0.78740157499999996" bottom="0.78740157499999996" header="0.31496062000000002" footer="0.31496062000000002"/>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C9B16-6CE1-41E3-8928-3191FECE01C8}">
  <sheetPr>
    <pageSetUpPr fitToPage="1"/>
  </sheetPr>
  <dimension ref="A1:AQ143"/>
  <sheetViews>
    <sheetView workbookViewId="0">
      <selection sqref="A1:AM1"/>
    </sheetView>
  </sheetViews>
  <sheetFormatPr defaultColWidth="3.625" defaultRowHeight="20.100000000000001" customHeight="1" x14ac:dyDescent="0.25"/>
  <cols>
    <col min="1" max="41" width="3.625" style="45"/>
    <col min="42" max="43" width="3.625" style="47"/>
    <col min="44" max="16384" width="3.625" style="77"/>
  </cols>
  <sheetData>
    <row r="1" spans="1:39" s="47" customFormat="1" ht="20.100000000000001" customHeight="1" x14ac:dyDescent="0.25">
      <c r="A1" s="268" t="s">
        <v>497</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row>
    <row r="2" spans="1:39" s="47" customFormat="1" ht="20.100000000000001" customHeight="1" x14ac:dyDescent="0.25">
      <c r="A2" s="268" t="s">
        <v>503</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row>
    <row r="3" spans="1:39" s="47" customFormat="1" ht="20.100000000000001" customHeight="1" x14ac:dyDescent="0.2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row>
    <row r="4" spans="1:39" s="47" customFormat="1" ht="20.100000000000001" customHeight="1" x14ac:dyDescent="0.25">
      <c r="A4" s="269" t="s">
        <v>124</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row>
    <row r="5" spans="1:39" s="47" customFormat="1" ht="20.100000000000001" customHeight="1"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row>
    <row r="6" spans="1:39" s="47" customFormat="1" ht="20.100000000000001" customHeight="1" x14ac:dyDescent="0.25">
      <c r="A6" s="251" t="s">
        <v>125</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L6" s="252"/>
      <c r="AM6" s="253"/>
    </row>
    <row r="7" spans="1:39" s="47" customFormat="1" ht="20.100000000000001" customHeight="1" x14ac:dyDescent="0.25">
      <c r="A7" s="50"/>
      <c r="B7" s="45"/>
      <c r="C7" s="45"/>
      <c r="D7" s="45"/>
      <c r="E7" s="45"/>
      <c r="F7" s="45"/>
      <c r="G7" s="45"/>
      <c r="H7" s="45"/>
      <c r="I7" s="45"/>
      <c r="J7" s="45"/>
      <c r="K7" s="51"/>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52"/>
    </row>
    <row r="8" spans="1:39" s="47" customFormat="1" ht="20.100000000000001" customHeight="1" x14ac:dyDescent="0.25">
      <c r="A8" s="50"/>
      <c r="B8" s="273" t="s">
        <v>246</v>
      </c>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52"/>
    </row>
    <row r="9" spans="1:39" s="47" customFormat="1" ht="20.100000000000001" customHeight="1" x14ac:dyDescent="0.25">
      <c r="A9" s="50"/>
      <c r="B9" s="270" t="s">
        <v>126</v>
      </c>
      <c r="C9" s="271"/>
      <c r="D9" s="271"/>
      <c r="E9" s="271"/>
      <c r="F9" s="271"/>
      <c r="G9" s="271"/>
      <c r="H9" s="271"/>
      <c r="I9" s="271"/>
      <c r="J9" s="271"/>
      <c r="K9" s="272"/>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52"/>
    </row>
    <row r="10" spans="1:39" s="47" customFormat="1" ht="20.100000000000001" customHeight="1" x14ac:dyDescent="0.25">
      <c r="A10" s="50"/>
      <c r="B10" s="270" t="s">
        <v>127</v>
      </c>
      <c r="C10" s="271"/>
      <c r="D10" s="271"/>
      <c r="E10" s="271"/>
      <c r="F10" s="271"/>
      <c r="G10" s="271"/>
      <c r="H10" s="271"/>
      <c r="I10" s="271"/>
      <c r="J10" s="271"/>
      <c r="K10" s="272"/>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52"/>
    </row>
    <row r="11" spans="1:39" s="47" customFormat="1" ht="20.100000000000001" customHeight="1" x14ac:dyDescent="0.25">
      <c r="A11" s="50"/>
      <c r="B11" s="270" t="s">
        <v>128</v>
      </c>
      <c r="C11" s="271"/>
      <c r="D11" s="271"/>
      <c r="E11" s="271"/>
      <c r="F11" s="271"/>
      <c r="G11" s="271"/>
      <c r="H11" s="271"/>
      <c r="I11" s="271"/>
      <c r="J11" s="271"/>
      <c r="K11" s="272"/>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c r="AL11" s="273"/>
      <c r="AM11" s="52"/>
    </row>
    <row r="12" spans="1:39" s="47" customFormat="1" ht="20.100000000000001" customHeight="1" x14ac:dyDescent="0.25">
      <c r="A12" s="50"/>
      <c r="B12" s="270" t="s">
        <v>247</v>
      </c>
      <c r="C12" s="271"/>
      <c r="D12" s="271"/>
      <c r="E12" s="271"/>
      <c r="F12" s="271"/>
      <c r="G12" s="271"/>
      <c r="H12" s="271"/>
      <c r="I12" s="271"/>
      <c r="J12" s="271"/>
      <c r="K12" s="272"/>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52"/>
    </row>
    <row r="13" spans="1:39" s="47" customFormat="1" ht="20.100000000000001" customHeight="1" x14ac:dyDescent="0.25">
      <c r="A13" s="50"/>
      <c r="B13" s="270" t="s">
        <v>248</v>
      </c>
      <c r="C13" s="271"/>
      <c r="D13" s="271"/>
      <c r="E13" s="271"/>
      <c r="F13" s="271"/>
      <c r="G13" s="271"/>
      <c r="H13" s="271"/>
      <c r="I13" s="271"/>
      <c r="J13" s="271"/>
      <c r="K13" s="272"/>
      <c r="L13" s="274"/>
      <c r="M13" s="274"/>
      <c r="N13" s="274"/>
      <c r="O13" s="274"/>
      <c r="P13" s="274"/>
      <c r="Q13" s="274"/>
      <c r="R13" s="274"/>
      <c r="S13" s="274"/>
      <c r="T13" s="274"/>
      <c r="U13" s="274"/>
      <c r="V13" s="274"/>
      <c r="W13" s="274"/>
      <c r="X13" s="274"/>
      <c r="Y13" s="274"/>
      <c r="Z13" s="274"/>
      <c r="AA13" s="274"/>
      <c r="AB13" s="274"/>
      <c r="AC13" s="274"/>
      <c r="AD13" s="274"/>
      <c r="AE13" s="274"/>
      <c r="AF13" s="274"/>
      <c r="AG13" s="274"/>
      <c r="AH13" s="274"/>
      <c r="AI13" s="274"/>
      <c r="AJ13" s="274"/>
      <c r="AK13" s="274"/>
      <c r="AL13" s="274"/>
      <c r="AM13" s="52"/>
    </row>
    <row r="14" spans="1:39" s="47" customFormat="1" ht="20.100000000000001" customHeight="1" x14ac:dyDescent="0.25">
      <c r="A14" s="50"/>
      <c r="B14" s="275" t="s">
        <v>129</v>
      </c>
      <c r="C14" s="276"/>
      <c r="D14" s="276"/>
      <c r="E14" s="276"/>
      <c r="F14" s="276"/>
      <c r="G14" s="276"/>
      <c r="H14" s="276"/>
      <c r="I14" s="276"/>
      <c r="J14" s="276"/>
      <c r="K14" s="277"/>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52"/>
    </row>
    <row r="15" spans="1:39" s="47" customFormat="1" ht="20.100000000000001" customHeight="1" x14ac:dyDescent="0.25">
      <c r="A15" s="50"/>
      <c r="B15" s="275" t="s">
        <v>130</v>
      </c>
      <c r="C15" s="276"/>
      <c r="D15" s="276"/>
      <c r="E15" s="276"/>
      <c r="F15" s="276"/>
      <c r="G15" s="276"/>
      <c r="H15" s="276"/>
      <c r="I15" s="276"/>
      <c r="J15" s="276"/>
      <c r="K15" s="277"/>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52"/>
    </row>
    <row r="16" spans="1:39" s="47" customFormat="1" ht="20.100000000000001" customHeight="1" x14ac:dyDescent="0.25">
      <c r="A16" s="50"/>
      <c r="B16" s="275" t="s">
        <v>249</v>
      </c>
      <c r="C16" s="276"/>
      <c r="D16" s="276"/>
      <c r="E16" s="276"/>
      <c r="F16" s="276"/>
      <c r="G16" s="276"/>
      <c r="H16" s="276"/>
      <c r="I16" s="276"/>
      <c r="J16" s="276"/>
      <c r="K16" s="277"/>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52"/>
    </row>
    <row r="17" spans="1:39" s="47" customFormat="1" ht="20.100000000000001" customHeight="1" thickBot="1" x14ac:dyDescent="0.3">
      <c r="A17" s="54"/>
      <c r="B17" s="49"/>
      <c r="C17" s="49"/>
      <c r="D17" s="49"/>
      <c r="E17" s="49"/>
      <c r="F17" s="49"/>
      <c r="G17" s="49"/>
      <c r="H17" s="49"/>
      <c r="I17" s="49"/>
      <c r="J17" s="49"/>
      <c r="K17" s="55"/>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56"/>
    </row>
    <row r="18" spans="1:39" s="47" customFormat="1" ht="20.100000000000001" customHeight="1" thickBot="1" x14ac:dyDescent="0.3">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row>
    <row r="19" spans="1:39" s="47" customFormat="1" ht="20.100000000000001" customHeight="1" x14ac:dyDescent="0.25">
      <c r="A19" s="251" t="s">
        <v>244</v>
      </c>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3"/>
    </row>
    <row r="20" spans="1:39" s="47" customFormat="1" ht="20.100000000000001" customHeight="1" x14ac:dyDescent="0.25">
      <c r="A20" s="50"/>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52"/>
    </row>
    <row r="21" spans="1:39" s="47" customFormat="1" ht="20.100000000000001" customHeight="1" x14ac:dyDescent="0.25">
      <c r="A21" s="50"/>
      <c r="B21" s="278" t="s">
        <v>131</v>
      </c>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52"/>
    </row>
    <row r="22" spans="1:39" s="47" customFormat="1" ht="20.100000000000001" customHeight="1" x14ac:dyDescent="0.25">
      <c r="A22" s="50"/>
      <c r="B22" s="278" t="s">
        <v>132</v>
      </c>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52"/>
    </row>
    <row r="23" spans="1:39" s="47" customFormat="1" ht="20.100000000000001" customHeight="1" x14ac:dyDescent="0.25">
      <c r="A23" s="50"/>
      <c r="B23" s="278" t="s">
        <v>133</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52"/>
    </row>
    <row r="24" spans="1:39" s="47" customFormat="1" ht="20.100000000000001" customHeight="1" thickBot="1" x14ac:dyDescent="0.3">
      <c r="A24" s="54"/>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56"/>
    </row>
    <row r="25" spans="1:39" s="47" customFormat="1" ht="20.100000000000001" customHeight="1" x14ac:dyDescent="0.25">
      <c r="A25" s="282" t="s">
        <v>134</v>
      </c>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4"/>
    </row>
    <row r="26" spans="1:39" s="47" customFormat="1" ht="20.100000000000001" customHeight="1" x14ac:dyDescent="0.25">
      <c r="A26" s="50"/>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52"/>
    </row>
    <row r="27" spans="1:39" s="47" customFormat="1" ht="20.100000000000001" customHeight="1" x14ac:dyDescent="0.25">
      <c r="A27" s="50"/>
      <c r="B27" s="280" t="s">
        <v>135</v>
      </c>
      <c r="C27" s="280"/>
      <c r="D27" s="280"/>
      <c r="E27" s="280"/>
      <c r="F27" s="280"/>
      <c r="G27" s="280"/>
      <c r="H27" s="280"/>
      <c r="I27" s="280"/>
      <c r="J27" s="280"/>
      <c r="K27" s="280"/>
      <c r="L27" s="280"/>
      <c r="M27" s="280"/>
      <c r="N27" s="280"/>
      <c r="O27" s="45"/>
      <c r="P27" s="45"/>
      <c r="Q27" s="45"/>
      <c r="R27" s="45"/>
      <c r="S27" s="45"/>
      <c r="T27" s="45"/>
      <c r="U27" s="45"/>
      <c r="V27" s="281" t="s">
        <v>136</v>
      </c>
      <c r="W27" s="281"/>
      <c r="X27" s="281"/>
      <c r="Y27" s="281"/>
      <c r="Z27" s="281"/>
      <c r="AA27" s="281"/>
      <c r="AB27" s="281"/>
      <c r="AC27" s="281"/>
      <c r="AD27" s="281"/>
      <c r="AE27" s="281"/>
      <c r="AF27" s="281"/>
      <c r="AG27" s="281"/>
      <c r="AH27" s="281"/>
      <c r="AI27" s="281"/>
      <c r="AJ27" s="281"/>
      <c r="AK27" s="281"/>
      <c r="AL27" s="281"/>
      <c r="AM27" s="59"/>
    </row>
    <row r="28" spans="1:39" s="47" customFormat="1" ht="20.100000000000001" customHeight="1" x14ac:dyDescent="0.25">
      <c r="A28" s="50"/>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52"/>
    </row>
    <row r="29" spans="1:39" s="47" customFormat="1" ht="20.100000000000001" customHeight="1" x14ac:dyDescent="0.25">
      <c r="A29" s="50"/>
      <c r="B29" s="53"/>
      <c r="C29" s="60" t="s">
        <v>137</v>
      </c>
      <c r="D29" s="45"/>
      <c r="E29" s="45"/>
      <c r="J29" s="53"/>
      <c r="K29" s="60" t="s">
        <v>138</v>
      </c>
      <c r="L29" s="45"/>
      <c r="M29" s="45"/>
      <c r="N29" s="45"/>
      <c r="O29" s="45"/>
      <c r="P29" s="45"/>
      <c r="Q29" s="45"/>
      <c r="R29" s="45"/>
      <c r="S29" s="45"/>
      <c r="T29" s="45"/>
      <c r="U29" s="45"/>
      <c r="V29" s="53"/>
      <c r="W29" s="61" t="s">
        <v>139</v>
      </c>
      <c r="X29" s="60"/>
      <c r="Y29" s="60"/>
      <c r="Z29" s="60"/>
      <c r="AA29" s="60"/>
      <c r="AB29" s="60"/>
      <c r="AC29" s="60"/>
      <c r="AD29" s="60"/>
      <c r="AE29" s="53"/>
      <c r="AF29" s="61" t="s">
        <v>64</v>
      </c>
      <c r="AH29" s="45"/>
      <c r="AI29" s="45"/>
      <c r="AJ29" s="60"/>
      <c r="AK29" s="60"/>
      <c r="AL29" s="60"/>
      <c r="AM29" s="62"/>
    </row>
    <row r="30" spans="1:39" s="47" customFormat="1" ht="20.100000000000001" customHeight="1" x14ac:dyDescent="0.25">
      <c r="A30" s="45"/>
      <c r="B30" s="45"/>
      <c r="C30" s="45"/>
      <c r="D30" s="45"/>
      <c r="E30" s="45"/>
      <c r="J30" s="45"/>
      <c r="K30" s="60"/>
      <c r="L30" s="45"/>
      <c r="M30" s="45"/>
      <c r="N30" s="45"/>
      <c r="O30" s="45"/>
      <c r="P30" s="45"/>
      <c r="Q30" s="45"/>
      <c r="R30" s="45"/>
      <c r="S30" s="45"/>
      <c r="T30" s="45"/>
      <c r="U30" s="45"/>
      <c r="V30" s="45"/>
      <c r="W30" s="45"/>
      <c r="X30" s="60"/>
      <c r="Y30" s="60"/>
      <c r="Z30" s="60"/>
      <c r="AA30" s="60"/>
      <c r="AB30" s="60"/>
      <c r="AC30" s="60"/>
      <c r="AD30" s="60"/>
      <c r="AE30" s="45"/>
      <c r="AF30" s="45"/>
      <c r="AH30" s="45"/>
      <c r="AI30" s="45"/>
      <c r="AJ30" s="60"/>
      <c r="AK30" s="60"/>
      <c r="AL30" s="60"/>
      <c r="AM30" s="62"/>
    </row>
    <row r="31" spans="1:39" s="47" customFormat="1" ht="20.100000000000001" customHeight="1" x14ac:dyDescent="0.25">
      <c r="A31" s="50"/>
      <c r="B31" s="53"/>
      <c r="C31" s="60" t="s">
        <v>140</v>
      </c>
      <c r="D31" s="45"/>
      <c r="E31" s="45"/>
      <c r="J31" s="53"/>
      <c r="K31" s="60" t="s">
        <v>141</v>
      </c>
      <c r="L31" s="45"/>
      <c r="M31" s="45"/>
      <c r="N31" s="45"/>
      <c r="O31" s="45"/>
      <c r="P31" s="45"/>
      <c r="Q31" s="45"/>
      <c r="R31" s="45"/>
      <c r="S31" s="45"/>
      <c r="T31" s="45"/>
      <c r="U31" s="45"/>
      <c r="V31" s="53"/>
      <c r="W31" s="61" t="s">
        <v>142</v>
      </c>
      <c r="X31" s="60"/>
      <c r="Y31" s="60"/>
      <c r="Z31" s="60"/>
      <c r="AA31" s="60"/>
      <c r="AB31" s="60"/>
      <c r="AC31" s="60"/>
      <c r="AD31" s="60"/>
      <c r="AE31" s="53"/>
      <c r="AF31" s="61" t="s">
        <v>143</v>
      </c>
      <c r="AG31" s="60"/>
      <c r="AH31" s="60"/>
      <c r="AI31" s="60"/>
      <c r="AJ31" s="60"/>
      <c r="AK31" s="60"/>
      <c r="AL31" s="60"/>
      <c r="AM31" s="52"/>
    </row>
    <row r="32" spans="1:39" s="47" customFormat="1" ht="20.100000000000001" customHeight="1" x14ac:dyDescent="0.25">
      <c r="A32" s="50"/>
      <c r="C32" s="60"/>
      <c r="D32" s="45"/>
      <c r="E32" s="45"/>
      <c r="K32" s="60"/>
      <c r="L32" s="45"/>
      <c r="M32" s="45"/>
      <c r="N32" s="45"/>
      <c r="O32" s="45"/>
      <c r="P32" s="45"/>
      <c r="Q32" s="45"/>
      <c r="R32" s="45"/>
      <c r="S32" s="45"/>
      <c r="T32" s="45"/>
      <c r="U32" s="45"/>
      <c r="V32" s="45"/>
      <c r="W32" s="45"/>
      <c r="X32" s="60"/>
      <c r="Y32" s="60"/>
      <c r="Z32" s="60"/>
      <c r="AA32" s="60"/>
      <c r="AB32" s="60"/>
      <c r="AC32" s="60"/>
      <c r="AD32" s="60"/>
      <c r="AF32" s="60"/>
      <c r="AG32" s="60"/>
      <c r="AH32" s="60"/>
      <c r="AI32" s="60"/>
      <c r="AJ32" s="60"/>
      <c r="AK32" s="60"/>
      <c r="AL32" s="60"/>
      <c r="AM32" s="52"/>
    </row>
    <row r="33" spans="1:39" s="47" customFormat="1" ht="20.100000000000001" customHeight="1" x14ac:dyDescent="0.25">
      <c r="A33" s="50"/>
      <c r="B33" s="45"/>
      <c r="C33" s="45"/>
      <c r="D33" s="45"/>
      <c r="E33" s="45"/>
      <c r="F33" s="45"/>
      <c r="G33" s="45"/>
      <c r="H33" s="45"/>
      <c r="I33" s="45"/>
      <c r="J33" s="45"/>
      <c r="K33" s="45"/>
      <c r="L33" s="45"/>
      <c r="M33" s="45"/>
      <c r="N33" s="45"/>
      <c r="O33" s="45"/>
      <c r="P33" s="45"/>
      <c r="Q33" s="45"/>
      <c r="R33" s="45"/>
      <c r="S33" s="45"/>
      <c r="T33" s="45"/>
      <c r="U33" s="45"/>
      <c r="V33" s="53"/>
      <c r="W33" s="61" t="s">
        <v>245</v>
      </c>
      <c r="X33" s="45"/>
      <c r="Y33" s="45"/>
      <c r="Z33" s="45"/>
      <c r="AA33" s="45"/>
      <c r="AB33" s="45"/>
      <c r="AC33" s="45"/>
      <c r="AD33" s="45"/>
      <c r="AE33" s="45"/>
      <c r="AF33" s="45"/>
      <c r="AG33" s="45"/>
      <c r="AH33" s="45"/>
      <c r="AI33" s="45"/>
      <c r="AJ33" s="45"/>
      <c r="AK33" s="45"/>
      <c r="AL33" s="45"/>
      <c r="AM33" s="52"/>
    </row>
    <row r="34" spans="1:39" s="47" customFormat="1" ht="20.100000000000001" customHeight="1" x14ac:dyDescent="0.25">
      <c r="A34" s="50"/>
      <c r="B34" s="45"/>
      <c r="C34" s="45"/>
      <c r="D34" s="45"/>
      <c r="E34" s="45"/>
      <c r="F34" s="45"/>
      <c r="G34" s="45"/>
      <c r="H34" s="45"/>
      <c r="J34" s="45"/>
      <c r="K34" s="45"/>
      <c r="L34" s="45"/>
      <c r="M34" s="45"/>
      <c r="N34" s="45"/>
      <c r="O34" s="45"/>
      <c r="P34" s="45"/>
      <c r="Q34" s="45"/>
      <c r="R34" s="45"/>
      <c r="S34" s="45"/>
      <c r="T34" s="45"/>
      <c r="U34" s="45"/>
      <c r="W34" s="60"/>
      <c r="X34" s="45"/>
      <c r="Y34" s="45"/>
      <c r="Z34" s="45"/>
      <c r="AA34" s="45"/>
      <c r="AB34" s="45"/>
      <c r="AC34" s="45"/>
      <c r="AD34" s="45"/>
      <c r="AE34" s="45"/>
      <c r="AF34" s="45"/>
      <c r="AG34" s="45"/>
      <c r="AH34" s="45"/>
      <c r="AI34" s="45"/>
      <c r="AJ34" s="45"/>
      <c r="AK34" s="45"/>
      <c r="AL34" s="45"/>
      <c r="AM34" s="52"/>
    </row>
    <row r="35" spans="1:39" s="47" customFormat="1" ht="20.100000000000001" customHeight="1" x14ac:dyDescent="0.25">
      <c r="A35" s="50"/>
      <c r="B35" s="285" t="s">
        <v>144</v>
      </c>
      <c r="C35" s="286"/>
      <c r="D35" s="286"/>
      <c r="E35" s="286"/>
      <c r="F35" s="286"/>
      <c r="G35" s="286"/>
      <c r="H35" s="287"/>
      <c r="J35" s="53"/>
      <c r="K35" s="60" t="s">
        <v>65</v>
      </c>
      <c r="L35" s="45"/>
      <c r="M35" s="45"/>
      <c r="O35" s="45"/>
      <c r="P35" s="45"/>
      <c r="Q35" s="45"/>
      <c r="R35" s="45"/>
      <c r="S35" s="45"/>
      <c r="T35" s="45"/>
      <c r="U35" s="45"/>
      <c r="V35" s="53"/>
      <c r="W35" s="60" t="s">
        <v>66</v>
      </c>
      <c r="X35" s="45"/>
      <c r="Y35" s="45"/>
      <c r="AC35" s="45"/>
      <c r="AD35" s="45"/>
      <c r="AE35" s="45"/>
      <c r="AF35" s="45"/>
      <c r="AG35" s="45"/>
      <c r="AH35" s="45"/>
      <c r="AI35" s="45"/>
      <c r="AJ35" s="45"/>
      <c r="AK35" s="45"/>
      <c r="AL35" s="45"/>
      <c r="AM35" s="52"/>
    </row>
    <row r="36" spans="1:39" s="47" customFormat="1" ht="20.100000000000001" customHeight="1" thickBot="1" x14ac:dyDescent="0.3">
      <c r="A36" s="54"/>
      <c r="B36" s="49"/>
      <c r="C36" s="49"/>
      <c r="D36" s="49"/>
      <c r="E36" s="49"/>
      <c r="F36" s="49"/>
      <c r="G36" s="49"/>
      <c r="H36" s="49"/>
      <c r="J36" s="49"/>
      <c r="K36" s="49"/>
      <c r="L36" s="49"/>
      <c r="M36" s="49"/>
      <c r="N36" s="49"/>
      <c r="O36" s="49"/>
      <c r="P36" s="49"/>
      <c r="Q36" s="49"/>
      <c r="R36" s="49"/>
      <c r="S36" s="49"/>
      <c r="T36" s="49"/>
      <c r="U36" s="49"/>
      <c r="V36" s="63"/>
      <c r="W36" s="64"/>
      <c r="X36" s="49"/>
      <c r="Y36" s="49"/>
      <c r="Z36" s="49"/>
      <c r="AA36" s="49"/>
      <c r="AB36" s="49"/>
      <c r="AC36" s="49"/>
      <c r="AD36" s="49"/>
      <c r="AE36" s="49"/>
      <c r="AF36" s="49"/>
      <c r="AG36" s="49"/>
      <c r="AH36" s="49"/>
      <c r="AI36" s="49"/>
      <c r="AJ36" s="49"/>
      <c r="AK36" s="49"/>
      <c r="AL36" s="49"/>
      <c r="AM36" s="56"/>
    </row>
    <row r="37" spans="1:39" s="47" customFormat="1" ht="20.100000000000001" customHeight="1" x14ac:dyDescent="0.25">
      <c r="A37" s="251" t="s">
        <v>145</v>
      </c>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3"/>
    </row>
    <row r="38" spans="1:39" s="47" customFormat="1" ht="20.100000000000001" customHeight="1" x14ac:dyDescent="0.25">
      <c r="A38" s="50"/>
      <c r="B38" s="65"/>
      <c r="C38" s="66"/>
      <c r="D38" s="66"/>
      <c r="E38" s="66"/>
      <c r="F38" s="66"/>
      <c r="G38" s="66"/>
      <c r="H38" s="66"/>
      <c r="I38" s="66"/>
      <c r="J38" s="67"/>
      <c r="K38" s="67"/>
      <c r="L38" s="67"/>
      <c r="M38" s="67"/>
      <c r="N38" s="67"/>
      <c r="O38" s="67"/>
      <c r="P38" s="67"/>
      <c r="Q38" s="67"/>
      <c r="R38" s="67"/>
      <c r="S38" s="67"/>
      <c r="T38" s="67"/>
      <c r="U38" s="67"/>
      <c r="V38" s="66"/>
      <c r="W38" s="66"/>
      <c r="X38" s="66"/>
      <c r="Y38" s="66"/>
      <c r="Z38" s="66"/>
      <c r="AA38" s="66"/>
      <c r="AB38" s="66"/>
      <c r="AC38" s="68"/>
      <c r="AD38" s="68"/>
      <c r="AE38" s="68"/>
      <c r="AF38" s="68"/>
      <c r="AG38" s="68"/>
      <c r="AH38" s="68"/>
      <c r="AI38" s="66"/>
      <c r="AJ38" s="66"/>
      <c r="AK38" s="66"/>
      <c r="AL38" s="66"/>
      <c r="AM38" s="69"/>
    </row>
    <row r="39" spans="1:39" s="47" customFormat="1" ht="20.100000000000001" customHeight="1" x14ac:dyDescent="0.25">
      <c r="A39" s="50"/>
      <c r="B39" s="70"/>
      <c r="C39" s="60" t="s">
        <v>146</v>
      </c>
      <c r="D39" s="66"/>
      <c r="E39" s="66"/>
      <c r="F39" s="66"/>
      <c r="G39" s="66"/>
      <c r="H39" s="66"/>
      <c r="I39" s="66"/>
      <c r="J39" s="58"/>
      <c r="K39" s="70"/>
      <c r="L39" s="60" t="s">
        <v>147</v>
      </c>
      <c r="M39" s="60"/>
      <c r="N39" s="60"/>
      <c r="O39" s="60"/>
      <c r="P39" s="60"/>
      <c r="Q39" s="45"/>
      <c r="R39" s="70"/>
      <c r="S39" s="60" t="s">
        <v>148</v>
      </c>
      <c r="V39" s="45"/>
      <c r="W39" s="45"/>
      <c r="X39" s="60"/>
      <c r="Y39" s="60"/>
      <c r="Z39" s="70"/>
      <c r="AA39" s="60" t="s">
        <v>149</v>
      </c>
      <c r="AD39" s="60"/>
      <c r="AE39" s="60"/>
      <c r="AG39" s="45"/>
      <c r="AH39" s="45"/>
      <c r="AI39" s="71"/>
      <c r="AL39" s="60"/>
      <c r="AM39" s="62"/>
    </row>
    <row r="40" spans="1:39" s="47" customFormat="1" ht="20.100000000000001" customHeight="1" x14ac:dyDescent="0.25">
      <c r="A40" s="50"/>
      <c r="B40" s="58"/>
      <c r="C40" s="60"/>
      <c r="D40" s="66"/>
      <c r="E40" s="66"/>
      <c r="F40" s="66"/>
      <c r="G40" s="66"/>
      <c r="H40" s="66"/>
      <c r="I40" s="66"/>
      <c r="J40" s="58"/>
      <c r="K40" s="60"/>
      <c r="L40" s="60"/>
      <c r="M40" s="60"/>
      <c r="N40" s="60"/>
      <c r="O40" s="60"/>
      <c r="P40" s="60"/>
      <c r="Q40" s="45"/>
      <c r="R40" s="60"/>
      <c r="S40" s="60"/>
      <c r="V40" s="45"/>
      <c r="W40" s="45"/>
      <c r="X40" s="60"/>
      <c r="Y40" s="60"/>
      <c r="Z40" s="60"/>
      <c r="AA40" s="60"/>
      <c r="AD40" s="60"/>
      <c r="AE40" s="60"/>
      <c r="AG40" s="45"/>
      <c r="AH40" s="45"/>
      <c r="AI40" s="60"/>
      <c r="AL40" s="60"/>
      <c r="AM40" s="62"/>
    </row>
    <row r="41" spans="1:39" s="47" customFormat="1" ht="20.100000000000001" customHeight="1" x14ac:dyDescent="0.25">
      <c r="A41" s="50"/>
      <c r="B41" s="70"/>
      <c r="C41" s="60" t="s">
        <v>150</v>
      </c>
      <c r="D41" s="66"/>
      <c r="E41" s="66"/>
      <c r="F41" s="66"/>
      <c r="G41" s="66"/>
      <c r="H41" s="66"/>
      <c r="I41" s="66"/>
      <c r="J41" s="58"/>
      <c r="K41" s="70"/>
      <c r="L41" s="60" t="s">
        <v>151</v>
      </c>
      <c r="M41" s="60"/>
      <c r="N41" s="60"/>
      <c r="O41" s="60"/>
      <c r="P41" s="60"/>
      <c r="Q41" s="45"/>
      <c r="R41" s="70"/>
      <c r="S41" s="60" t="s">
        <v>152</v>
      </c>
      <c r="V41" s="45"/>
      <c r="W41" s="45"/>
      <c r="X41" s="60"/>
      <c r="Y41" s="60"/>
      <c r="Z41" s="70"/>
      <c r="AA41" s="60" t="s">
        <v>153</v>
      </c>
      <c r="AD41" s="60"/>
      <c r="AE41" s="60"/>
      <c r="AG41" s="45"/>
      <c r="AH41" s="45"/>
      <c r="AI41" s="60"/>
      <c r="AL41" s="60"/>
      <c r="AM41" s="62"/>
    </row>
    <row r="42" spans="1:39" s="47" customFormat="1" ht="20.100000000000001" customHeight="1" thickBot="1" x14ac:dyDescent="0.3">
      <c r="A42" s="54"/>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56"/>
    </row>
    <row r="43" spans="1:39" s="47" customFormat="1" ht="20.100000000000001" customHeight="1" x14ac:dyDescent="0.25">
      <c r="A43" s="282" t="s">
        <v>154</v>
      </c>
      <c r="B43" s="283"/>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4"/>
    </row>
    <row r="44" spans="1:39" s="47" customFormat="1" ht="20.100000000000001" customHeight="1" x14ac:dyDescent="0.25">
      <c r="A44" s="50"/>
      <c r="B44" s="65"/>
      <c r="C44" s="66"/>
      <c r="D44" s="66"/>
      <c r="E44" s="66"/>
      <c r="F44" s="66"/>
      <c r="G44" s="66"/>
      <c r="H44" s="66"/>
      <c r="I44" s="66"/>
      <c r="J44" s="67"/>
      <c r="K44" s="67"/>
      <c r="L44" s="67"/>
      <c r="M44" s="67"/>
      <c r="N44" s="67"/>
      <c r="O44" s="67"/>
      <c r="P44" s="67"/>
      <c r="Q44" s="67"/>
      <c r="R44" s="67"/>
      <c r="S44" s="67"/>
      <c r="T44" s="67"/>
      <c r="U44" s="67"/>
      <c r="V44" s="66"/>
      <c r="W44" s="66"/>
      <c r="X44" s="66"/>
      <c r="Y44" s="66"/>
      <c r="Z44" s="66"/>
      <c r="AA44" s="66"/>
      <c r="AB44" s="66"/>
      <c r="AC44" s="68"/>
      <c r="AD44" s="68"/>
      <c r="AE44" s="68"/>
      <c r="AF44" s="68"/>
      <c r="AG44" s="68"/>
      <c r="AH44" s="68"/>
      <c r="AI44" s="66"/>
      <c r="AJ44" s="66"/>
      <c r="AK44" s="66"/>
      <c r="AL44" s="66"/>
      <c r="AM44" s="69"/>
    </row>
    <row r="45" spans="1:39" s="47" customFormat="1" ht="20.100000000000001" customHeight="1" x14ac:dyDescent="0.25">
      <c r="A45" s="50"/>
      <c r="B45" s="70"/>
      <c r="C45" s="60" t="s">
        <v>155</v>
      </c>
      <c r="D45" s="66"/>
      <c r="E45" s="66"/>
      <c r="F45" s="66"/>
      <c r="G45" s="66"/>
      <c r="H45" s="66"/>
      <c r="I45" s="66"/>
      <c r="J45" s="58"/>
      <c r="K45" s="70"/>
      <c r="L45" s="60" t="s">
        <v>156</v>
      </c>
      <c r="M45" s="60"/>
      <c r="N45" s="60"/>
      <c r="O45" s="60"/>
      <c r="P45" s="60"/>
      <c r="Q45" s="45"/>
      <c r="R45" s="70"/>
      <c r="S45" s="60" t="s">
        <v>157</v>
      </c>
      <c r="V45" s="45"/>
      <c r="W45" s="45"/>
      <c r="X45" s="60"/>
      <c r="Y45" s="60"/>
      <c r="Z45" s="70"/>
      <c r="AA45" s="60" t="s">
        <v>158</v>
      </c>
      <c r="AD45" s="60"/>
      <c r="AE45" s="60"/>
      <c r="AG45" s="45"/>
      <c r="AH45" s="45"/>
      <c r="AI45" s="71"/>
      <c r="AL45" s="60"/>
      <c r="AM45" s="62"/>
    </row>
    <row r="46" spans="1:39" s="47" customFormat="1" ht="20.100000000000001" customHeight="1" x14ac:dyDescent="0.25">
      <c r="A46" s="50"/>
      <c r="B46" s="58"/>
      <c r="C46" s="60"/>
      <c r="D46" s="66"/>
      <c r="E46" s="66"/>
      <c r="F46" s="66"/>
      <c r="G46" s="66"/>
      <c r="H46" s="66"/>
      <c r="I46" s="66"/>
      <c r="J46" s="58"/>
      <c r="K46" s="60"/>
      <c r="L46" s="60"/>
      <c r="M46" s="60"/>
      <c r="N46" s="60"/>
      <c r="O46" s="60"/>
      <c r="P46" s="60"/>
      <c r="Q46" s="45"/>
      <c r="R46" s="60"/>
      <c r="S46" s="60"/>
      <c r="V46" s="45"/>
      <c r="W46" s="45"/>
      <c r="X46" s="60"/>
      <c r="Y46" s="60"/>
      <c r="Z46" s="60"/>
      <c r="AA46" s="60"/>
      <c r="AD46" s="60"/>
      <c r="AE46" s="60"/>
      <c r="AG46" s="45"/>
      <c r="AH46" s="45"/>
      <c r="AI46" s="60"/>
      <c r="AL46" s="60"/>
      <c r="AM46" s="62"/>
    </row>
    <row r="47" spans="1:39" s="47" customFormat="1" ht="20.100000000000001" customHeight="1" x14ac:dyDescent="0.25">
      <c r="A47" s="50"/>
      <c r="B47" s="70"/>
      <c r="C47" s="60" t="s">
        <v>159</v>
      </c>
      <c r="D47" s="66"/>
      <c r="E47" s="66"/>
      <c r="F47" s="66"/>
      <c r="G47" s="66"/>
      <c r="H47" s="66"/>
      <c r="I47" s="66"/>
      <c r="J47" s="58"/>
      <c r="K47" s="70"/>
      <c r="L47" s="60" t="s">
        <v>160</v>
      </c>
      <c r="M47" s="60"/>
      <c r="N47" s="60"/>
      <c r="O47" s="60"/>
      <c r="P47" s="60"/>
      <c r="Q47" s="45"/>
      <c r="R47" s="70"/>
      <c r="S47" s="60" t="s">
        <v>161</v>
      </c>
      <c r="V47" s="45"/>
      <c r="W47" s="45"/>
      <c r="X47" s="60"/>
      <c r="Y47" s="60"/>
      <c r="Z47" s="70"/>
      <c r="AA47" s="60" t="s">
        <v>162</v>
      </c>
      <c r="AD47" s="60"/>
      <c r="AE47" s="60"/>
      <c r="AG47" s="45"/>
      <c r="AH47" s="45"/>
      <c r="AI47" s="60"/>
      <c r="AL47" s="60"/>
      <c r="AM47" s="62"/>
    </row>
    <row r="48" spans="1:39" s="47" customFormat="1" ht="20.100000000000001" customHeight="1" thickBot="1" x14ac:dyDescent="0.3">
      <c r="A48" s="54"/>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56"/>
    </row>
    <row r="49" spans="1:39" s="47" customFormat="1" ht="20.100000000000001" customHeight="1" x14ac:dyDescent="0.25">
      <c r="A49" s="251" t="s">
        <v>163</v>
      </c>
      <c r="B49" s="252"/>
      <c r="C49" s="252"/>
      <c r="D49" s="252"/>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3"/>
    </row>
    <row r="50" spans="1:39" s="47" customFormat="1" ht="20.100000000000001" customHeight="1" x14ac:dyDescent="0.25">
      <c r="A50" s="50"/>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52"/>
    </row>
    <row r="51" spans="1:39" s="47" customFormat="1" ht="20.100000000000001" customHeight="1" x14ac:dyDescent="0.25">
      <c r="A51" s="50"/>
      <c r="B51" s="289" t="s">
        <v>250</v>
      </c>
      <c r="C51" s="290"/>
      <c r="D51" s="290"/>
      <c r="E51" s="290"/>
      <c r="F51" s="290"/>
      <c r="G51" s="290"/>
      <c r="H51" s="290"/>
      <c r="I51" s="290"/>
      <c r="J51" s="290"/>
      <c r="K51" s="273"/>
      <c r="L51" s="273"/>
      <c r="M51" s="273"/>
      <c r="N51" s="273"/>
      <c r="O51" s="273"/>
      <c r="P51" s="45"/>
      <c r="Q51" s="289" t="s">
        <v>251</v>
      </c>
      <c r="R51" s="290"/>
      <c r="S51" s="290"/>
      <c r="T51" s="290"/>
      <c r="U51" s="290"/>
      <c r="V51" s="290"/>
      <c r="W51" s="290"/>
      <c r="X51" s="288"/>
      <c r="Y51" s="288"/>
      <c r="Z51" s="288"/>
      <c r="AA51" s="288"/>
      <c r="AB51" s="45"/>
      <c r="AC51" s="289" t="s">
        <v>5</v>
      </c>
      <c r="AD51" s="290"/>
      <c r="AE51" s="290"/>
      <c r="AF51" s="290"/>
      <c r="AG51" s="290"/>
      <c r="AH51" s="290"/>
      <c r="AI51" s="290"/>
      <c r="AJ51" s="288"/>
      <c r="AK51" s="288"/>
      <c r="AL51" s="288"/>
      <c r="AM51" s="52"/>
    </row>
    <row r="52" spans="1:39" s="47" customFormat="1" ht="20.100000000000001" customHeight="1" x14ac:dyDescent="0.25">
      <c r="A52" s="50"/>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52"/>
    </row>
    <row r="53" spans="1:39" s="47" customFormat="1" ht="20.100000000000001" customHeight="1" x14ac:dyDescent="0.25">
      <c r="A53" s="50"/>
      <c r="B53" s="288" t="s">
        <v>3</v>
      </c>
      <c r="C53" s="288"/>
      <c r="D53" s="288"/>
      <c r="E53" s="288"/>
      <c r="F53" s="288"/>
      <c r="G53" s="288"/>
      <c r="H53" s="288"/>
      <c r="I53" s="288"/>
      <c r="J53" s="288"/>
      <c r="K53" s="45"/>
      <c r="L53" s="53"/>
      <c r="M53" s="60" t="s">
        <v>164</v>
      </c>
      <c r="N53" s="45"/>
      <c r="O53" s="45"/>
      <c r="P53" s="45"/>
      <c r="Q53" s="53"/>
      <c r="R53" s="60" t="s">
        <v>165</v>
      </c>
      <c r="S53" s="45"/>
      <c r="T53" s="45"/>
      <c r="U53" s="45"/>
      <c r="V53" s="45"/>
      <c r="W53" s="53"/>
      <c r="X53" s="60" t="s">
        <v>166</v>
      </c>
      <c r="Y53" s="45"/>
      <c r="Z53" s="45"/>
      <c r="AA53" s="45"/>
      <c r="AB53" s="45"/>
      <c r="AE53" s="45"/>
      <c r="AF53" s="45"/>
      <c r="AG53" s="45"/>
      <c r="AH53" s="45"/>
      <c r="AI53" s="45"/>
      <c r="AJ53" s="45"/>
      <c r="AK53" s="45"/>
      <c r="AL53" s="45"/>
      <c r="AM53" s="52"/>
    </row>
    <row r="54" spans="1:39" s="47" customFormat="1" ht="20.100000000000001" customHeight="1" x14ac:dyDescent="0.25">
      <c r="A54" s="50"/>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52"/>
    </row>
    <row r="55" spans="1:39" s="47" customFormat="1" ht="20.100000000000001" customHeight="1" x14ac:dyDescent="0.25">
      <c r="A55" s="50"/>
      <c r="B55" s="288" t="s">
        <v>4</v>
      </c>
      <c r="C55" s="288"/>
      <c r="D55" s="288"/>
      <c r="E55" s="288"/>
      <c r="F55" s="288"/>
      <c r="G55" s="288"/>
      <c r="H55" s="288"/>
      <c r="I55" s="288"/>
      <c r="J55" s="288"/>
      <c r="K55" s="45"/>
      <c r="L55" s="53"/>
      <c r="M55" s="60" t="s">
        <v>67</v>
      </c>
      <c r="N55" s="45"/>
      <c r="O55" s="45"/>
      <c r="P55" s="45"/>
      <c r="Q55" s="53"/>
      <c r="R55" s="60" t="s">
        <v>167</v>
      </c>
      <c r="S55" s="45"/>
      <c r="T55" s="45"/>
      <c r="U55" s="45"/>
      <c r="V55" s="45"/>
      <c r="W55" s="45"/>
      <c r="X55" s="45"/>
      <c r="Y55" s="45"/>
      <c r="Z55" s="45"/>
      <c r="AA55" s="45"/>
      <c r="AB55" s="45"/>
      <c r="AC55" s="45"/>
      <c r="AD55" s="45"/>
      <c r="AE55" s="45"/>
      <c r="AF55" s="45"/>
      <c r="AG55" s="45"/>
      <c r="AH55" s="45"/>
      <c r="AI55" s="45"/>
      <c r="AJ55" s="45"/>
      <c r="AK55" s="45"/>
      <c r="AL55" s="45"/>
      <c r="AM55" s="52"/>
    </row>
    <row r="56" spans="1:39" s="47" customFormat="1" ht="20.100000000000001" customHeight="1" x14ac:dyDescent="0.25">
      <c r="A56" s="50"/>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52"/>
    </row>
    <row r="57" spans="1:39" s="47" customFormat="1" ht="20.100000000000001" customHeight="1" x14ac:dyDescent="0.25">
      <c r="A57" s="50"/>
      <c r="B57" s="288" t="s">
        <v>0</v>
      </c>
      <c r="C57" s="288"/>
      <c r="D57" s="288"/>
      <c r="E57" s="288"/>
      <c r="F57" s="288"/>
      <c r="G57" s="288"/>
      <c r="H57" s="288"/>
      <c r="I57" s="288"/>
      <c r="J57" s="288"/>
      <c r="K57" s="45"/>
      <c r="L57" s="53"/>
      <c r="M57" s="60" t="s">
        <v>168</v>
      </c>
      <c r="N57" s="45"/>
      <c r="O57" s="45"/>
      <c r="P57" s="45"/>
      <c r="Q57" s="53"/>
      <c r="R57" s="60" t="s">
        <v>252</v>
      </c>
      <c r="S57" s="45"/>
      <c r="T57" s="45"/>
      <c r="U57" s="45"/>
      <c r="V57" s="45"/>
      <c r="W57" s="53"/>
      <c r="X57" s="60" t="s">
        <v>253</v>
      </c>
      <c r="Y57" s="45"/>
      <c r="Z57" s="45"/>
      <c r="AA57" s="45"/>
      <c r="AB57" s="45"/>
      <c r="AC57" s="45"/>
      <c r="AD57" s="45"/>
      <c r="AE57" s="45"/>
      <c r="AF57" s="45"/>
      <c r="AG57" s="45"/>
      <c r="AH57" s="45"/>
      <c r="AI57" s="45"/>
      <c r="AJ57" s="45"/>
      <c r="AK57" s="45"/>
      <c r="AL57" s="45"/>
      <c r="AM57" s="52"/>
    </row>
    <row r="58" spans="1:39" s="47" customFormat="1" ht="20.100000000000001" customHeight="1" x14ac:dyDescent="0.25">
      <c r="A58" s="50"/>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52"/>
    </row>
    <row r="59" spans="1:39" s="47" customFormat="1" ht="20.100000000000001" customHeight="1" x14ac:dyDescent="0.25">
      <c r="A59" s="50"/>
      <c r="B59" s="288" t="s">
        <v>169</v>
      </c>
      <c r="C59" s="288"/>
      <c r="D59" s="288"/>
      <c r="E59" s="288"/>
      <c r="F59" s="288"/>
      <c r="G59" s="288"/>
      <c r="H59" s="288"/>
      <c r="I59" s="288"/>
      <c r="J59" s="288"/>
      <c r="K59" s="45"/>
      <c r="L59" s="53"/>
      <c r="M59" s="60" t="s">
        <v>170</v>
      </c>
      <c r="N59" s="45"/>
      <c r="O59" s="45"/>
      <c r="P59" s="45"/>
      <c r="Q59" s="53"/>
      <c r="R59" s="60" t="s">
        <v>171</v>
      </c>
      <c r="S59" s="45"/>
      <c r="T59" s="45"/>
      <c r="U59" s="45"/>
      <c r="V59" s="45"/>
      <c r="W59" s="53"/>
      <c r="X59" s="60" t="s">
        <v>172</v>
      </c>
      <c r="Y59" s="45"/>
      <c r="Z59" s="45"/>
      <c r="AA59" s="45"/>
      <c r="AB59" s="45"/>
      <c r="AC59" s="53"/>
      <c r="AD59" s="60" t="s">
        <v>173</v>
      </c>
      <c r="AE59" s="45"/>
      <c r="AF59" s="45"/>
      <c r="AG59" s="45"/>
      <c r="AH59" s="45"/>
      <c r="AI59" s="45"/>
      <c r="AJ59" s="45"/>
      <c r="AK59" s="45"/>
      <c r="AL59" s="45"/>
      <c r="AM59" s="52"/>
    </row>
    <row r="60" spans="1:39" s="47" customFormat="1" ht="20.100000000000001" customHeight="1" x14ac:dyDescent="0.25">
      <c r="A60" s="50"/>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52"/>
    </row>
    <row r="61" spans="1:39" s="47" customFormat="1" ht="20.100000000000001" customHeight="1" x14ac:dyDescent="0.25">
      <c r="A61" s="50"/>
      <c r="B61" s="288" t="s">
        <v>6</v>
      </c>
      <c r="C61" s="288"/>
      <c r="D61" s="288"/>
      <c r="E61" s="288"/>
      <c r="F61" s="288"/>
      <c r="G61" s="288"/>
      <c r="H61" s="288"/>
      <c r="I61" s="288"/>
      <c r="J61" s="288"/>
      <c r="K61" s="45"/>
      <c r="L61" s="53"/>
      <c r="M61" s="60" t="s">
        <v>174</v>
      </c>
      <c r="N61" s="45"/>
      <c r="O61" s="45"/>
      <c r="P61" s="45"/>
      <c r="Q61" s="53"/>
      <c r="R61" s="60" t="s">
        <v>175</v>
      </c>
      <c r="S61" s="45"/>
      <c r="T61" s="45"/>
      <c r="U61" s="45"/>
      <c r="V61" s="45"/>
      <c r="W61" s="45"/>
      <c r="X61" s="45"/>
      <c r="Y61" s="45"/>
      <c r="Z61" s="45"/>
      <c r="AA61" s="45"/>
      <c r="AB61" s="45"/>
      <c r="AC61" s="45"/>
      <c r="AD61" s="45"/>
      <c r="AE61" s="45"/>
      <c r="AF61" s="45"/>
      <c r="AG61" s="45"/>
      <c r="AH61" s="45"/>
      <c r="AI61" s="45"/>
      <c r="AJ61" s="45"/>
      <c r="AK61" s="45"/>
      <c r="AL61" s="45"/>
      <c r="AM61" s="52"/>
    </row>
    <row r="62" spans="1:39" s="47" customFormat="1" ht="20.100000000000001" customHeight="1" x14ac:dyDescent="0.25">
      <c r="A62" s="50"/>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52"/>
    </row>
    <row r="63" spans="1:39" s="47" customFormat="1" ht="20.100000000000001" customHeight="1" x14ac:dyDescent="0.25">
      <c r="A63" s="50"/>
      <c r="B63" s="288" t="s">
        <v>254</v>
      </c>
      <c r="C63" s="288"/>
      <c r="D63" s="288"/>
      <c r="E63" s="288"/>
      <c r="F63" s="288"/>
      <c r="G63" s="288"/>
      <c r="H63" s="288"/>
      <c r="I63" s="288"/>
      <c r="J63" s="288"/>
      <c r="K63" s="45"/>
      <c r="L63" s="53"/>
      <c r="M63" s="60" t="s">
        <v>176</v>
      </c>
      <c r="N63" s="45"/>
      <c r="O63" s="45"/>
      <c r="P63" s="45"/>
      <c r="Q63" s="53"/>
      <c r="R63" s="60" t="s">
        <v>177</v>
      </c>
      <c r="S63" s="45"/>
      <c r="T63" s="45"/>
      <c r="U63" s="45"/>
      <c r="V63" s="45"/>
      <c r="W63" s="53"/>
      <c r="X63" s="60" t="s">
        <v>178</v>
      </c>
      <c r="Y63" s="45"/>
      <c r="Z63" s="45"/>
      <c r="AA63" s="45"/>
      <c r="AB63" s="45"/>
      <c r="AD63" s="60"/>
      <c r="AE63" s="45"/>
      <c r="AF63" s="45"/>
      <c r="AG63" s="45"/>
      <c r="AH63" s="45"/>
      <c r="AI63" s="45"/>
      <c r="AJ63" s="45"/>
      <c r="AK63" s="45"/>
      <c r="AL63" s="45"/>
      <c r="AM63" s="52"/>
    </row>
    <row r="64" spans="1:39" s="47" customFormat="1" ht="20.100000000000001" customHeight="1" thickBot="1" x14ac:dyDescent="0.3">
      <c r="A64" s="54"/>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56"/>
    </row>
    <row r="65" spans="1:39" s="47" customFormat="1" ht="20.100000000000001" customHeight="1" x14ac:dyDescent="0.25">
      <c r="A65" s="251" t="s">
        <v>179</v>
      </c>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3"/>
    </row>
    <row r="66" spans="1:39" s="47" customFormat="1" ht="20.100000000000001" customHeight="1" x14ac:dyDescent="0.25">
      <c r="A66" s="50"/>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52"/>
    </row>
    <row r="67" spans="1:39" s="47" customFormat="1" ht="20.100000000000001" customHeight="1" x14ac:dyDescent="0.25">
      <c r="A67" s="50"/>
      <c r="B67" s="288" t="s">
        <v>180</v>
      </c>
      <c r="C67" s="288"/>
      <c r="D67" s="288"/>
      <c r="E67" s="288"/>
      <c r="F67" s="288"/>
      <c r="G67" s="288"/>
      <c r="H67" s="288"/>
      <c r="I67" s="288"/>
      <c r="J67" s="288"/>
      <c r="K67" s="45"/>
      <c r="L67" s="53"/>
      <c r="M67" s="60" t="s">
        <v>181</v>
      </c>
      <c r="N67" s="45"/>
      <c r="O67" s="45"/>
      <c r="P67" s="45"/>
      <c r="Q67" s="53"/>
      <c r="R67" s="60" t="s">
        <v>182</v>
      </c>
      <c r="S67" s="45"/>
      <c r="T67" s="45"/>
      <c r="U67" s="45"/>
      <c r="V67" s="45"/>
      <c r="W67" s="53"/>
      <c r="X67" s="60" t="s">
        <v>67</v>
      </c>
      <c r="Y67" s="45"/>
      <c r="Z67" s="45"/>
      <c r="AA67" s="45"/>
      <c r="AB67" s="45"/>
      <c r="AC67" s="53"/>
      <c r="AD67" s="60" t="s">
        <v>183</v>
      </c>
      <c r="AE67" s="45"/>
      <c r="AF67" s="45"/>
      <c r="AG67" s="45"/>
      <c r="AH67" s="45"/>
      <c r="AI67" s="45"/>
      <c r="AJ67" s="45"/>
      <c r="AK67" s="45"/>
      <c r="AL67" s="45"/>
      <c r="AM67" s="52"/>
    </row>
    <row r="68" spans="1:39" s="47" customFormat="1" ht="20.100000000000001" customHeight="1" x14ac:dyDescent="0.25">
      <c r="A68" s="50"/>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52"/>
    </row>
    <row r="69" spans="1:39" s="47" customFormat="1" ht="20.100000000000001" customHeight="1" x14ac:dyDescent="0.25">
      <c r="A69" s="50"/>
      <c r="B69" s="288" t="s">
        <v>8</v>
      </c>
      <c r="C69" s="288"/>
      <c r="D69" s="288"/>
      <c r="E69" s="288"/>
      <c r="F69" s="288"/>
      <c r="G69" s="288"/>
      <c r="H69" s="288"/>
      <c r="I69" s="288"/>
      <c r="J69" s="288"/>
      <c r="K69" s="45"/>
      <c r="L69" s="53"/>
      <c r="M69" s="60" t="s">
        <v>184</v>
      </c>
      <c r="N69" s="45"/>
      <c r="O69" s="45"/>
      <c r="P69" s="45"/>
      <c r="Q69" s="53"/>
      <c r="R69" s="60" t="s">
        <v>185</v>
      </c>
      <c r="S69" s="45"/>
      <c r="T69" s="45"/>
      <c r="U69" s="45"/>
      <c r="V69" s="45"/>
      <c r="W69" s="53"/>
      <c r="X69" s="60" t="s">
        <v>186</v>
      </c>
      <c r="Y69" s="45"/>
      <c r="Z69" s="45"/>
      <c r="AA69" s="45"/>
      <c r="AB69" s="45"/>
      <c r="AC69" s="53"/>
      <c r="AD69" s="60" t="s">
        <v>187</v>
      </c>
      <c r="AE69" s="45"/>
      <c r="AF69" s="45"/>
      <c r="AG69" s="45"/>
      <c r="AH69" s="45"/>
      <c r="AI69" s="45"/>
      <c r="AJ69" s="45"/>
      <c r="AK69" s="45"/>
      <c r="AL69" s="45"/>
      <c r="AM69" s="52"/>
    </row>
    <row r="70" spans="1:39" s="47" customFormat="1" ht="20.100000000000001" customHeight="1" x14ac:dyDescent="0.25">
      <c r="A70" s="50"/>
      <c r="B70" s="66"/>
      <c r="C70" s="66"/>
      <c r="D70" s="66"/>
      <c r="E70" s="66"/>
      <c r="F70" s="66"/>
      <c r="G70" s="66"/>
      <c r="H70" s="66"/>
      <c r="I70" s="66"/>
      <c r="J70" s="66"/>
      <c r="K70" s="45"/>
      <c r="M70" s="60"/>
      <c r="N70" s="45"/>
      <c r="O70" s="45"/>
      <c r="P70" s="45"/>
      <c r="R70" s="60"/>
      <c r="S70" s="45"/>
      <c r="T70" s="45"/>
      <c r="U70" s="45"/>
      <c r="V70" s="45"/>
      <c r="X70" s="60"/>
      <c r="Y70" s="45"/>
      <c r="Z70" s="45"/>
      <c r="AA70" s="45"/>
      <c r="AB70" s="45"/>
      <c r="AD70" s="60"/>
      <c r="AE70" s="45"/>
      <c r="AF70" s="45"/>
      <c r="AG70" s="45"/>
      <c r="AH70" s="45"/>
      <c r="AI70" s="45"/>
      <c r="AJ70" s="45"/>
      <c r="AK70" s="45"/>
      <c r="AL70" s="45"/>
      <c r="AM70" s="52"/>
    </row>
    <row r="71" spans="1:39" s="47" customFormat="1" ht="20.100000000000001" customHeight="1" x14ac:dyDescent="0.25">
      <c r="A71" s="50"/>
      <c r="B71" s="66"/>
      <c r="C71" s="66"/>
      <c r="D71" s="66"/>
      <c r="E71" s="66"/>
      <c r="F71" s="66"/>
      <c r="G71" s="66"/>
      <c r="H71" s="66"/>
      <c r="I71" s="66"/>
      <c r="J71" s="66"/>
      <c r="K71" s="45"/>
      <c r="L71" s="53"/>
      <c r="M71" s="60" t="s">
        <v>188</v>
      </c>
      <c r="N71" s="45"/>
      <c r="O71" s="45"/>
      <c r="P71" s="45"/>
      <c r="Q71" s="53"/>
      <c r="R71" s="60" t="s">
        <v>189</v>
      </c>
      <c r="S71" s="45"/>
      <c r="T71" s="45"/>
      <c r="U71" s="45"/>
      <c r="V71" s="45"/>
      <c r="W71" s="53"/>
      <c r="X71" s="60" t="s">
        <v>190</v>
      </c>
      <c r="Y71" s="45"/>
      <c r="Z71" s="45"/>
      <c r="AA71" s="45"/>
      <c r="AB71" s="45"/>
      <c r="AD71" s="60"/>
      <c r="AE71" s="45"/>
      <c r="AF71" s="45"/>
      <c r="AG71" s="45"/>
      <c r="AH71" s="45"/>
      <c r="AI71" s="45"/>
      <c r="AJ71" s="45"/>
      <c r="AK71" s="45"/>
      <c r="AL71" s="45"/>
      <c r="AM71" s="52"/>
    </row>
    <row r="72" spans="1:39" s="47" customFormat="1" ht="20.100000000000001" customHeight="1" thickBot="1" x14ac:dyDescent="0.3">
      <c r="A72" s="54"/>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56"/>
    </row>
    <row r="73" spans="1:39" s="47" customFormat="1" ht="20.100000000000001" customHeight="1" x14ac:dyDescent="0.25">
      <c r="A73" s="251" t="s">
        <v>191</v>
      </c>
      <c r="B73" s="252"/>
      <c r="C73" s="252"/>
      <c r="D73" s="252"/>
      <c r="E73" s="252"/>
      <c r="F73" s="252"/>
      <c r="G73" s="252"/>
      <c r="H73" s="252"/>
      <c r="I73" s="252"/>
      <c r="J73" s="252"/>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3"/>
    </row>
    <row r="74" spans="1:39" s="47" customFormat="1" ht="20.100000000000001" customHeight="1" x14ac:dyDescent="0.25">
      <c r="A74" s="50"/>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52"/>
    </row>
    <row r="75" spans="1:39" s="47" customFormat="1" ht="20.100000000000001" customHeight="1" x14ac:dyDescent="0.25">
      <c r="A75" s="50"/>
      <c r="B75" s="288" t="s">
        <v>192</v>
      </c>
      <c r="C75" s="288"/>
      <c r="D75" s="288"/>
      <c r="E75" s="288"/>
      <c r="F75" s="288"/>
      <c r="G75" s="288"/>
      <c r="H75" s="288"/>
      <c r="I75" s="288"/>
      <c r="J75" s="288"/>
      <c r="K75" s="45"/>
      <c r="L75" s="53"/>
      <c r="M75" s="60" t="s">
        <v>193</v>
      </c>
      <c r="N75" s="45"/>
      <c r="O75" s="45"/>
      <c r="P75" s="45"/>
      <c r="Q75" s="45"/>
      <c r="R75" s="53"/>
      <c r="S75" s="60" t="s">
        <v>194</v>
      </c>
      <c r="T75" s="45"/>
      <c r="U75" s="45"/>
      <c r="V75" s="45"/>
      <c r="W75" s="45"/>
      <c r="X75" s="45"/>
      <c r="Y75" s="53"/>
      <c r="Z75" s="60" t="s">
        <v>195</v>
      </c>
      <c r="AA75" s="45"/>
      <c r="AB75" s="45"/>
      <c r="AC75" s="45"/>
      <c r="AD75" s="45"/>
      <c r="AF75" s="45"/>
      <c r="AG75" s="45"/>
      <c r="AH75" s="45"/>
      <c r="AI75" s="45"/>
      <c r="AJ75" s="45"/>
      <c r="AK75" s="45"/>
      <c r="AL75" s="45"/>
      <c r="AM75" s="52"/>
    </row>
    <row r="76" spans="1:39" s="47" customFormat="1" ht="20.100000000000001" customHeight="1" x14ac:dyDescent="0.25">
      <c r="A76" s="50"/>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52"/>
    </row>
    <row r="77" spans="1:39" s="47" customFormat="1" ht="20.100000000000001" customHeight="1" x14ac:dyDescent="0.25">
      <c r="A77" s="50"/>
      <c r="B77" s="288" t="s">
        <v>196</v>
      </c>
      <c r="C77" s="288"/>
      <c r="D77" s="288"/>
      <c r="E77" s="288"/>
      <c r="F77" s="288"/>
      <c r="G77" s="288"/>
      <c r="H77" s="288"/>
      <c r="I77" s="288"/>
      <c r="J77" s="288"/>
      <c r="K77" s="45"/>
      <c r="L77" s="53"/>
      <c r="M77" s="60" t="s">
        <v>193</v>
      </c>
      <c r="N77" s="45"/>
      <c r="O77" s="45"/>
      <c r="P77" s="45"/>
      <c r="Q77" s="45"/>
      <c r="R77" s="53"/>
      <c r="S77" s="60" t="s">
        <v>151</v>
      </c>
      <c r="T77" s="45"/>
      <c r="U77" s="45"/>
      <c r="V77" s="45"/>
      <c r="W77" s="45"/>
      <c r="X77" s="45"/>
      <c r="Y77" s="53"/>
      <c r="Z77" s="60" t="s">
        <v>197</v>
      </c>
      <c r="AA77" s="45"/>
      <c r="AC77" s="60"/>
      <c r="AD77" s="45"/>
      <c r="AE77" s="45"/>
      <c r="AF77" s="45"/>
      <c r="AG77" s="45"/>
      <c r="AH77" s="45"/>
      <c r="AI77" s="45"/>
      <c r="AJ77" s="45"/>
      <c r="AK77" s="45"/>
      <c r="AL77" s="45"/>
      <c r="AM77" s="52"/>
    </row>
    <row r="78" spans="1:39" s="47" customFormat="1" ht="20.100000000000001" customHeight="1" thickBot="1" x14ac:dyDescent="0.3">
      <c r="A78" s="72"/>
      <c r="B78" s="73"/>
      <c r="C78" s="73"/>
      <c r="D78" s="73"/>
      <c r="E78" s="73"/>
      <c r="F78" s="73"/>
      <c r="G78" s="73"/>
      <c r="H78" s="73"/>
      <c r="I78" s="73"/>
      <c r="J78" s="49"/>
      <c r="K78" s="63"/>
      <c r="L78" s="64"/>
      <c r="M78" s="49"/>
      <c r="N78" s="49"/>
      <c r="O78" s="49"/>
      <c r="P78" s="63"/>
      <c r="Q78" s="64"/>
      <c r="R78" s="49"/>
      <c r="S78" s="49"/>
      <c r="T78" s="49"/>
      <c r="U78" s="49"/>
      <c r="V78" s="63"/>
      <c r="W78" s="64"/>
      <c r="X78" s="49"/>
      <c r="Y78" s="49"/>
      <c r="Z78" s="49"/>
      <c r="AA78" s="49"/>
      <c r="AB78" s="63"/>
      <c r="AC78" s="64"/>
      <c r="AD78" s="49"/>
      <c r="AE78" s="49"/>
      <c r="AF78" s="49"/>
      <c r="AG78" s="49"/>
      <c r="AH78" s="49"/>
      <c r="AI78" s="49"/>
      <c r="AJ78" s="49"/>
      <c r="AK78" s="49"/>
      <c r="AL78" s="49"/>
      <c r="AM78" s="56"/>
    </row>
    <row r="79" spans="1:39" s="47" customFormat="1" ht="20.100000000000001" customHeight="1" x14ac:dyDescent="0.25">
      <c r="A79" s="251" t="s">
        <v>198</v>
      </c>
      <c r="B79" s="252"/>
      <c r="C79" s="252"/>
      <c r="D79" s="252"/>
      <c r="E79" s="252"/>
      <c r="F79" s="252"/>
      <c r="G79" s="252"/>
      <c r="H79" s="252"/>
      <c r="I79" s="252"/>
      <c r="J79" s="252"/>
      <c r="K79" s="252"/>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3"/>
    </row>
    <row r="80" spans="1:39" s="47" customFormat="1" ht="20.100000000000001" customHeight="1" x14ac:dyDescent="0.25">
      <c r="A80" s="50"/>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52"/>
    </row>
    <row r="81" spans="1:39" s="47" customFormat="1" ht="20.100000000000001" customHeight="1" x14ac:dyDescent="0.25">
      <c r="A81" s="50"/>
      <c r="B81" s="66"/>
      <c r="C81" s="70"/>
      <c r="D81" s="60" t="s">
        <v>199</v>
      </c>
      <c r="E81" s="66"/>
      <c r="F81" s="66"/>
      <c r="G81" s="66"/>
      <c r="H81" s="66"/>
      <c r="I81" s="70"/>
      <c r="J81" s="60" t="s">
        <v>200</v>
      </c>
      <c r="K81" s="45"/>
      <c r="M81" s="60"/>
      <c r="N81" s="45"/>
      <c r="O81" s="70"/>
      <c r="P81" s="60" t="s">
        <v>201</v>
      </c>
      <c r="Q81" s="45"/>
      <c r="S81" s="60"/>
      <c r="T81" s="45"/>
      <c r="U81" s="45"/>
      <c r="V81" s="45"/>
      <c r="X81" s="70"/>
      <c r="Y81" s="60" t="s">
        <v>202</v>
      </c>
      <c r="Z81" s="45"/>
      <c r="AA81" s="45"/>
      <c r="AB81" s="45"/>
      <c r="AD81" s="70"/>
      <c r="AE81" s="60" t="s">
        <v>203</v>
      </c>
      <c r="AF81" s="45"/>
      <c r="AG81" s="45"/>
      <c r="AH81" s="45"/>
      <c r="AI81" s="45"/>
      <c r="AJ81" s="45"/>
      <c r="AK81" s="45"/>
      <c r="AL81" s="45"/>
      <c r="AM81" s="52"/>
    </row>
    <row r="82" spans="1:39" s="47" customFormat="1" ht="20.100000000000001" customHeight="1" x14ac:dyDescent="0.25">
      <c r="A82" s="50"/>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52"/>
    </row>
    <row r="83" spans="1:39" s="47" customFormat="1" ht="20.100000000000001" customHeight="1" x14ac:dyDescent="0.25">
      <c r="A83" s="50"/>
      <c r="B83" s="66"/>
      <c r="C83" s="70"/>
      <c r="D83" s="60" t="s">
        <v>204</v>
      </c>
      <c r="E83" s="66"/>
      <c r="F83" s="66"/>
      <c r="G83" s="66"/>
      <c r="H83" s="66"/>
      <c r="I83" s="70"/>
      <c r="J83" s="60" t="s">
        <v>205</v>
      </c>
      <c r="K83" s="45"/>
      <c r="L83" s="45"/>
      <c r="M83" s="45"/>
      <c r="Q83" s="45"/>
      <c r="S83" s="60"/>
      <c r="T83" s="45"/>
      <c r="U83" s="45"/>
      <c r="V83" s="45"/>
      <c r="W83" s="45"/>
      <c r="X83" s="45"/>
      <c r="Z83" s="60"/>
      <c r="AA83" s="45"/>
      <c r="AC83" s="60"/>
      <c r="AD83" s="45"/>
      <c r="AE83" s="45"/>
      <c r="AF83" s="45"/>
      <c r="AG83" s="45"/>
      <c r="AH83" s="45"/>
      <c r="AI83" s="45"/>
      <c r="AJ83" s="45"/>
      <c r="AK83" s="45"/>
      <c r="AL83" s="45"/>
      <c r="AM83" s="52"/>
    </row>
    <row r="84" spans="1:39" s="47" customFormat="1" ht="20.100000000000001" customHeight="1" thickBot="1" x14ac:dyDescent="0.3">
      <c r="A84" s="72"/>
      <c r="B84" s="73"/>
      <c r="C84" s="73"/>
      <c r="D84" s="73"/>
      <c r="E84" s="73"/>
      <c r="F84" s="73"/>
      <c r="G84" s="73"/>
      <c r="H84" s="73"/>
      <c r="I84" s="73"/>
      <c r="J84" s="49"/>
      <c r="K84" s="63"/>
      <c r="L84" s="64"/>
      <c r="M84" s="49"/>
      <c r="N84" s="49"/>
      <c r="O84" s="49"/>
      <c r="P84" s="63"/>
      <c r="Q84" s="64"/>
      <c r="R84" s="49"/>
      <c r="S84" s="49"/>
      <c r="T84" s="49"/>
      <c r="U84" s="49"/>
      <c r="V84" s="63"/>
      <c r="W84" s="64"/>
      <c r="X84" s="49"/>
      <c r="Y84" s="49"/>
      <c r="Z84" s="49"/>
      <c r="AA84" s="49"/>
      <c r="AB84" s="63"/>
      <c r="AC84" s="64"/>
      <c r="AD84" s="49"/>
      <c r="AE84" s="49"/>
      <c r="AF84" s="49"/>
      <c r="AG84" s="49"/>
      <c r="AH84" s="49"/>
      <c r="AI84" s="49"/>
      <c r="AJ84" s="49"/>
      <c r="AK84" s="49"/>
      <c r="AL84" s="49"/>
      <c r="AM84" s="56"/>
    </row>
    <row r="85" spans="1:39" s="47" customFormat="1" ht="20.100000000000001" customHeight="1" x14ac:dyDescent="0.25">
      <c r="A85" s="251" t="s">
        <v>241</v>
      </c>
      <c r="B85" s="252"/>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3"/>
    </row>
    <row r="86" spans="1:39" s="47" customFormat="1" ht="20.100000000000001" customHeight="1" x14ac:dyDescent="0.25">
      <c r="A86" s="50"/>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52"/>
    </row>
    <row r="87" spans="1:39" s="47" customFormat="1" ht="20.100000000000001" customHeight="1" x14ac:dyDescent="0.25">
      <c r="A87" s="50"/>
      <c r="B87" s="288" t="s">
        <v>206</v>
      </c>
      <c r="C87" s="288"/>
      <c r="D87" s="288"/>
      <c r="E87" s="288"/>
      <c r="F87" s="288"/>
      <c r="G87" s="288"/>
      <c r="H87" s="288"/>
      <c r="I87" s="288"/>
      <c r="J87" s="288"/>
      <c r="K87" s="288"/>
      <c r="L87" s="288"/>
      <c r="M87" s="288"/>
      <c r="N87" s="288"/>
      <c r="O87" s="288"/>
      <c r="P87" s="288"/>
      <c r="Q87" s="66"/>
      <c r="R87" s="66"/>
      <c r="S87" s="66"/>
      <c r="T87" s="288" t="s">
        <v>207</v>
      </c>
      <c r="U87" s="288"/>
      <c r="V87" s="288"/>
      <c r="W87" s="288"/>
      <c r="X87" s="288"/>
      <c r="Y87" s="288"/>
      <c r="Z87" s="288"/>
      <c r="AA87" s="288"/>
      <c r="AB87" s="288"/>
      <c r="AC87" s="288"/>
      <c r="AD87" s="288"/>
      <c r="AE87" s="288"/>
      <c r="AF87" s="288"/>
      <c r="AG87" s="288"/>
      <c r="AH87" s="288"/>
      <c r="AI87" s="66"/>
      <c r="AJ87" s="66"/>
      <c r="AK87" s="66"/>
      <c r="AL87" s="66"/>
      <c r="AM87" s="52"/>
    </row>
    <row r="88" spans="1:39" s="47" customFormat="1" ht="20.100000000000001" customHeight="1" x14ac:dyDescent="0.25">
      <c r="A88" s="50"/>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52"/>
    </row>
    <row r="89" spans="1:39" s="47" customFormat="1" ht="20.100000000000001" customHeight="1" x14ac:dyDescent="0.25">
      <c r="A89" s="50"/>
      <c r="B89" s="288" t="s">
        <v>495</v>
      </c>
      <c r="C89" s="288"/>
      <c r="D89" s="288"/>
      <c r="E89" s="288"/>
      <c r="F89" s="288"/>
      <c r="G89" s="288"/>
      <c r="H89" s="288"/>
      <c r="I89" s="288"/>
      <c r="J89" s="288"/>
      <c r="K89" s="45"/>
      <c r="L89" s="273"/>
      <c r="M89" s="273"/>
      <c r="N89" s="273"/>
      <c r="O89" s="273"/>
      <c r="P89" s="273"/>
      <c r="R89" s="60"/>
      <c r="S89" s="45"/>
      <c r="T89" s="288" t="s">
        <v>208</v>
      </c>
      <c r="U89" s="288"/>
      <c r="V89" s="288"/>
      <c r="W89" s="288"/>
      <c r="X89" s="288"/>
      <c r="Y89" s="288"/>
      <c r="Z89" s="288"/>
      <c r="AA89" s="288"/>
      <c r="AB89" s="288"/>
      <c r="AC89" s="45"/>
      <c r="AD89" s="273"/>
      <c r="AE89" s="273"/>
      <c r="AF89" s="273"/>
      <c r="AG89" s="273"/>
      <c r="AH89" s="273"/>
      <c r="AI89" s="45"/>
      <c r="AJ89" s="45"/>
      <c r="AK89" s="45"/>
      <c r="AL89" s="45"/>
      <c r="AM89" s="52"/>
    </row>
    <row r="90" spans="1:39" s="47" customFormat="1" ht="20.100000000000001" customHeight="1" x14ac:dyDescent="0.25">
      <c r="A90" s="50"/>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52"/>
    </row>
    <row r="91" spans="1:39" s="47" customFormat="1" ht="20.100000000000001" customHeight="1" x14ac:dyDescent="0.25">
      <c r="A91" s="50"/>
      <c r="B91" s="288" t="s">
        <v>209</v>
      </c>
      <c r="C91" s="288"/>
      <c r="D91" s="288"/>
      <c r="E91" s="288"/>
      <c r="F91" s="288"/>
      <c r="G91" s="288"/>
      <c r="H91" s="288"/>
      <c r="I91" s="288"/>
      <c r="J91" s="288"/>
      <c r="K91" s="45"/>
      <c r="L91" s="273"/>
      <c r="M91" s="273"/>
      <c r="N91" s="273"/>
      <c r="O91" s="273"/>
      <c r="P91" s="273"/>
      <c r="R91" s="60"/>
      <c r="S91" s="45"/>
      <c r="T91" s="288" t="s">
        <v>242</v>
      </c>
      <c r="U91" s="288"/>
      <c r="V91" s="288"/>
      <c r="W91" s="288"/>
      <c r="X91" s="288"/>
      <c r="Y91" s="288"/>
      <c r="Z91" s="288"/>
      <c r="AA91" s="288"/>
      <c r="AB91" s="288"/>
      <c r="AC91" s="66"/>
      <c r="AD91" s="288"/>
      <c r="AE91" s="288"/>
      <c r="AF91" s="288"/>
      <c r="AG91" s="288"/>
      <c r="AH91" s="288"/>
      <c r="AI91" s="45"/>
      <c r="AJ91" s="45"/>
      <c r="AK91" s="45"/>
      <c r="AL91" s="45"/>
      <c r="AM91" s="52"/>
    </row>
    <row r="92" spans="1:39" s="47" customFormat="1" ht="20.100000000000001" customHeight="1" x14ac:dyDescent="0.25">
      <c r="A92" s="50"/>
      <c r="B92" s="45"/>
      <c r="C92" s="45"/>
      <c r="D92" s="45"/>
      <c r="E92" s="45"/>
      <c r="F92" s="45"/>
      <c r="G92" s="45"/>
      <c r="H92" s="45"/>
      <c r="I92" s="45"/>
      <c r="J92" s="45"/>
      <c r="K92" s="45"/>
      <c r="L92" s="45"/>
      <c r="M92" s="45"/>
      <c r="N92" s="45"/>
      <c r="O92" s="45"/>
      <c r="P92" s="45"/>
      <c r="Q92" s="45"/>
      <c r="R92" s="45"/>
      <c r="S92" s="45"/>
      <c r="T92" s="288"/>
      <c r="U92" s="288"/>
      <c r="V92" s="288"/>
      <c r="W92" s="288"/>
      <c r="X92" s="288"/>
      <c r="Y92" s="288"/>
      <c r="Z92" s="288"/>
      <c r="AA92" s="288"/>
      <c r="AB92" s="288"/>
      <c r="AC92" s="45"/>
      <c r="AD92" s="288"/>
      <c r="AE92" s="288"/>
      <c r="AF92" s="288"/>
      <c r="AG92" s="288"/>
      <c r="AH92" s="288"/>
      <c r="AI92" s="45"/>
      <c r="AJ92" s="45"/>
      <c r="AK92" s="45"/>
      <c r="AL92" s="45"/>
      <c r="AM92" s="52"/>
    </row>
    <row r="93" spans="1:39" s="47" customFormat="1" ht="20.100000000000001" customHeight="1" x14ac:dyDescent="0.25">
      <c r="A93" s="50"/>
      <c r="B93" s="288" t="s">
        <v>210</v>
      </c>
      <c r="C93" s="288"/>
      <c r="D93" s="288"/>
      <c r="E93" s="288"/>
      <c r="F93" s="288"/>
      <c r="G93" s="288"/>
      <c r="H93" s="288"/>
      <c r="I93" s="288"/>
      <c r="J93" s="288"/>
      <c r="K93" s="45"/>
      <c r="L93" s="273"/>
      <c r="M93" s="273"/>
      <c r="N93" s="273"/>
      <c r="O93" s="273"/>
      <c r="P93" s="273"/>
      <c r="R93" s="60"/>
      <c r="S93" s="45"/>
      <c r="T93" s="288"/>
      <c r="U93" s="288"/>
      <c r="V93" s="288"/>
      <c r="W93" s="288"/>
      <c r="X93" s="288"/>
      <c r="Y93" s="288"/>
      <c r="Z93" s="288"/>
      <c r="AA93" s="288"/>
      <c r="AB93" s="288"/>
      <c r="AC93" s="45"/>
      <c r="AD93" s="288"/>
      <c r="AE93" s="288"/>
      <c r="AF93" s="288"/>
      <c r="AG93" s="288"/>
      <c r="AH93" s="288"/>
      <c r="AI93" s="45"/>
      <c r="AJ93" s="45"/>
      <c r="AK93" s="45"/>
      <c r="AL93" s="45"/>
      <c r="AM93" s="52"/>
    </row>
    <row r="94" spans="1:39" s="47" customFormat="1" ht="20.100000000000001" customHeight="1" thickBot="1" x14ac:dyDescent="0.3">
      <c r="A94" s="54"/>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56"/>
    </row>
    <row r="95" spans="1:39" s="47" customFormat="1" ht="20.100000000000001" customHeight="1" x14ac:dyDescent="0.25">
      <c r="A95" s="251" t="s">
        <v>213</v>
      </c>
      <c r="B95" s="252"/>
      <c r="C95" s="252"/>
      <c r="D95" s="252"/>
      <c r="E95" s="252"/>
      <c r="F95" s="252"/>
      <c r="G95" s="252"/>
      <c r="H95" s="252"/>
      <c r="I95" s="252"/>
      <c r="J95" s="252"/>
      <c r="K95" s="252"/>
      <c r="L95" s="252"/>
      <c r="M95" s="252"/>
      <c r="N95" s="252"/>
      <c r="O95" s="252"/>
      <c r="P95" s="252"/>
      <c r="Q95" s="252"/>
      <c r="R95" s="252"/>
      <c r="S95" s="252"/>
      <c r="T95" s="252"/>
      <c r="U95" s="252"/>
      <c r="V95" s="252"/>
      <c r="W95" s="252"/>
      <c r="X95" s="252"/>
      <c r="Y95" s="252"/>
      <c r="Z95" s="252"/>
      <c r="AA95" s="252"/>
      <c r="AB95" s="252"/>
      <c r="AC95" s="252"/>
      <c r="AD95" s="252"/>
      <c r="AE95" s="252"/>
      <c r="AF95" s="252"/>
      <c r="AG95" s="252"/>
      <c r="AH95" s="252"/>
      <c r="AI95" s="252"/>
      <c r="AJ95" s="252"/>
      <c r="AK95" s="252"/>
      <c r="AL95" s="252"/>
      <c r="AM95" s="253"/>
    </row>
    <row r="96" spans="1:39" s="47" customFormat="1" ht="20.100000000000001" customHeight="1" x14ac:dyDescent="0.25">
      <c r="A96" s="50"/>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52"/>
    </row>
    <row r="97" spans="1:39" s="47" customFormat="1" ht="20.100000000000001" customHeight="1" x14ac:dyDescent="0.25">
      <c r="A97" s="50"/>
      <c r="B97" s="288" t="s">
        <v>214</v>
      </c>
      <c r="C97" s="288"/>
      <c r="D97" s="288"/>
      <c r="E97" s="288"/>
      <c r="F97" s="288"/>
      <c r="G97" s="288"/>
      <c r="H97" s="288"/>
      <c r="I97" s="288"/>
      <c r="J97" s="288"/>
      <c r="K97" s="45"/>
      <c r="L97" s="53"/>
      <c r="M97" s="60" t="s">
        <v>68</v>
      </c>
      <c r="Q97" s="53"/>
      <c r="R97" s="60" t="s">
        <v>7</v>
      </c>
      <c r="T97" s="74"/>
      <c r="U97" s="74"/>
      <c r="V97" s="74"/>
      <c r="W97" s="53"/>
      <c r="X97" s="45" t="s">
        <v>211</v>
      </c>
      <c r="Y97" s="74"/>
      <c r="Z97" s="74"/>
      <c r="AA97" s="74"/>
      <c r="AB97" s="45"/>
      <c r="AC97" s="53"/>
      <c r="AD97" s="45" t="s">
        <v>215</v>
      </c>
      <c r="AE97" s="45"/>
      <c r="AF97" s="45"/>
      <c r="AG97" s="45"/>
      <c r="AH97" s="45"/>
      <c r="AI97" s="45"/>
      <c r="AJ97" s="45"/>
      <c r="AK97" s="45"/>
      <c r="AL97" s="45"/>
      <c r="AM97" s="52"/>
    </row>
    <row r="98" spans="1:39" s="47" customFormat="1" ht="20.100000000000001" customHeight="1" x14ac:dyDescent="0.25">
      <c r="A98" s="50"/>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52"/>
    </row>
    <row r="99" spans="1:39" s="47" customFormat="1" ht="20.100000000000001" customHeight="1" x14ac:dyDescent="0.25">
      <c r="A99" s="50"/>
      <c r="B99" s="288"/>
      <c r="C99" s="288"/>
      <c r="D99" s="288"/>
      <c r="E99" s="288"/>
      <c r="F99" s="288"/>
      <c r="G99" s="288"/>
      <c r="H99" s="288"/>
      <c r="I99" s="288"/>
      <c r="J99" s="288"/>
      <c r="K99" s="45"/>
      <c r="L99" s="53"/>
      <c r="M99" s="60" t="s">
        <v>9</v>
      </c>
      <c r="Q99" s="53"/>
      <c r="R99" s="60" t="s">
        <v>216</v>
      </c>
      <c r="T99" s="74"/>
      <c r="U99" s="74"/>
      <c r="V99" s="74"/>
      <c r="W99" s="53"/>
      <c r="X99" s="60" t="s">
        <v>11</v>
      </c>
      <c r="Y99" s="74"/>
      <c r="Z99" s="74"/>
      <c r="AA99" s="74"/>
      <c r="AB99" s="45"/>
      <c r="AC99" s="53"/>
      <c r="AD99" s="47" t="s">
        <v>212</v>
      </c>
      <c r="AE99" s="45"/>
      <c r="AF99" s="45"/>
      <c r="AG99" s="45"/>
      <c r="AH99" s="45"/>
      <c r="AI99" s="45"/>
      <c r="AJ99" s="45"/>
      <c r="AK99" s="45"/>
      <c r="AL99" s="45"/>
      <c r="AM99" s="52"/>
    </row>
    <row r="100" spans="1:39" s="47" customFormat="1" ht="20.100000000000001" customHeight="1" x14ac:dyDescent="0.25">
      <c r="A100" s="50"/>
      <c r="B100" s="288"/>
      <c r="C100" s="288"/>
      <c r="D100" s="288"/>
      <c r="E100" s="288"/>
      <c r="F100" s="288"/>
      <c r="G100" s="288"/>
      <c r="H100" s="288"/>
      <c r="I100" s="288"/>
      <c r="J100" s="288"/>
      <c r="K100" s="45"/>
      <c r="P100" s="45"/>
      <c r="R100" s="60"/>
      <c r="S100" s="45"/>
      <c r="T100" s="45"/>
      <c r="U100" s="45"/>
      <c r="V100" s="45"/>
      <c r="X100" s="60"/>
      <c r="Y100" s="45"/>
      <c r="Z100" s="45"/>
      <c r="AA100" s="45"/>
      <c r="AB100" s="45"/>
      <c r="AC100" s="45"/>
      <c r="AE100" s="45"/>
      <c r="AF100" s="45"/>
      <c r="AG100" s="45"/>
      <c r="AH100" s="45"/>
      <c r="AI100" s="45"/>
      <c r="AJ100" s="45"/>
      <c r="AK100" s="45"/>
      <c r="AL100" s="45"/>
      <c r="AM100" s="52"/>
    </row>
    <row r="101" spans="1:39" s="47" customFormat="1" ht="20.100000000000001" customHeight="1" x14ac:dyDescent="0.25">
      <c r="A101" s="50"/>
      <c r="B101" s="288"/>
      <c r="C101" s="288"/>
      <c r="D101" s="288"/>
      <c r="E101" s="288"/>
      <c r="F101" s="288"/>
      <c r="G101" s="288"/>
      <c r="H101" s="288"/>
      <c r="I101" s="288"/>
      <c r="J101" s="288"/>
      <c r="K101" s="45"/>
      <c r="L101" s="53"/>
      <c r="M101" s="60" t="s">
        <v>12</v>
      </c>
      <c r="Q101" s="53"/>
      <c r="R101" s="60" t="s">
        <v>10</v>
      </c>
      <c r="T101" s="74"/>
      <c r="U101" s="74"/>
      <c r="V101" s="74"/>
      <c r="W101" s="53"/>
      <c r="X101" s="60" t="s">
        <v>13</v>
      </c>
      <c r="Y101" s="74"/>
      <c r="Z101" s="74"/>
      <c r="AA101" s="74"/>
      <c r="AB101" s="45"/>
      <c r="AC101" s="53"/>
      <c r="AD101" s="47" t="s">
        <v>217</v>
      </c>
      <c r="AE101" s="45"/>
      <c r="AF101" s="45"/>
      <c r="AG101" s="45"/>
      <c r="AH101" s="45"/>
      <c r="AI101" s="45"/>
      <c r="AJ101" s="45"/>
      <c r="AK101" s="45"/>
      <c r="AL101" s="45"/>
      <c r="AM101" s="52"/>
    </row>
    <row r="102" spans="1:39" s="47" customFormat="1" ht="20.100000000000001" customHeight="1" x14ac:dyDescent="0.25">
      <c r="A102" s="50"/>
      <c r="B102" s="288"/>
      <c r="C102" s="288"/>
      <c r="D102" s="288"/>
      <c r="E102" s="288"/>
      <c r="F102" s="288"/>
      <c r="G102" s="288"/>
      <c r="H102" s="288"/>
      <c r="I102" s="288"/>
      <c r="J102" s="288"/>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52"/>
    </row>
    <row r="103" spans="1:39" s="47" customFormat="1" ht="20.100000000000001" customHeight="1" x14ac:dyDescent="0.25">
      <c r="A103" s="50"/>
      <c r="B103" s="288"/>
      <c r="C103" s="288"/>
      <c r="D103" s="288"/>
      <c r="E103" s="288"/>
      <c r="F103" s="288"/>
      <c r="G103" s="288"/>
      <c r="H103" s="288"/>
      <c r="I103" s="288"/>
      <c r="J103" s="288"/>
      <c r="K103" s="45"/>
      <c r="L103" s="53"/>
      <c r="M103" s="60" t="s">
        <v>218</v>
      </c>
      <c r="R103" s="60"/>
      <c r="T103" s="74"/>
      <c r="U103" s="74"/>
      <c r="V103" s="74"/>
      <c r="W103" s="53"/>
      <c r="X103" s="60" t="s">
        <v>219</v>
      </c>
      <c r="Y103" s="74"/>
      <c r="Z103" s="74"/>
      <c r="AA103" s="74"/>
      <c r="AB103" s="45"/>
      <c r="AC103" s="53"/>
      <c r="AD103" s="60" t="s">
        <v>220</v>
      </c>
      <c r="AE103" s="45"/>
      <c r="AF103" s="45"/>
      <c r="AG103" s="45"/>
      <c r="AH103" s="45"/>
      <c r="AI103" s="45"/>
      <c r="AJ103" s="45"/>
      <c r="AK103" s="45"/>
      <c r="AL103" s="45"/>
      <c r="AM103" s="52"/>
    </row>
    <row r="104" spans="1:39" s="47" customFormat="1" ht="20.100000000000001" customHeight="1" x14ac:dyDescent="0.25">
      <c r="A104" s="50"/>
      <c r="B104" s="288"/>
      <c r="C104" s="288"/>
      <c r="D104" s="288"/>
      <c r="E104" s="288"/>
      <c r="F104" s="288"/>
      <c r="G104" s="288"/>
      <c r="H104" s="288"/>
      <c r="I104" s="288"/>
      <c r="J104" s="288"/>
      <c r="K104" s="45"/>
      <c r="M104" s="60"/>
      <c r="R104" s="60"/>
      <c r="T104" s="74"/>
      <c r="U104" s="74"/>
      <c r="V104" s="74"/>
      <c r="X104" s="60"/>
      <c r="Y104" s="74"/>
      <c r="Z104" s="74"/>
      <c r="AA104" s="74"/>
      <c r="AB104" s="45"/>
      <c r="AD104" s="45"/>
      <c r="AE104" s="45"/>
      <c r="AF104" s="45"/>
      <c r="AG104" s="45"/>
      <c r="AH104" s="45"/>
      <c r="AI104" s="45"/>
      <c r="AJ104" s="45"/>
      <c r="AK104" s="45"/>
      <c r="AL104" s="45"/>
      <c r="AM104" s="52"/>
    </row>
    <row r="105" spans="1:39" s="47" customFormat="1" ht="20.100000000000001" customHeight="1" x14ac:dyDescent="0.25">
      <c r="A105" s="50"/>
      <c r="B105" s="288"/>
      <c r="C105" s="288"/>
      <c r="D105" s="288"/>
      <c r="E105" s="288"/>
      <c r="F105" s="288"/>
      <c r="G105" s="288"/>
      <c r="H105" s="288"/>
      <c r="I105" s="288"/>
      <c r="J105" s="288"/>
      <c r="K105" s="45"/>
      <c r="L105" s="53"/>
      <c r="M105" s="60" t="s">
        <v>221</v>
      </c>
      <c r="P105" s="45"/>
      <c r="R105" s="60"/>
      <c r="S105" s="45"/>
      <c r="T105" s="45"/>
      <c r="U105" s="45"/>
      <c r="V105" s="45"/>
      <c r="X105" s="60"/>
      <c r="Y105" s="45"/>
      <c r="Z105" s="45"/>
      <c r="AA105" s="45"/>
      <c r="AB105" s="45"/>
      <c r="AD105" s="60"/>
      <c r="AE105" s="45"/>
      <c r="AF105" s="45"/>
      <c r="AG105" s="45"/>
      <c r="AH105" s="45"/>
      <c r="AI105" s="45"/>
      <c r="AJ105" s="45"/>
      <c r="AK105" s="45"/>
      <c r="AL105" s="45"/>
      <c r="AM105" s="52"/>
    </row>
    <row r="106" spans="1:39" s="47" customFormat="1" ht="20.100000000000001" customHeight="1" thickBot="1" x14ac:dyDescent="0.3">
      <c r="A106" s="54"/>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56"/>
    </row>
    <row r="107" spans="1:39" s="47" customFormat="1" ht="20.100000000000001" customHeight="1" x14ac:dyDescent="0.25">
      <c r="A107" s="251" t="s">
        <v>243</v>
      </c>
      <c r="B107" s="252"/>
      <c r="C107" s="252"/>
      <c r="D107" s="252"/>
      <c r="E107" s="252"/>
      <c r="F107" s="252"/>
      <c r="G107" s="252"/>
      <c r="H107" s="252"/>
      <c r="I107" s="252"/>
      <c r="J107" s="252"/>
      <c r="K107" s="252"/>
      <c r="L107" s="252"/>
      <c r="M107" s="252"/>
      <c r="N107" s="252"/>
      <c r="O107" s="252"/>
      <c r="P107" s="252"/>
      <c r="Q107" s="252"/>
      <c r="R107" s="252"/>
      <c r="S107" s="252"/>
      <c r="T107" s="252"/>
      <c r="U107" s="252"/>
      <c r="V107" s="252"/>
      <c r="W107" s="252"/>
      <c r="X107" s="252"/>
      <c r="Y107" s="252"/>
      <c r="Z107" s="252"/>
      <c r="AA107" s="252"/>
      <c r="AB107" s="252"/>
      <c r="AC107" s="252"/>
      <c r="AD107" s="252"/>
      <c r="AE107" s="252"/>
      <c r="AF107" s="252"/>
      <c r="AG107" s="252"/>
      <c r="AH107" s="252"/>
      <c r="AI107" s="252"/>
      <c r="AJ107" s="252"/>
      <c r="AK107" s="252"/>
      <c r="AL107" s="252"/>
      <c r="AM107" s="253"/>
    </row>
    <row r="108" spans="1:39" s="47" customFormat="1" ht="20.100000000000001" customHeight="1" x14ac:dyDescent="0.25">
      <c r="A108" s="50"/>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52"/>
    </row>
    <row r="109" spans="1:39" s="47" customFormat="1" ht="20.100000000000001" customHeight="1" x14ac:dyDescent="0.25">
      <c r="A109" s="50"/>
      <c r="B109" s="45"/>
      <c r="C109" s="70"/>
      <c r="D109" s="75" t="s">
        <v>222</v>
      </c>
      <c r="E109" s="58"/>
      <c r="F109" s="58"/>
      <c r="G109" s="58"/>
      <c r="H109" s="70"/>
      <c r="I109" s="60" t="s">
        <v>223</v>
      </c>
      <c r="J109" s="58"/>
      <c r="K109" s="58"/>
      <c r="L109" s="58"/>
      <c r="M109" s="58"/>
      <c r="N109" s="58"/>
      <c r="O109" s="58"/>
      <c r="P109" s="76"/>
      <c r="Q109" s="60" t="s">
        <v>224</v>
      </c>
      <c r="R109" s="58"/>
      <c r="S109" s="60"/>
      <c r="T109" s="60"/>
      <c r="U109" s="60"/>
      <c r="V109" s="60"/>
      <c r="W109" s="45"/>
      <c r="X109" s="45"/>
      <c r="Y109" s="45"/>
      <c r="Z109" s="45"/>
      <c r="AA109" s="45"/>
      <c r="AB109" s="45"/>
      <c r="AC109" s="45"/>
      <c r="AD109" s="45"/>
      <c r="AE109" s="45"/>
      <c r="AF109" s="45"/>
      <c r="AG109" s="45"/>
      <c r="AH109" s="45"/>
      <c r="AI109" s="45"/>
      <c r="AJ109" s="45"/>
      <c r="AK109" s="45"/>
      <c r="AL109" s="45"/>
      <c r="AM109" s="52"/>
    </row>
    <row r="110" spans="1:39" s="47" customFormat="1" ht="20.100000000000001" customHeight="1" x14ac:dyDescent="0.25">
      <c r="A110" s="50"/>
      <c r="B110" s="45"/>
      <c r="C110" s="74"/>
      <c r="D110" s="58"/>
      <c r="E110" s="58"/>
      <c r="F110" s="58"/>
      <c r="G110" s="58"/>
      <c r="H110" s="58"/>
      <c r="I110" s="58"/>
      <c r="J110" s="58"/>
      <c r="K110" s="58"/>
      <c r="L110" s="58"/>
      <c r="M110" s="58"/>
      <c r="N110" s="58"/>
      <c r="O110" s="58"/>
      <c r="P110" s="58"/>
      <c r="Q110" s="58"/>
      <c r="R110" s="58"/>
      <c r="S110" s="60"/>
      <c r="T110" s="60"/>
      <c r="U110" s="60"/>
      <c r="V110" s="60"/>
      <c r="W110" s="45"/>
      <c r="X110" s="45"/>
      <c r="Y110" s="45"/>
      <c r="Z110" s="45"/>
      <c r="AA110" s="45"/>
      <c r="AB110" s="45"/>
      <c r="AC110" s="45"/>
      <c r="AD110" s="45"/>
      <c r="AE110" s="45"/>
      <c r="AF110" s="45"/>
      <c r="AG110" s="45"/>
      <c r="AH110" s="45"/>
      <c r="AI110" s="45"/>
      <c r="AJ110" s="45"/>
      <c r="AK110" s="45"/>
      <c r="AL110" s="45"/>
      <c r="AM110" s="52"/>
    </row>
    <row r="111" spans="1:39" s="47" customFormat="1" ht="20.100000000000001" customHeight="1" x14ac:dyDescent="0.25">
      <c r="A111" s="50"/>
      <c r="B111" s="45"/>
      <c r="C111" s="53"/>
      <c r="D111" s="60" t="s">
        <v>225</v>
      </c>
      <c r="I111" s="60"/>
      <c r="J111" s="60"/>
      <c r="K111" s="60"/>
      <c r="L111" s="60"/>
      <c r="P111" s="53"/>
      <c r="Q111" s="60" t="s">
        <v>2</v>
      </c>
      <c r="R111" s="60"/>
      <c r="T111" s="60"/>
      <c r="U111" s="45"/>
      <c r="V111" s="45"/>
      <c r="W111" s="45"/>
      <c r="X111" s="45"/>
      <c r="Y111" s="45"/>
      <c r="Z111" s="45"/>
      <c r="AA111" s="45"/>
      <c r="AB111" s="45"/>
      <c r="AC111" s="45"/>
      <c r="AD111" s="45"/>
      <c r="AE111" s="45"/>
      <c r="AF111" s="45"/>
      <c r="AG111" s="45"/>
      <c r="AH111" s="45"/>
      <c r="AI111" s="45"/>
      <c r="AJ111" s="45"/>
      <c r="AK111" s="45"/>
      <c r="AL111" s="45"/>
      <c r="AM111" s="52"/>
    </row>
    <row r="112" spans="1:39" s="47" customFormat="1" ht="20.100000000000001" customHeight="1" x14ac:dyDescent="0.25">
      <c r="A112" s="50"/>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52"/>
    </row>
    <row r="113" spans="1:39" s="47" customFormat="1" ht="20.100000000000001" customHeight="1" x14ac:dyDescent="0.25">
      <c r="A113" s="50"/>
      <c r="B113" s="45"/>
      <c r="C113" s="53"/>
      <c r="D113" s="60" t="s">
        <v>226</v>
      </c>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52"/>
    </row>
    <row r="114" spans="1:39" s="47" customFormat="1" ht="20.100000000000001" customHeight="1" thickBot="1" x14ac:dyDescent="0.3">
      <c r="A114" s="54"/>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56"/>
    </row>
    <row r="115" spans="1:39" s="47" customFormat="1" ht="20.100000000000001" customHeight="1" x14ac:dyDescent="0.25">
      <c r="A115" s="251" t="s">
        <v>255</v>
      </c>
      <c r="B115" s="252"/>
      <c r="C115" s="252"/>
      <c r="D115" s="252"/>
      <c r="E115" s="252"/>
      <c r="F115" s="252"/>
      <c r="G115" s="252"/>
      <c r="H115" s="252"/>
      <c r="I115" s="252"/>
      <c r="J115" s="252"/>
      <c r="K115" s="252"/>
      <c r="L115" s="252"/>
      <c r="M115" s="252"/>
      <c r="N115" s="252"/>
      <c r="O115" s="252"/>
      <c r="P115" s="252"/>
      <c r="Q115" s="252"/>
      <c r="R115" s="252"/>
      <c r="S115" s="252"/>
      <c r="T115" s="252"/>
      <c r="U115" s="252"/>
      <c r="V115" s="252"/>
      <c r="W115" s="252"/>
      <c r="X115" s="252"/>
      <c r="Y115" s="252"/>
      <c r="Z115" s="252"/>
      <c r="AA115" s="252"/>
      <c r="AB115" s="252"/>
      <c r="AC115" s="252"/>
      <c r="AD115" s="252"/>
      <c r="AE115" s="252"/>
      <c r="AF115" s="252"/>
      <c r="AG115" s="252"/>
      <c r="AH115" s="252"/>
      <c r="AI115" s="252"/>
      <c r="AJ115" s="252"/>
      <c r="AK115" s="252"/>
      <c r="AL115" s="252"/>
      <c r="AM115" s="253"/>
    </row>
    <row r="116" spans="1:39" s="47" customFormat="1" ht="20.100000000000001" customHeight="1" x14ac:dyDescent="0.25">
      <c r="A116" s="50"/>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52"/>
    </row>
    <row r="117" spans="1:39" s="47" customFormat="1" ht="20.100000000000001" customHeight="1" x14ac:dyDescent="0.25">
      <c r="A117" s="50"/>
      <c r="B117" s="45"/>
      <c r="C117" s="70"/>
      <c r="D117" s="75" t="s">
        <v>222</v>
      </c>
      <c r="E117" s="58"/>
      <c r="F117" s="58"/>
      <c r="G117" s="58"/>
      <c r="H117" s="70"/>
      <c r="I117" s="60" t="s">
        <v>227</v>
      </c>
      <c r="J117" s="58"/>
      <c r="K117" s="58"/>
      <c r="L117" s="58"/>
      <c r="M117" s="58"/>
      <c r="N117" s="58"/>
      <c r="O117" s="58"/>
      <c r="P117" s="76"/>
      <c r="Q117" s="60" t="s">
        <v>228</v>
      </c>
      <c r="R117" s="58"/>
      <c r="S117" s="60"/>
      <c r="T117" s="60"/>
      <c r="U117" s="60"/>
      <c r="V117" s="60"/>
      <c r="W117" s="53"/>
      <c r="X117" s="60" t="s">
        <v>229</v>
      </c>
      <c r="Y117" s="45"/>
      <c r="Z117" s="45"/>
      <c r="AA117" s="45"/>
      <c r="AB117" s="45"/>
      <c r="AC117" s="53"/>
      <c r="AD117" s="60" t="s">
        <v>230</v>
      </c>
      <c r="AE117" s="45"/>
      <c r="AF117" s="45"/>
      <c r="AG117" s="45"/>
      <c r="AH117" s="45"/>
      <c r="AI117" s="45"/>
      <c r="AJ117" s="45"/>
      <c r="AK117" s="45"/>
      <c r="AL117" s="45"/>
      <c r="AM117" s="52"/>
    </row>
    <row r="118" spans="1:39" s="47" customFormat="1" ht="20.100000000000001" customHeight="1" x14ac:dyDescent="0.25">
      <c r="A118" s="50"/>
      <c r="B118" s="45"/>
      <c r="C118" s="74"/>
      <c r="D118" s="58"/>
      <c r="E118" s="58"/>
      <c r="F118" s="58"/>
      <c r="G118" s="58"/>
      <c r="H118" s="58"/>
      <c r="I118" s="58"/>
      <c r="J118" s="58"/>
      <c r="K118" s="58"/>
      <c r="L118" s="58"/>
      <c r="M118" s="58"/>
      <c r="N118" s="58"/>
      <c r="O118" s="58"/>
      <c r="P118" s="58"/>
      <c r="Q118" s="58"/>
      <c r="R118" s="58"/>
      <c r="S118" s="60"/>
      <c r="T118" s="60"/>
      <c r="U118" s="60"/>
      <c r="V118" s="60"/>
      <c r="W118" s="45"/>
      <c r="X118" s="45"/>
      <c r="Y118" s="45"/>
      <c r="Z118" s="45"/>
      <c r="AA118" s="45"/>
      <c r="AB118" s="45"/>
      <c r="AC118" s="45"/>
      <c r="AD118" s="45"/>
      <c r="AE118" s="45"/>
      <c r="AF118" s="45"/>
      <c r="AG118" s="45"/>
      <c r="AH118" s="45"/>
      <c r="AI118" s="45"/>
      <c r="AJ118" s="45"/>
      <c r="AK118" s="45"/>
      <c r="AL118" s="45"/>
      <c r="AM118" s="52"/>
    </row>
    <row r="119" spans="1:39" s="47" customFormat="1" ht="20.100000000000001" customHeight="1" x14ac:dyDescent="0.25">
      <c r="A119" s="50"/>
      <c r="B119" s="45"/>
      <c r="C119" s="53"/>
      <c r="D119" s="60" t="s">
        <v>231</v>
      </c>
      <c r="H119" s="53"/>
      <c r="I119" s="60" t="s">
        <v>226</v>
      </c>
      <c r="J119" s="60"/>
      <c r="K119" s="60"/>
      <c r="L119" s="60"/>
      <c r="P119" s="45"/>
      <c r="Q119" s="45"/>
      <c r="R119" s="45"/>
      <c r="T119" s="60"/>
      <c r="U119" s="45"/>
      <c r="V119" s="45"/>
      <c r="W119" s="45"/>
      <c r="X119" s="45"/>
      <c r="Y119" s="45"/>
      <c r="Z119" s="45"/>
      <c r="AA119" s="45"/>
      <c r="AB119" s="45"/>
      <c r="AC119" s="45"/>
      <c r="AD119" s="45"/>
      <c r="AE119" s="45"/>
      <c r="AF119" s="45"/>
      <c r="AG119" s="45"/>
      <c r="AH119" s="45"/>
      <c r="AI119" s="45"/>
      <c r="AJ119" s="45"/>
      <c r="AK119" s="45"/>
      <c r="AL119" s="45"/>
      <c r="AM119" s="52"/>
    </row>
    <row r="120" spans="1:39" s="47" customFormat="1" ht="20.100000000000001" customHeight="1" thickBot="1" x14ac:dyDescent="0.3">
      <c r="A120" s="54"/>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56"/>
    </row>
    <row r="121" spans="1:39" s="47" customFormat="1" ht="20.100000000000001" customHeight="1" x14ac:dyDescent="0.25">
      <c r="A121" s="251" t="s">
        <v>256</v>
      </c>
      <c r="B121" s="252"/>
      <c r="C121" s="252"/>
      <c r="D121" s="252"/>
      <c r="E121" s="252"/>
      <c r="F121" s="252"/>
      <c r="G121" s="252"/>
      <c r="H121" s="252"/>
      <c r="I121" s="252"/>
      <c r="J121" s="252"/>
      <c r="K121" s="252"/>
      <c r="L121" s="252"/>
      <c r="M121" s="252"/>
      <c r="N121" s="252"/>
      <c r="O121" s="252"/>
      <c r="P121" s="252"/>
      <c r="Q121" s="252"/>
      <c r="R121" s="252"/>
      <c r="S121" s="252"/>
      <c r="T121" s="252"/>
      <c r="U121" s="252"/>
      <c r="V121" s="252"/>
      <c r="W121" s="252"/>
      <c r="X121" s="252"/>
      <c r="Y121" s="252"/>
      <c r="Z121" s="252"/>
      <c r="AA121" s="252"/>
      <c r="AB121" s="252"/>
      <c r="AC121" s="252"/>
      <c r="AD121" s="252"/>
      <c r="AE121" s="252"/>
      <c r="AF121" s="252"/>
      <c r="AG121" s="252"/>
      <c r="AH121" s="252"/>
      <c r="AI121" s="252"/>
      <c r="AJ121" s="252"/>
      <c r="AK121" s="252"/>
      <c r="AL121" s="252"/>
      <c r="AM121" s="253"/>
    </row>
    <row r="122" spans="1:39" s="47" customFormat="1" ht="20.100000000000001" customHeight="1" x14ac:dyDescent="0.25">
      <c r="A122" s="50"/>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52"/>
    </row>
    <row r="123" spans="1:39" s="47" customFormat="1" ht="20.100000000000001" customHeight="1" x14ac:dyDescent="0.25">
      <c r="A123" s="50"/>
      <c r="B123" s="134" t="s">
        <v>232</v>
      </c>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45"/>
      <c r="AG123" s="70"/>
      <c r="AH123" s="60" t="s">
        <v>233</v>
      </c>
      <c r="AI123" s="45"/>
      <c r="AJ123" s="70"/>
      <c r="AK123" s="60" t="s">
        <v>234</v>
      </c>
      <c r="AL123" s="45"/>
      <c r="AM123" s="52"/>
    </row>
    <row r="124" spans="1:39" s="47" customFormat="1" ht="20.100000000000001" customHeight="1" x14ac:dyDescent="0.25">
      <c r="A124" s="50"/>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45"/>
      <c r="AD124" s="45"/>
      <c r="AE124" s="45"/>
      <c r="AF124" s="45"/>
      <c r="AG124" s="74"/>
      <c r="AH124" s="74"/>
      <c r="AI124" s="45"/>
      <c r="AJ124" s="74"/>
      <c r="AK124" s="74"/>
      <c r="AL124" s="45"/>
      <c r="AM124" s="52"/>
    </row>
    <row r="125" spans="1:39" s="45" customFormat="1" ht="20.100000000000001" customHeight="1" x14ac:dyDescent="0.25">
      <c r="A125" s="50"/>
      <c r="B125" s="254" t="s">
        <v>235</v>
      </c>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G125" s="70"/>
      <c r="AH125" s="60" t="s">
        <v>233</v>
      </c>
      <c r="AJ125" s="70"/>
      <c r="AK125" s="60" t="s">
        <v>234</v>
      </c>
      <c r="AM125" s="52"/>
    </row>
    <row r="126" spans="1:39" s="45" customFormat="1" ht="20.100000000000001" customHeight="1" x14ac:dyDescent="0.25">
      <c r="A126" s="50"/>
      <c r="B126" s="254"/>
      <c r="C126" s="254"/>
      <c r="D126" s="254"/>
      <c r="E126" s="254"/>
      <c r="F126" s="60"/>
      <c r="G126" s="74"/>
      <c r="H126" s="74"/>
      <c r="I126" s="74"/>
      <c r="J126" s="74"/>
      <c r="K126" s="74"/>
      <c r="L126" s="74"/>
      <c r="M126" s="74"/>
      <c r="N126" s="74"/>
      <c r="O126" s="74"/>
      <c r="P126" s="74"/>
      <c r="Q126" s="74"/>
      <c r="R126" s="74"/>
      <c r="S126" s="74"/>
      <c r="T126" s="74"/>
      <c r="U126" s="74"/>
      <c r="V126" s="74"/>
      <c r="W126" s="74"/>
      <c r="X126" s="74"/>
      <c r="Y126" s="74"/>
      <c r="Z126" s="74"/>
      <c r="AA126" s="74"/>
      <c r="AB126" s="74"/>
      <c r="AG126" s="74"/>
      <c r="AH126" s="74"/>
      <c r="AJ126" s="74"/>
      <c r="AK126" s="74"/>
      <c r="AM126" s="52"/>
    </row>
    <row r="127" spans="1:39" s="45" customFormat="1" ht="20.100000000000001" customHeight="1" x14ac:dyDescent="0.25">
      <c r="A127" s="50"/>
      <c r="B127" s="254" t="s">
        <v>236</v>
      </c>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G127" s="70"/>
      <c r="AH127" s="60" t="s">
        <v>233</v>
      </c>
      <c r="AJ127" s="70"/>
      <c r="AK127" s="60" t="s">
        <v>234</v>
      </c>
      <c r="AM127" s="52"/>
    </row>
    <row r="128" spans="1:39" s="45" customFormat="1" ht="20.100000000000001" customHeight="1" x14ac:dyDescent="0.25">
      <c r="A128" s="50"/>
      <c r="B128" s="254"/>
      <c r="C128" s="254"/>
      <c r="D128" s="254"/>
      <c r="E128" s="254"/>
      <c r="F128" s="60"/>
      <c r="G128" s="74"/>
      <c r="H128" s="74"/>
      <c r="I128" s="74"/>
      <c r="J128" s="74"/>
      <c r="K128" s="74"/>
      <c r="L128" s="74"/>
      <c r="M128" s="74"/>
      <c r="N128" s="74"/>
      <c r="O128" s="74"/>
      <c r="P128" s="74"/>
      <c r="Q128" s="74"/>
      <c r="R128" s="74"/>
      <c r="S128" s="74"/>
      <c r="T128" s="74"/>
      <c r="U128" s="74"/>
      <c r="V128" s="74"/>
      <c r="W128" s="74"/>
      <c r="X128" s="74"/>
      <c r="Y128" s="74"/>
      <c r="Z128" s="74"/>
      <c r="AA128" s="74"/>
      <c r="AB128" s="74"/>
      <c r="AG128" s="74"/>
      <c r="AH128" s="74"/>
      <c r="AJ128" s="74"/>
      <c r="AK128" s="74"/>
      <c r="AM128" s="52"/>
    </row>
    <row r="129" spans="1:39" s="45" customFormat="1" ht="20.100000000000001" customHeight="1" x14ac:dyDescent="0.25">
      <c r="A129" s="50"/>
      <c r="B129" s="254" t="s">
        <v>237</v>
      </c>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G129" s="70"/>
      <c r="AH129" s="60" t="s">
        <v>233</v>
      </c>
      <c r="AJ129" s="70"/>
      <c r="AK129" s="60" t="s">
        <v>234</v>
      </c>
      <c r="AM129" s="52"/>
    </row>
    <row r="130" spans="1:39" s="45" customFormat="1" ht="20.100000000000001" customHeight="1" x14ac:dyDescent="0.25">
      <c r="A130" s="50"/>
      <c r="B130" s="254"/>
      <c r="C130" s="254"/>
      <c r="D130" s="254"/>
      <c r="E130" s="254"/>
      <c r="F130" s="60"/>
      <c r="G130" s="74"/>
      <c r="H130" s="74"/>
      <c r="I130" s="74"/>
      <c r="J130" s="74"/>
      <c r="K130" s="74"/>
      <c r="L130" s="74"/>
      <c r="M130" s="74"/>
      <c r="N130" s="74"/>
      <c r="O130" s="74"/>
      <c r="P130" s="74"/>
      <c r="Q130" s="74"/>
      <c r="R130" s="74"/>
      <c r="S130" s="74"/>
      <c r="T130" s="74"/>
      <c r="U130" s="74"/>
      <c r="V130" s="74"/>
      <c r="W130" s="74"/>
      <c r="X130" s="74"/>
      <c r="Y130" s="74"/>
      <c r="Z130" s="74"/>
      <c r="AA130" s="74"/>
      <c r="AB130" s="74"/>
      <c r="AG130" s="74"/>
      <c r="AH130" s="74"/>
      <c r="AJ130" s="74"/>
      <c r="AK130" s="74"/>
      <c r="AM130" s="52"/>
    </row>
    <row r="131" spans="1:39" s="45" customFormat="1" ht="20.100000000000001" customHeight="1" x14ac:dyDescent="0.25">
      <c r="A131" s="50"/>
      <c r="B131" s="134" t="s">
        <v>238</v>
      </c>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G131" s="70"/>
      <c r="AH131" s="60" t="s">
        <v>233</v>
      </c>
      <c r="AJ131" s="70"/>
      <c r="AK131" s="60" t="s">
        <v>234</v>
      </c>
      <c r="AM131" s="52"/>
    </row>
    <row r="132" spans="1:39" s="45" customFormat="1" ht="20.100000000000001" customHeight="1" x14ac:dyDescent="0.25">
      <c r="A132" s="50"/>
      <c r="AM132" s="52"/>
    </row>
    <row r="133" spans="1:39" s="45" customFormat="1" ht="20.100000000000001" customHeight="1" x14ac:dyDescent="0.25">
      <c r="A133" s="50"/>
      <c r="B133" s="134" t="s">
        <v>239</v>
      </c>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M133" s="52"/>
    </row>
    <row r="134" spans="1:39" s="45" customFormat="1" ht="20.100000000000001" customHeight="1" x14ac:dyDescent="0.25">
      <c r="A134" s="50"/>
      <c r="B134" s="250"/>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c r="AJ134" s="250"/>
      <c r="AK134" s="250"/>
      <c r="AM134" s="52"/>
    </row>
    <row r="135" spans="1:39" s="45" customFormat="1" ht="20.100000000000001" customHeight="1" x14ac:dyDescent="0.25">
      <c r="A135" s="50"/>
      <c r="B135" s="250"/>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c r="AJ135" s="250"/>
      <c r="AK135" s="250"/>
      <c r="AM135" s="52"/>
    </row>
    <row r="136" spans="1:39" s="47" customFormat="1" ht="20.100000000000001" customHeight="1" x14ac:dyDescent="0.25">
      <c r="A136" s="50"/>
      <c r="B136" s="267"/>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267"/>
      <c r="AK136" s="267"/>
      <c r="AL136" s="45"/>
      <c r="AM136" s="52"/>
    </row>
    <row r="137" spans="1:39" s="47" customFormat="1" ht="20.100000000000001" customHeight="1" thickBot="1" x14ac:dyDescent="0.3">
      <c r="A137" s="54"/>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56"/>
    </row>
    <row r="138" spans="1:39" s="47" customFormat="1" ht="20.100000000000001" customHeight="1" thickBot="1" x14ac:dyDescent="0.3">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row>
    <row r="139" spans="1:39" s="47" customFormat="1" ht="20.100000000000001" customHeight="1" thickBot="1" x14ac:dyDescent="0.3">
      <c r="A139" s="255" t="s">
        <v>240</v>
      </c>
      <c r="B139" s="256"/>
      <c r="C139" s="256"/>
      <c r="D139" s="256"/>
      <c r="E139" s="256"/>
      <c r="F139" s="256"/>
      <c r="G139" s="256"/>
      <c r="H139" s="256"/>
      <c r="I139" s="256"/>
      <c r="J139" s="256"/>
      <c r="K139" s="257"/>
      <c r="L139" s="258"/>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60"/>
    </row>
    <row r="140" spans="1:39" s="47" customFormat="1" ht="20.100000000000001" customHeight="1" thickBot="1" x14ac:dyDescent="0.3">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row>
    <row r="141" spans="1:39" s="47" customFormat="1" ht="20.100000000000001" customHeight="1" thickBot="1" x14ac:dyDescent="0.3">
      <c r="A141" s="261" t="s">
        <v>257</v>
      </c>
      <c r="B141" s="262"/>
      <c r="C141" s="262"/>
      <c r="D141" s="262"/>
      <c r="E141" s="262"/>
      <c r="F141" s="262"/>
      <c r="G141" s="262"/>
      <c r="H141" s="262"/>
      <c r="I141" s="262"/>
      <c r="J141" s="262"/>
      <c r="K141" s="262"/>
      <c r="L141" s="262"/>
      <c r="M141" s="262"/>
      <c r="N141" s="262"/>
      <c r="O141" s="262"/>
      <c r="P141" s="262"/>
      <c r="Q141" s="263"/>
      <c r="R141" s="264" t="s">
        <v>258</v>
      </c>
      <c r="S141" s="265"/>
      <c r="T141" s="265"/>
      <c r="U141" s="265"/>
      <c r="V141" s="265"/>
      <c r="W141" s="265"/>
      <c r="X141" s="265"/>
      <c r="Y141" s="265"/>
      <c r="Z141" s="265"/>
      <c r="AA141" s="265"/>
      <c r="AB141" s="265"/>
      <c r="AC141" s="265"/>
      <c r="AD141" s="265"/>
      <c r="AE141" s="265"/>
      <c r="AF141" s="265"/>
      <c r="AG141" s="265"/>
      <c r="AH141" s="265"/>
      <c r="AI141" s="265"/>
      <c r="AJ141" s="265"/>
      <c r="AK141" s="265"/>
      <c r="AL141" s="265"/>
      <c r="AM141" s="266"/>
    </row>
    <row r="143" spans="1:39" ht="20.100000000000001" customHeight="1" x14ac:dyDescent="0.25">
      <c r="A143" s="250" t="s">
        <v>496</v>
      </c>
      <c r="B143" s="25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c r="AJ143" s="250"/>
      <c r="AK143" s="250"/>
      <c r="AL143" s="250"/>
      <c r="AM143" s="250"/>
    </row>
  </sheetData>
  <mergeCells count="89">
    <mergeCell ref="A95:AM95"/>
    <mergeCell ref="B97:J97"/>
    <mergeCell ref="B99:J105"/>
    <mergeCell ref="A107:AM107"/>
    <mergeCell ref="A115:AM115"/>
    <mergeCell ref="B91:J91"/>
    <mergeCell ref="L91:P91"/>
    <mergeCell ref="A79:AM79"/>
    <mergeCell ref="A85:AM85"/>
    <mergeCell ref="B87:P87"/>
    <mergeCell ref="T87:AH87"/>
    <mergeCell ref="B89:J89"/>
    <mergeCell ref="L89:P89"/>
    <mergeCell ref="T89:AB89"/>
    <mergeCell ref="AD89:AH89"/>
    <mergeCell ref="T91:AB93"/>
    <mergeCell ref="B93:J93"/>
    <mergeCell ref="L93:P93"/>
    <mergeCell ref="AD91:AH93"/>
    <mergeCell ref="B77:J77"/>
    <mergeCell ref="B69:J69"/>
    <mergeCell ref="A65:AM65"/>
    <mergeCell ref="B67:J67"/>
    <mergeCell ref="A73:AM73"/>
    <mergeCell ref="B75:J75"/>
    <mergeCell ref="B63:J63"/>
    <mergeCell ref="B51:J51"/>
    <mergeCell ref="B53:J53"/>
    <mergeCell ref="K51:O51"/>
    <mergeCell ref="Q51:W51"/>
    <mergeCell ref="B55:J55"/>
    <mergeCell ref="B57:J57"/>
    <mergeCell ref="B59:J59"/>
    <mergeCell ref="B35:H35"/>
    <mergeCell ref="A37:AM37"/>
    <mergeCell ref="A43:AM43"/>
    <mergeCell ref="A49:AM49"/>
    <mergeCell ref="B61:J61"/>
    <mergeCell ref="X51:AA51"/>
    <mergeCell ref="AC51:AI51"/>
    <mergeCell ref="AJ51:AL51"/>
    <mergeCell ref="B27:N27"/>
    <mergeCell ref="V27:AL27"/>
    <mergeCell ref="B22:K22"/>
    <mergeCell ref="B23:K23"/>
    <mergeCell ref="L22:AL22"/>
    <mergeCell ref="L23:AL23"/>
    <mergeCell ref="A25:AM25"/>
    <mergeCell ref="L11:AL11"/>
    <mergeCell ref="B12:K12"/>
    <mergeCell ref="L12:AL12"/>
    <mergeCell ref="B21:K21"/>
    <mergeCell ref="L21:AL21"/>
    <mergeCell ref="B15:K15"/>
    <mergeCell ref="L15:AL15"/>
    <mergeCell ref="B16:K16"/>
    <mergeCell ref="L16:AL16"/>
    <mergeCell ref="A1:AM1"/>
    <mergeCell ref="A2:AM2"/>
    <mergeCell ref="A4:AM4"/>
    <mergeCell ref="A6:AM6"/>
    <mergeCell ref="A19:AM19"/>
    <mergeCell ref="B9:K9"/>
    <mergeCell ref="L9:AL9"/>
    <mergeCell ref="B10:K10"/>
    <mergeCell ref="L10:AL10"/>
    <mergeCell ref="B8:K8"/>
    <mergeCell ref="L8:AL8"/>
    <mergeCell ref="B13:K13"/>
    <mergeCell ref="L13:AL13"/>
    <mergeCell ref="B14:K14"/>
    <mergeCell ref="L14:AL14"/>
    <mergeCell ref="B11:K11"/>
    <mergeCell ref="A143:AM143"/>
    <mergeCell ref="A121:AM121"/>
    <mergeCell ref="B123:AE123"/>
    <mergeCell ref="B125:AB125"/>
    <mergeCell ref="B126:E126"/>
    <mergeCell ref="B127:AB127"/>
    <mergeCell ref="A139:K139"/>
    <mergeCell ref="L139:AM139"/>
    <mergeCell ref="A141:Q141"/>
    <mergeCell ref="R141:AM141"/>
    <mergeCell ref="B128:E128"/>
    <mergeCell ref="B129:AB129"/>
    <mergeCell ref="B130:E130"/>
    <mergeCell ref="B131:AE131"/>
    <mergeCell ref="B133:AE133"/>
    <mergeCell ref="B134:AK136"/>
  </mergeCells>
  <conditionalFormatting sqref="G128:AB128 AG128:AH128 AJ128:AK128">
    <cfRule type="expression" dxfId="1" priority="2" stopIfTrue="1">
      <formula>IF(AND(#REF!="",#REF!="SIM"),TRUE,FALSE)</formula>
    </cfRule>
  </conditionalFormatting>
  <conditionalFormatting sqref="AG124:AH124 AJ124:AK124 G126:AB126 AG126:AH126 AJ126:AK126 G130:AB130 AG130:AH130 AJ130:AK130">
    <cfRule type="expression" dxfId="0" priority="1" stopIfTrue="1">
      <formula>IF(AND(#REF!="",#REF!="NÃO"),TRUE,FALSE)</formula>
    </cfRule>
  </conditionalFormatting>
  <dataValidations disablePrompts="1" count="2">
    <dataValidation type="date" allowBlank="1" showInputMessage="1" showErrorMessage="1" errorTitle="ATENÇÃO" error="Este campo aceita somente datas no formato DD/MM/AAAA._x000a_Não são aceitas datas futuras e datas anteriores a 180 dias." sqref="J38 J44" xr:uid="{FC63ADD1-BC37-496C-8333-8740A5422D90}">
      <formula1>TODAY()-180</formula1>
      <formula2>TODAY()+7</formula2>
    </dataValidation>
    <dataValidation type="whole" operator="greaterThanOrEqual" allowBlank="1" showInputMessage="1" showErrorMessage="1" errorTitle="ATENÇÃO" error="Campo aceita somente números." sqref="AC97 AC99 AC101 AC104" xr:uid="{AD5293D9-A107-4469-81FF-5F87D33C0615}">
      <formula1>0</formula1>
    </dataValidation>
  </dataValidations>
  <pageMargins left="0.511811024" right="0.511811024" top="0.78740157499999996" bottom="0.78740157499999996" header="0.31496062000000002" footer="0.31496062000000002"/>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TERRENO E BENFEITORIAS</vt:lpstr>
      <vt:lpstr>VANTAGEM DA COISA FEITA</vt:lpstr>
      <vt:lpstr>DEPRECIAÇÃO</vt:lpstr>
      <vt:lpstr>LAUDO DE VISTORIA</vt:lpstr>
      <vt:lpstr>DEPRECIAÇÃO!Area_de_impressao</vt:lpstr>
      <vt:lpstr>'LAUDO DE VISTORIA'!Area_de_impressao</vt:lpstr>
      <vt:lpstr>'TERRENO E BENFEITORIAS'!Area_de_impressao</vt:lpstr>
      <vt:lpstr>'VANTAGEM DA COISA FEITA'!Area_de_impressao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2024-09-25T13:59:59Z</cp:lastPrinted>
  <dcterms:created xsi:type="dcterms:W3CDTF">2024-06-02T16:00:59Z</dcterms:created>
  <dcterms:modified xsi:type="dcterms:W3CDTF">2025-10-23T23:43:26Z</dcterms:modified>
</cp:coreProperties>
</file>