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never" codeName="EstaPastaDeTrabalho" defaultThemeVersion="202300"/>
  <mc:AlternateContent xmlns:mc="http://schemas.openxmlformats.org/markup-compatibility/2006">
    <mc:Choice Requires="x15">
      <x15ac:absPath xmlns:x15ac="http://schemas.microsoft.com/office/spreadsheetml/2010/11/ac" url="https://d.docs.live.net/1767bc6245dff04e/Documentos/Projetos/PROJETO SUSPENSO/ESOJUB REG LINEAR/RESIDÊNCIA/RESIDÊNCIA 3 V IND/"/>
    </mc:Choice>
  </mc:AlternateContent>
  <xr:revisionPtr revIDLastSave="60" documentId="8_{33E5F6F6-51FF-4CCA-9220-B7A18C75DCBB}" xr6:coauthVersionLast="47" xr6:coauthVersionMax="47" xr10:uidLastSave="{52840CC5-9739-4F31-984F-6CE41BBFAABC}"/>
  <bookViews>
    <workbookView xWindow="-120" yWindow="-120" windowWidth="29040" windowHeight="15720" xr2:uid="{1F4201A7-3895-4FFC-8593-79D99B2E80C2}"/>
  </bookViews>
  <sheets>
    <sheet name="RESULTADOS DA REGRESSÃO" sheetId="1" r:id="rId1"/>
    <sheet name="AMOSTRA" sheetId="3" r:id="rId2"/>
  </sheets>
  <definedNames>
    <definedName name="_xlnm._FilterDatabase" localSheetId="0" hidden="1">'RESULTADOS DA REGRESSÃO'!$B$10:$K$22</definedName>
    <definedName name="AP" localSheetId="1">AMOSTRA!#REF!</definedName>
    <definedName name="AP">'RESULTADOS DA REGRESSÃO'!$C$310</definedName>
    <definedName name="_xlnm.Print_Area" localSheetId="1">AMOSTRA!$A$1:$F$20</definedName>
    <definedName name="_xlnm.Print_Area" localSheetId="0">'RESULTADOS DA REGRESSÃO'!$A$1:$G$557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4" i="1" l="1"/>
  <c r="B249" i="1" l="1"/>
  <c r="B227" i="1"/>
  <c r="B417" i="1" l="1"/>
  <c r="B416" i="1"/>
  <c r="C151" i="1"/>
  <c r="E75" i="1"/>
  <c r="E71" i="1"/>
  <c r="A75" i="1"/>
  <c r="D65" i="1"/>
  <c r="E62" i="1"/>
  <c r="C62" i="1"/>
  <c r="D62" i="1"/>
  <c r="B62" i="1"/>
  <c r="A66" i="1"/>
  <c r="C64" i="1"/>
  <c r="E66" i="1"/>
  <c r="E50" i="1"/>
  <c r="E46" i="1"/>
  <c r="A50" i="1"/>
  <c r="N33" i="1"/>
  <c r="N31" i="1"/>
  <c r="N29" i="1"/>
  <c r="B303" i="1"/>
  <c r="C121" i="1"/>
  <c r="C120" i="1"/>
  <c r="B28" i="1" l="1"/>
  <c r="B49" i="1" l="1"/>
  <c r="B48" i="1"/>
  <c r="C80" i="1" l="1"/>
  <c r="C470" i="1"/>
  <c r="C101" i="1"/>
  <c r="C102" i="1" s="1"/>
  <c r="D82" i="1" l="1"/>
  <c r="C82" i="1"/>
  <c r="B82" i="1"/>
  <c r="BZ613" i="1" l="1"/>
  <c r="A228" i="1"/>
  <c r="A229" i="1"/>
  <c r="A230" i="1"/>
  <c r="A231" i="1"/>
  <c r="A232" i="1"/>
  <c r="A233" i="1"/>
  <c r="A234" i="1"/>
  <c r="A235" i="1"/>
  <c r="A236" i="1"/>
  <c r="A237" i="1"/>
  <c r="A238" i="1"/>
  <c r="A239" i="1"/>
  <c r="A227" i="1"/>
  <c r="A159" i="1" l="1"/>
  <c r="A158" i="1"/>
  <c r="C181" i="1" l="1"/>
  <c r="B164" i="1"/>
  <c r="B445" i="1"/>
  <c r="D445" i="1"/>
  <c r="E445" i="1"/>
  <c r="C445" i="1"/>
  <c r="F93" i="1" l="1"/>
  <c r="F94" i="1"/>
  <c r="AO1090" i="1" l="1"/>
  <c r="AO1067" i="1"/>
  <c r="AO1044" i="1"/>
  <c r="AO1021" i="1"/>
  <c r="AO998" i="1"/>
  <c r="AO975" i="1"/>
  <c r="AO952" i="1"/>
  <c r="AO929" i="1"/>
  <c r="AO907" i="1"/>
  <c r="AO884" i="1"/>
  <c r="AO861" i="1"/>
  <c r="AO838" i="1"/>
  <c r="AO791" i="1"/>
  <c r="AO815" i="1"/>
  <c r="CZ10" i="1"/>
  <c r="CP10" i="1"/>
  <c r="BU10" i="1"/>
  <c r="BL10" i="1"/>
  <c r="AQ10" i="1"/>
  <c r="AB10" i="1"/>
  <c r="T24" i="1"/>
  <c r="M227" i="1"/>
  <c r="M228" i="1"/>
  <c r="M229" i="1"/>
  <c r="M230" i="1"/>
  <c r="M231" i="1"/>
  <c r="M232" i="1"/>
  <c r="M233" i="1"/>
  <c r="M234" i="1"/>
  <c r="M235" i="1"/>
  <c r="M236" i="1"/>
  <c r="M237" i="1"/>
  <c r="E507" i="1"/>
  <c r="A65" i="1"/>
  <c r="A64" i="1"/>
  <c r="A63" i="1"/>
  <c r="AL1102" i="1" l="1"/>
  <c r="AM1102" i="1"/>
  <c r="AN1102" i="1"/>
  <c r="AL1091" i="1"/>
  <c r="AM1091" i="1"/>
  <c r="AN1091" i="1"/>
  <c r="AL1092" i="1"/>
  <c r="AM1092" i="1"/>
  <c r="AN1092" i="1"/>
  <c r="AL1093" i="1"/>
  <c r="AM1093" i="1"/>
  <c r="AN1093" i="1"/>
  <c r="AL1094" i="1"/>
  <c r="AM1094" i="1"/>
  <c r="AN1094" i="1"/>
  <c r="AL1095" i="1"/>
  <c r="AM1095" i="1"/>
  <c r="AN1095" i="1"/>
  <c r="AL1096" i="1"/>
  <c r="AM1096" i="1"/>
  <c r="AN1096" i="1"/>
  <c r="AL1097" i="1"/>
  <c r="AM1097" i="1"/>
  <c r="AN1097" i="1"/>
  <c r="AL1098" i="1"/>
  <c r="AM1098" i="1"/>
  <c r="AN1098" i="1"/>
  <c r="AL1099" i="1"/>
  <c r="AM1099" i="1"/>
  <c r="AN1099" i="1"/>
  <c r="AL1100" i="1"/>
  <c r="AM1100" i="1"/>
  <c r="AN1100" i="1"/>
  <c r="AL1101" i="1"/>
  <c r="AM1101" i="1"/>
  <c r="AN1101" i="1"/>
  <c r="AM1090" i="1"/>
  <c r="AN1090" i="1"/>
  <c r="AL1090" i="1"/>
  <c r="AL1068" i="1"/>
  <c r="AM1068" i="1"/>
  <c r="AN1068" i="1"/>
  <c r="AL1069" i="1"/>
  <c r="AM1069" i="1"/>
  <c r="AN1069" i="1"/>
  <c r="AL1070" i="1"/>
  <c r="AM1070" i="1"/>
  <c r="AN1070" i="1"/>
  <c r="AL1071" i="1"/>
  <c r="AM1071" i="1"/>
  <c r="AN1071" i="1"/>
  <c r="AL1072" i="1"/>
  <c r="AM1072" i="1"/>
  <c r="AN1072" i="1"/>
  <c r="AL1073" i="1"/>
  <c r="AM1073" i="1"/>
  <c r="AN1073" i="1"/>
  <c r="AL1074" i="1"/>
  <c r="AM1074" i="1"/>
  <c r="AN1074" i="1"/>
  <c r="AL1075" i="1"/>
  <c r="AM1075" i="1"/>
  <c r="AN1075" i="1"/>
  <c r="AL1076" i="1"/>
  <c r="AM1076" i="1"/>
  <c r="AN1076" i="1"/>
  <c r="AL1077" i="1"/>
  <c r="AM1077" i="1"/>
  <c r="AN1077" i="1"/>
  <c r="AL1078" i="1"/>
  <c r="AM1078" i="1"/>
  <c r="AN1078" i="1"/>
  <c r="AM1067" i="1"/>
  <c r="AN1067" i="1"/>
  <c r="AL1067" i="1"/>
  <c r="AL1045" i="1"/>
  <c r="AM1045" i="1"/>
  <c r="AN1045" i="1"/>
  <c r="AL1046" i="1"/>
  <c r="AM1046" i="1"/>
  <c r="AN1046" i="1"/>
  <c r="AL1047" i="1"/>
  <c r="AM1047" i="1"/>
  <c r="AN1047" i="1"/>
  <c r="AL1048" i="1"/>
  <c r="AM1048" i="1"/>
  <c r="AN1048" i="1"/>
  <c r="AL1049" i="1"/>
  <c r="AM1049" i="1"/>
  <c r="AN1049" i="1"/>
  <c r="AL1050" i="1"/>
  <c r="AM1050" i="1"/>
  <c r="AN1050" i="1"/>
  <c r="AL1051" i="1"/>
  <c r="AM1051" i="1"/>
  <c r="AN1051" i="1"/>
  <c r="AL1052" i="1"/>
  <c r="AM1052" i="1"/>
  <c r="AN1052" i="1"/>
  <c r="AL1053" i="1"/>
  <c r="AM1053" i="1"/>
  <c r="AN1053" i="1"/>
  <c r="AL1054" i="1"/>
  <c r="AM1054" i="1"/>
  <c r="AN1054" i="1"/>
  <c r="AL1055" i="1"/>
  <c r="AM1055" i="1"/>
  <c r="AN1055" i="1"/>
  <c r="AM1044" i="1"/>
  <c r="AN1044" i="1"/>
  <c r="AL1044" i="1"/>
  <c r="AL1022" i="1"/>
  <c r="AM1022" i="1"/>
  <c r="AN1022" i="1"/>
  <c r="AL1023" i="1"/>
  <c r="AM1023" i="1"/>
  <c r="AN1023" i="1"/>
  <c r="AL1024" i="1"/>
  <c r="AM1024" i="1"/>
  <c r="AN1024" i="1"/>
  <c r="AL1025" i="1"/>
  <c r="AM1025" i="1"/>
  <c r="AN1025" i="1"/>
  <c r="AL1026" i="1"/>
  <c r="AM1026" i="1"/>
  <c r="AN1026" i="1"/>
  <c r="AL1027" i="1"/>
  <c r="AM1027" i="1"/>
  <c r="AN1027" i="1"/>
  <c r="AL1028" i="1"/>
  <c r="AM1028" i="1"/>
  <c r="AN1028" i="1"/>
  <c r="AL1029" i="1"/>
  <c r="AM1029" i="1"/>
  <c r="AN1029" i="1"/>
  <c r="AL1030" i="1"/>
  <c r="AM1030" i="1"/>
  <c r="AN1030" i="1"/>
  <c r="AL1031" i="1"/>
  <c r="AM1031" i="1"/>
  <c r="AN1031" i="1"/>
  <c r="AL1032" i="1"/>
  <c r="AM1032" i="1"/>
  <c r="AN1032" i="1"/>
  <c r="AM1021" i="1"/>
  <c r="AN1021" i="1"/>
  <c r="AL1021" i="1"/>
  <c r="AL999" i="1"/>
  <c r="AM999" i="1"/>
  <c r="AN999" i="1"/>
  <c r="AL1000" i="1"/>
  <c r="AM1000" i="1"/>
  <c r="AN1000" i="1"/>
  <c r="AL1001" i="1"/>
  <c r="AM1001" i="1"/>
  <c r="AN1001" i="1"/>
  <c r="AL1002" i="1"/>
  <c r="AM1002" i="1"/>
  <c r="AN1002" i="1"/>
  <c r="AL1003" i="1"/>
  <c r="AM1003" i="1"/>
  <c r="AN1003" i="1"/>
  <c r="AL1004" i="1"/>
  <c r="AM1004" i="1"/>
  <c r="AN1004" i="1"/>
  <c r="AL1005" i="1"/>
  <c r="AM1005" i="1"/>
  <c r="AN1005" i="1"/>
  <c r="AL1006" i="1"/>
  <c r="AM1006" i="1"/>
  <c r="AN1006" i="1"/>
  <c r="AL1007" i="1"/>
  <c r="AM1007" i="1"/>
  <c r="AN1007" i="1"/>
  <c r="AL1008" i="1"/>
  <c r="AM1008" i="1"/>
  <c r="AN1008" i="1"/>
  <c r="AL1009" i="1"/>
  <c r="AM1009" i="1"/>
  <c r="AN1009" i="1"/>
  <c r="AM998" i="1"/>
  <c r="AN998" i="1"/>
  <c r="AL998" i="1"/>
  <c r="AL976" i="1"/>
  <c r="AM976" i="1"/>
  <c r="AN976" i="1"/>
  <c r="AL977" i="1"/>
  <c r="AM977" i="1"/>
  <c r="AN977" i="1"/>
  <c r="AL978" i="1"/>
  <c r="AM978" i="1"/>
  <c r="AN978" i="1"/>
  <c r="AL979" i="1"/>
  <c r="AM979" i="1"/>
  <c r="AN979" i="1"/>
  <c r="AL980" i="1"/>
  <c r="AM980" i="1"/>
  <c r="AN980" i="1"/>
  <c r="AL981" i="1"/>
  <c r="AM981" i="1"/>
  <c r="AN981" i="1"/>
  <c r="AL982" i="1"/>
  <c r="AM982" i="1"/>
  <c r="AN982" i="1"/>
  <c r="AL983" i="1"/>
  <c r="AM983" i="1"/>
  <c r="AN983" i="1"/>
  <c r="AL984" i="1"/>
  <c r="AM984" i="1"/>
  <c r="AN984" i="1"/>
  <c r="AL985" i="1"/>
  <c r="AM985" i="1"/>
  <c r="AN985" i="1"/>
  <c r="AL986" i="1"/>
  <c r="AM986" i="1"/>
  <c r="AN986" i="1"/>
  <c r="AM975" i="1"/>
  <c r="AN975" i="1"/>
  <c r="AL975" i="1"/>
  <c r="AL953" i="1"/>
  <c r="AM953" i="1"/>
  <c r="AN953" i="1"/>
  <c r="AL954" i="1"/>
  <c r="AM954" i="1"/>
  <c r="AN954" i="1"/>
  <c r="AL955" i="1"/>
  <c r="AM955" i="1"/>
  <c r="AN955" i="1"/>
  <c r="AL956" i="1"/>
  <c r="AM956" i="1"/>
  <c r="AN956" i="1"/>
  <c r="AL957" i="1"/>
  <c r="AM957" i="1"/>
  <c r="AN957" i="1"/>
  <c r="AL958" i="1"/>
  <c r="AM958" i="1"/>
  <c r="AN958" i="1"/>
  <c r="AL959" i="1"/>
  <c r="AM959" i="1"/>
  <c r="AN959" i="1"/>
  <c r="AL960" i="1"/>
  <c r="AM960" i="1"/>
  <c r="AN960" i="1"/>
  <c r="AL961" i="1"/>
  <c r="AM961" i="1"/>
  <c r="AN961" i="1"/>
  <c r="AL962" i="1"/>
  <c r="AM962" i="1"/>
  <c r="AN962" i="1"/>
  <c r="AL963" i="1"/>
  <c r="AM963" i="1"/>
  <c r="AN963" i="1"/>
  <c r="AM952" i="1"/>
  <c r="AN952" i="1"/>
  <c r="AL952" i="1"/>
  <c r="AL930" i="1"/>
  <c r="AM930" i="1"/>
  <c r="AN930" i="1"/>
  <c r="AL931" i="1"/>
  <c r="AM931" i="1"/>
  <c r="AN931" i="1"/>
  <c r="AL932" i="1"/>
  <c r="AM932" i="1"/>
  <c r="AN932" i="1"/>
  <c r="AL933" i="1"/>
  <c r="AM933" i="1"/>
  <c r="AN933" i="1"/>
  <c r="AL934" i="1"/>
  <c r="AM934" i="1"/>
  <c r="AN934" i="1"/>
  <c r="AL935" i="1"/>
  <c r="AM935" i="1"/>
  <c r="AN935" i="1"/>
  <c r="AL936" i="1"/>
  <c r="AM936" i="1"/>
  <c r="AN936" i="1"/>
  <c r="AL937" i="1"/>
  <c r="AM937" i="1"/>
  <c r="AN937" i="1"/>
  <c r="AL938" i="1"/>
  <c r="AM938" i="1"/>
  <c r="AN938" i="1"/>
  <c r="AL939" i="1"/>
  <c r="AM939" i="1"/>
  <c r="AN939" i="1"/>
  <c r="AL940" i="1"/>
  <c r="AM940" i="1"/>
  <c r="AN940" i="1"/>
  <c r="AM929" i="1"/>
  <c r="AN929" i="1"/>
  <c r="AL929" i="1"/>
  <c r="AL908" i="1"/>
  <c r="AM908" i="1"/>
  <c r="AN908" i="1"/>
  <c r="AL909" i="1"/>
  <c r="AM909" i="1"/>
  <c r="AN909" i="1"/>
  <c r="AL910" i="1"/>
  <c r="AM910" i="1"/>
  <c r="AN910" i="1"/>
  <c r="AL911" i="1"/>
  <c r="AM911" i="1"/>
  <c r="AN911" i="1"/>
  <c r="AL912" i="1"/>
  <c r="AM912" i="1"/>
  <c r="AN912" i="1"/>
  <c r="AL913" i="1"/>
  <c r="AM913" i="1"/>
  <c r="AN913" i="1"/>
  <c r="AL914" i="1"/>
  <c r="AM914" i="1"/>
  <c r="AN914" i="1"/>
  <c r="AL915" i="1"/>
  <c r="AM915" i="1"/>
  <c r="AN915" i="1"/>
  <c r="AL916" i="1"/>
  <c r="AM916" i="1"/>
  <c r="AN916" i="1"/>
  <c r="AL917" i="1"/>
  <c r="AM917" i="1"/>
  <c r="AN917" i="1"/>
  <c r="AL918" i="1"/>
  <c r="AM918" i="1"/>
  <c r="AN918" i="1"/>
  <c r="AM907" i="1"/>
  <c r="AN907" i="1"/>
  <c r="AL907" i="1"/>
  <c r="AL885" i="1"/>
  <c r="AM885" i="1"/>
  <c r="AN885" i="1"/>
  <c r="AL886" i="1"/>
  <c r="AM886" i="1"/>
  <c r="AN886" i="1"/>
  <c r="AL887" i="1"/>
  <c r="AM887" i="1"/>
  <c r="AN887" i="1"/>
  <c r="AL888" i="1"/>
  <c r="AM888" i="1"/>
  <c r="AN888" i="1"/>
  <c r="AL889" i="1"/>
  <c r="AM889" i="1"/>
  <c r="AN889" i="1"/>
  <c r="AL890" i="1"/>
  <c r="AM890" i="1"/>
  <c r="AN890" i="1"/>
  <c r="AL891" i="1"/>
  <c r="AM891" i="1"/>
  <c r="AN891" i="1"/>
  <c r="AL892" i="1"/>
  <c r="AM892" i="1"/>
  <c r="AN892" i="1"/>
  <c r="AL893" i="1"/>
  <c r="AM893" i="1"/>
  <c r="AN893" i="1"/>
  <c r="AL894" i="1"/>
  <c r="AM894" i="1"/>
  <c r="AN894" i="1"/>
  <c r="AL895" i="1"/>
  <c r="AM895" i="1"/>
  <c r="AN895" i="1"/>
  <c r="AM884" i="1"/>
  <c r="AN884" i="1"/>
  <c r="AL884" i="1"/>
  <c r="AM1080" i="1"/>
  <c r="AM1057" i="1"/>
  <c r="AM1034" i="1"/>
  <c r="AM1011" i="1"/>
  <c r="AM988" i="1"/>
  <c r="AM965" i="1"/>
  <c r="AM942" i="1"/>
  <c r="AM920" i="1"/>
  <c r="AM897" i="1"/>
  <c r="AL862" i="1"/>
  <c r="AM862" i="1"/>
  <c r="AN862" i="1"/>
  <c r="AL863" i="1"/>
  <c r="AM863" i="1"/>
  <c r="AN863" i="1"/>
  <c r="AL864" i="1"/>
  <c r="AM864" i="1"/>
  <c r="AN864" i="1"/>
  <c r="AL865" i="1"/>
  <c r="AM865" i="1"/>
  <c r="AN865" i="1"/>
  <c r="AL866" i="1"/>
  <c r="AM866" i="1"/>
  <c r="AN866" i="1"/>
  <c r="AL867" i="1"/>
  <c r="AM867" i="1"/>
  <c r="AN867" i="1"/>
  <c r="AL868" i="1"/>
  <c r="AM868" i="1"/>
  <c r="AN868" i="1"/>
  <c r="AL869" i="1"/>
  <c r="AM869" i="1"/>
  <c r="AN869" i="1"/>
  <c r="AL870" i="1"/>
  <c r="AM870" i="1"/>
  <c r="AN870" i="1"/>
  <c r="AL871" i="1"/>
  <c r="AM871" i="1"/>
  <c r="AN871" i="1"/>
  <c r="AL872" i="1"/>
  <c r="AM872" i="1"/>
  <c r="AN872" i="1"/>
  <c r="AM861" i="1"/>
  <c r="AN861" i="1"/>
  <c r="AL861" i="1"/>
  <c r="AL839" i="1"/>
  <c r="AM839" i="1"/>
  <c r="AN839" i="1"/>
  <c r="AL840" i="1"/>
  <c r="AM840" i="1"/>
  <c r="AN840" i="1"/>
  <c r="AL841" i="1"/>
  <c r="AM841" i="1"/>
  <c r="AN841" i="1"/>
  <c r="AL842" i="1"/>
  <c r="AM842" i="1"/>
  <c r="AN842" i="1"/>
  <c r="AL843" i="1"/>
  <c r="AM843" i="1"/>
  <c r="AN843" i="1"/>
  <c r="AL844" i="1"/>
  <c r="AM844" i="1"/>
  <c r="AN844" i="1"/>
  <c r="AL845" i="1"/>
  <c r="AM845" i="1"/>
  <c r="AN845" i="1"/>
  <c r="AL846" i="1"/>
  <c r="AM846" i="1"/>
  <c r="AN846" i="1"/>
  <c r="AL847" i="1"/>
  <c r="AM847" i="1"/>
  <c r="AN847" i="1"/>
  <c r="AL848" i="1"/>
  <c r="AM848" i="1"/>
  <c r="AN848" i="1"/>
  <c r="AL849" i="1"/>
  <c r="AM849" i="1"/>
  <c r="AN849" i="1"/>
  <c r="AM838" i="1"/>
  <c r="AN838" i="1"/>
  <c r="AL838" i="1"/>
  <c r="AL816" i="1"/>
  <c r="AM816" i="1"/>
  <c r="AN816" i="1"/>
  <c r="AL817" i="1"/>
  <c r="AM817" i="1"/>
  <c r="AN817" i="1"/>
  <c r="AL818" i="1"/>
  <c r="AM818" i="1"/>
  <c r="AN818" i="1"/>
  <c r="AL819" i="1"/>
  <c r="AM819" i="1"/>
  <c r="AN819" i="1"/>
  <c r="AL820" i="1"/>
  <c r="AM820" i="1"/>
  <c r="AN820" i="1"/>
  <c r="AL821" i="1"/>
  <c r="AM821" i="1"/>
  <c r="AN821" i="1"/>
  <c r="AL822" i="1"/>
  <c r="AM822" i="1"/>
  <c r="AN822" i="1"/>
  <c r="AL823" i="1"/>
  <c r="AM823" i="1"/>
  <c r="AN823" i="1"/>
  <c r="AL824" i="1"/>
  <c r="AM824" i="1"/>
  <c r="AN824" i="1"/>
  <c r="AL825" i="1"/>
  <c r="AM825" i="1"/>
  <c r="AN825" i="1"/>
  <c r="AL826" i="1"/>
  <c r="AM826" i="1"/>
  <c r="AN826" i="1"/>
  <c r="AM815" i="1"/>
  <c r="AN815" i="1"/>
  <c r="AL815" i="1"/>
  <c r="AM874" i="1"/>
  <c r="AM851" i="1"/>
  <c r="AM828" i="1"/>
  <c r="A250" i="1"/>
  <c r="A251" i="1"/>
  <c r="A252" i="1"/>
  <c r="A253" i="1"/>
  <c r="A254" i="1"/>
  <c r="A255" i="1"/>
  <c r="A256" i="1"/>
  <c r="A257" i="1"/>
  <c r="A258" i="1"/>
  <c r="A259" i="1"/>
  <c r="A260" i="1"/>
  <c r="A261" i="1"/>
  <c r="AL793" i="1"/>
  <c r="AM793" i="1"/>
  <c r="AN793" i="1"/>
  <c r="AL794" i="1"/>
  <c r="AM794" i="1"/>
  <c r="AN794" i="1"/>
  <c r="AL795" i="1"/>
  <c r="AM795" i="1"/>
  <c r="AN795" i="1"/>
  <c r="AL796" i="1"/>
  <c r="AM796" i="1"/>
  <c r="AN796" i="1"/>
  <c r="AL797" i="1"/>
  <c r="AM797" i="1"/>
  <c r="AN797" i="1"/>
  <c r="AL798" i="1"/>
  <c r="AM798" i="1"/>
  <c r="AN798" i="1"/>
  <c r="AL799" i="1"/>
  <c r="AM799" i="1"/>
  <c r="AN799" i="1"/>
  <c r="AL800" i="1"/>
  <c r="AM800" i="1"/>
  <c r="AN800" i="1"/>
  <c r="AL801" i="1"/>
  <c r="AM801" i="1"/>
  <c r="AN801" i="1"/>
  <c r="AL802" i="1"/>
  <c r="AM802" i="1"/>
  <c r="AN802" i="1"/>
  <c r="AL803" i="1"/>
  <c r="AM803" i="1"/>
  <c r="AN803" i="1"/>
  <c r="AM792" i="1"/>
  <c r="AN792" i="1"/>
  <c r="AN791" i="1"/>
  <c r="AL792" i="1"/>
  <c r="AM805" i="1"/>
  <c r="AL791" i="1"/>
  <c r="AM791" i="1"/>
  <c r="AH754" i="1"/>
  <c r="AI754" i="1"/>
  <c r="AJ754" i="1"/>
  <c r="AH755" i="1"/>
  <c r="AI755" i="1"/>
  <c r="AJ755" i="1"/>
  <c r="AH756" i="1"/>
  <c r="AI756" i="1"/>
  <c r="AJ756" i="1"/>
  <c r="AH757" i="1"/>
  <c r="AI757" i="1"/>
  <c r="AJ757" i="1"/>
  <c r="AH758" i="1"/>
  <c r="AI758" i="1"/>
  <c r="AJ758" i="1"/>
  <c r="AH759" i="1"/>
  <c r="AI759" i="1"/>
  <c r="AJ759" i="1"/>
  <c r="AH760" i="1"/>
  <c r="AI760" i="1"/>
  <c r="AJ760" i="1"/>
  <c r="AH761" i="1"/>
  <c r="AI761" i="1"/>
  <c r="AJ761" i="1"/>
  <c r="AH762" i="1"/>
  <c r="AI762" i="1"/>
  <c r="AJ762" i="1"/>
  <c r="AH763" i="1"/>
  <c r="AI763" i="1"/>
  <c r="AJ763" i="1"/>
  <c r="AH764" i="1"/>
  <c r="AI764" i="1"/>
  <c r="AJ764" i="1"/>
  <c r="AI753" i="1"/>
  <c r="AJ753" i="1"/>
  <c r="AH753" i="1"/>
  <c r="S10" i="1"/>
  <c r="AH774" i="1" l="1"/>
  <c r="AH773" i="1"/>
  <c r="AH770" i="1"/>
  <c r="AH772" i="1"/>
  <c r="AJ773" i="1"/>
  <c r="AJ772" i="1"/>
  <c r="AJ770" i="1"/>
  <c r="AJ774" i="1"/>
  <c r="AI772" i="1"/>
  <c r="AI770" i="1"/>
  <c r="AI774" i="1"/>
  <c r="AI773" i="1"/>
  <c r="AM1058" i="1"/>
  <c r="AM1059" i="1" s="1"/>
  <c r="AM1060" i="1" s="1"/>
  <c r="AM898" i="1"/>
  <c r="AM899" i="1" s="1"/>
  <c r="AM900" i="1" s="1"/>
  <c r="AM943" i="1"/>
  <c r="AM944" i="1" s="1"/>
  <c r="AM945" i="1" s="1"/>
  <c r="AM1012" i="1"/>
  <c r="AM1013" i="1" s="1"/>
  <c r="AM1014" i="1" s="1"/>
  <c r="AM1081" i="1"/>
  <c r="AM1082" i="1" s="1"/>
  <c r="AM1083" i="1" s="1"/>
  <c r="AM921" i="1"/>
  <c r="AM922" i="1" s="1"/>
  <c r="AM923" i="1" s="1"/>
  <c r="AM875" i="1"/>
  <c r="AM876" i="1" s="1"/>
  <c r="AM877" i="1" s="1"/>
  <c r="AM829" i="1"/>
  <c r="AM830" i="1" s="1"/>
  <c r="AM831" i="1" s="1"/>
  <c r="AM806" i="1"/>
  <c r="AM807" i="1" s="1"/>
  <c r="AM808" i="1" s="1"/>
  <c r="AO754" i="1" l="1"/>
  <c r="AO758" i="1"/>
  <c r="AO762" i="1"/>
  <c r="AO755" i="1"/>
  <c r="AO759" i="1"/>
  <c r="AO763" i="1"/>
  <c r="AO753" i="1"/>
  <c r="AO757" i="1"/>
  <c r="AO761" i="1"/>
  <c r="AO756" i="1"/>
  <c r="AO760" i="1"/>
  <c r="AO764" i="1"/>
  <c r="AP754" i="1"/>
  <c r="AP758" i="1"/>
  <c r="AP762" i="1"/>
  <c r="AP759" i="1"/>
  <c r="AP763" i="1"/>
  <c r="AP756" i="1"/>
  <c r="AP760" i="1"/>
  <c r="AP764" i="1"/>
  <c r="AP753" i="1"/>
  <c r="AP757" i="1"/>
  <c r="AP761" i="1"/>
  <c r="AP755" i="1"/>
  <c r="AN754" i="1"/>
  <c r="AN758" i="1"/>
  <c r="AN755" i="1"/>
  <c r="AN759" i="1"/>
  <c r="AN763" i="1"/>
  <c r="AN757" i="1"/>
  <c r="AN761" i="1"/>
  <c r="AN762" i="1"/>
  <c r="AN756" i="1"/>
  <c r="AN760" i="1"/>
  <c r="AN764" i="1"/>
  <c r="AN753" i="1"/>
  <c r="AN770" i="1" l="1" a="1"/>
  <c r="AN770" i="1" s="1"/>
  <c r="AE598" i="1"/>
  <c r="AE599" i="1"/>
  <c r="AE597" i="1"/>
  <c r="AL770" i="1" l="1"/>
  <c r="D250" i="1" s="1"/>
  <c r="AL779" i="1"/>
  <c r="D259" i="1" s="1"/>
  <c r="AL781" i="1"/>
  <c r="D261" i="1" s="1"/>
  <c r="AL778" i="1"/>
  <c r="D258" i="1" s="1"/>
  <c r="Q19" i="1" s="1"/>
  <c r="R19" i="1" s="1"/>
  <c r="AL772" i="1"/>
  <c r="D252" i="1" s="1"/>
  <c r="AL773" i="1"/>
  <c r="D253" i="1" s="1"/>
  <c r="AL771" i="1"/>
  <c r="D251" i="1" s="1"/>
  <c r="AL775" i="1"/>
  <c r="D255" i="1" s="1"/>
  <c r="AL777" i="1"/>
  <c r="D257" i="1" s="1"/>
  <c r="AL776" i="1"/>
  <c r="D256" i="1" s="1"/>
  <c r="AL774" i="1"/>
  <c r="D254" i="1" s="1"/>
  <c r="AL780" i="1"/>
  <c r="D260" i="1" s="1"/>
  <c r="AG596" i="1" a="1"/>
  <c r="AG596" i="1" s="1"/>
  <c r="AG583" i="1"/>
  <c r="AG584" i="1"/>
  <c r="AG585" i="1"/>
  <c r="AG586" i="1"/>
  <c r="AG587" i="1"/>
  <c r="AG588" i="1"/>
  <c r="AG589" i="1"/>
  <c r="AG590" i="1"/>
  <c r="AG591" i="1"/>
  <c r="AG592" i="1"/>
  <c r="AG593" i="1"/>
  <c r="AG582" i="1"/>
  <c r="C73" i="1"/>
  <c r="D74" i="1" s="1"/>
  <c r="CX11" i="1"/>
  <c r="CY11" i="1"/>
  <c r="CX12" i="1"/>
  <c r="CY12" i="1"/>
  <c r="CX13" i="1"/>
  <c r="CY13" i="1"/>
  <c r="CX14" i="1"/>
  <c r="CY14" i="1"/>
  <c r="CX15" i="1"/>
  <c r="CY15" i="1"/>
  <c r="CX16" i="1"/>
  <c r="CY16" i="1"/>
  <c r="CX17" i="1"/>
  <c r="CY17" i="1"/>
  <c r="CX18" i="1"/>
  <c r="CY18" i="1"/>
  <c r="CX19" i="1"/>
  <c r="CY19" i="1"/>
  <c r="CX20" i="1"/>
  <c r="CY20" i="1"/>
  <c r="CX21" i="1"/>
  <c r="CY21" i="1"/>
  <c r="CX22" i="1"/>
  <c r="CY22" i="1"/>
  <c r="CY10" i="1"/>
  <c r="CI11" i="1"/>
  <c r="CJ11" i="1"/>
  <c r="CK11" i="1"/>
  <c r="CI12" i="1"/>
  <c r="CJ12" i="1"/>
  <c r="CK12" i="1"/>
  <c r="CI13" i="1"/>
  <c r="CJ13" i="1"/>
  <c r="CK13" i="1"/>
  <c r="CI14" i="1"/>
  <c r="CJ14" i="1"/>
  <c r="CK14" i="1"/>
  <c r="CI15" i="1"/>
  <c r="CJ15" i="1"/>
  <c r="CK15" i="1"/>
  <c r="CI16" i="1"/>
  <c r="CJ16" i="1"/>
  <c r="CK16" i="1"/>
  <c r="CI17" i="1"/>
  <c r="CJ17" i="1"/>
  <c r="CK17" i="1"/>
  <c r="CI18" i="1"/>
  <c r="CJ18" i="1"/>
  <c r="CK18" i="1"/>
  <c r="CI19" i="1"/>
  <c r="CJ19" i="1"/>
  <c r="CK19" i="1"/>
  <c r="CI20" i="1"/>
  <c r="CJ20" i="1"/>
  <c r="CK20" i="1"/>
  <c r="CI21" i="1"/>
  <c r="CJ21" i="1"/>
  <c r="CK21" i="1"/>
  <c r="CI22" i="1"/>
  <c r="CJ22" i="1"/>
  <c r="CK22" i="1"/>
  <c r="CK10" i="1"/>
  <c r="CJ10" i="1"/>
  <c r="CI10" i="1"/>
  <c r="CA11" i="1"/>
  <c r="CA12" i="1"/>
  <c r="CA13" i="1"/>
  <c r="CA14" i="1"/>
  <c r="CA15" i="1"/>
  <c r="CA16" i="1"/>
  <c r="CA17" i="1"/>
  <c r="CA18" i="1"/>
  <c r="CA19" i="1"/>
  <c r="CA20" i="1"/>
  <c r="CA21" i="1"/>
  <c r="CA22" i="1"/>
  <c r="BT11" i="1"/>
  <c r="BV11" i="1"/>
  <c r="BT12" i="1"/>
  <c r="BV12" i="1"/>
  <c r="BT13" i="1"/>
  <c r="BV13" i="1"/>
  <c r="BT14" i="1"/>
  <c r="BV14" i="1"/>
  <c r="BT15" i="1"/>
  <c r="BV15" i="1"/>
  <c r="BT16" i="1"/>
  <c r="BV16" i="1"/>
  <c r="BT17" i="1"/>
  <c r="BV17" i="1"/>
  <c r="BT18" i="1"/>
  <c r="BV18" i="1"/>
  <c r="BT19" i="1"/>
  <c r="BV19" i="1"/>
  <c r="BT20" i="1"/>
  <c r="BV20" i="1"/>
  <c r="BT21" i="1"/>
  <c r="BV21" i="1"/>
  <c r="BT22" i="1"/>
  <c r="BV22" i="1"/>
  <c r="CA10" i="1"/>
  <c r="BT10" i="1"/>
  <c r="BV10" i="1"/>
  <c r="BE11" i="1"/>
  <c r="BF11" i="1"/>
  <c r="BG11" i="1"/>
  <c r="BE12" i="1"/>
  <c r="BF12" i="1"/>
  <c r="BG12" i="1"/>
  <c r="BE13" i="1"/>
  <c r="BF13" i="1"/>
  <c r="BG13" i="1"/>
  <c r="BE14" i="1"/>
  <c r="BF14" i="1"/>
  <c r="BG14" i="1"/>
  <c r="BE15" i="1"/>
  <c r="BF15" i="1"/>
  <c r="BG15" i="1"/>
  <c r="BE16" i="1"/>
  <c r="BF16" i="1"/>
  <c r="BG16" i="1"/>
  <c r="BE17" i="1"/>
  <c r="BF17" i="1"/>
  <c r="BG17" i="1"/>
  <c r="BE18" i="1"/>
  <c r="BF18" i="1"/>
  <c r="BG18" i="1"/>
  <c r="BE19" i="1"/>
  <c r="BF19" i="1"/>
  <c r="BG19" i="1"/>
  <c r="BE20" i="1"/>
  <c r="BF20" i="1"/>
  <c r="BG20" i="1"/>
  <c r="BE21" i="1"/>
  <c r="BF21" i="1"/>
  <c r="BG21" i="1"/>
  <c r="BE22" i="1"/>
  <c r="BF22" i="1"/>
  <c r="BG22" i="1"/>
  <c r="BE10" i="1"/>
  <c r="BG10" i="1"/>
  <c r="AW11" i="1"/>
  <c r="AW12" i="1"/>
  <c r="AW13" i="1"/>
  <c r="AW14" i="1"/>
  <c r="AW15" i="1"/>
  <c r="AW16" i="1"/>
  <c r="AW17" i="1"/>
  <c r="AW18" i="1"/>
  <c r="AW19" i="1"/>
  <c r="AW20" i="1"/>
  <c r="AW21" i="1"/>
  <c r="AW22" i="1"/>
  <c r="AP11" i="1"/>
  <c r="AR11" i="1"/>
  <c r="AP12" i="1"/>
  <c r="AR12" i="1"/>
  <c r="AP13" i="1"/>
  <c r="AR13" i="1"/>
  <c r="AP14" i="1"/>
  <c r="AR14" i="1"/>
  <c r="AP15" i="1"/>
  <c r="AR15" i="1"/>
  <c r="AP16" i="1"/>
  <c r="AR16" i="1"/>
  <c r="AP17" i="1"/>
  <c r="AR17" i="1"/>
  <c r="AP18" i="1"/>
  <c r="AR18" i="1"/>
  <c r="AP19" i="1"/>
  <c r="AR19" i="1"/>
  <c r="AP20" i="1"/>
  <c r="AR20" i="1"/>
  <c r="AP21" i="1"/>
  <c r="AR21" i="1"/>
  <c r="AP22" i="1"/>
  <c r="AR22" i="1"/>
  <c r="AW10" i="1"/>
  <c r="AR10" i="1"/>
  <c r="AH11" i="1"/>
  <c r="AH12" i="1"/>
  <c r="AH13" i="1"/>
  <c r="AH14" i="1"/>
  <c r="AH15" i="1"/>
  <c r="AH16" i="1"/>
  <c r="AH17" i="1"/>
  <c r="AH18" i="1"/>
  <c r="AH19" i="1"/>
  <c r="AH20" i="1"/>
  <c r="AH21" i="1"/>
  <c r="AH22" i="1"/>
  <c r="AA11" i="1"/>
  <c r="AC11" i="1"/>
  <c r="AA12" i="1"/>
  <c r="AC12" i="1"/>
  <c r="AA13" i="1"/>
  <c r="AC13" i="1"/>
  <c r="AA14" i="1"/>
  <c r="AC14" i="1"/>
  <c r="AA15" i="1"/>
  <c r="AC15" i="1"/>
  <c r="AA16" i="1"/>
  <c r="AC16" i="1"/>
  <c r="AA17" i="1"/>
  <c r="AC17" i="1"/>
  <c r="AA18" i="1"/>
  <c r="AC18" i="1"/>
  <c r="AA19" i="1"/>
  <c r="AC19" i="1"/>
  <c r="AA20" i="1"/>
  <c r="AC20" i="1"/>
  <c r="AA21" i="1"/>
  <c r="AC21" i="1"/>
  <c r="AA22" i="1"/>
  <c r="AC22" i="1"/>
  <c r="AA10" i="1"/>
  <c r="AH10" i="1"/>
  <c r="AC10" i="1"/>
  <c r="DE11" i="1"/>
  <c r="DE12" i="1"/>
  <c r="DE13" i="1"/>
  <c r="DE14" i="1"/>
  <c r="DE15" i="1"/>
  <c r="DE16" i="1"/>
  <c r="DE17" i="1"/>
  <c r="DE18" i="1"/>
  <c r="DE19" i="1"/>
  <c r="DE20" i="1"/>
  <c r="DE21" i="1"/>
  <c r="DE22" i="1"/>
  <c r="DE10" i="1"/>
  <c r="CX10" i="1"/>
  <c r="BF10" i="1"/>
  <c r="AP10" i="1"/>
  <c r="A74" i="1"/>
  <c r="A73" i="1"/>
  <c r="A72" i="1"/>
  <c r="C71" i="1"/>
  <c r="D71" i="1"/>
  <c r="B71" i="1"/>
  <c r="D49" i="1"/>
  <c r="C48" i="1"/>
  <c r="AJ704" i="1"/>
  <c r="AL704" i="1"/>
  <c r="AJ705" i="1"/>
  <c r="AL705" i="1"/>
  <c r="AP705" i="1" s="1"/>
  <c r="AJ706" i="1"/>
  <c r="AL706" i="1"/>
  <c r="AP706" i="1" s="1"/>
  <c r="AJ707" i="1"/>
  <c r="AL707" i="1"/>
  <c r="AP707" i="1" s="1"/>
  <c r="AJ708" i="1"/>
  <c r="AL708" i="1"/>
  <c r="AP708" i="1" s="1"/>
  <c r="AJ709" i="1"/>
  <c r="AL709" i="1"/>
  <c r="AP709" i="1" s="1"/>
  <c r="AJ710" i="1"/>
  <c r="AL710" i="1"/>
  <c r="AP710" i="1" s="1"/>
  <c r="AJ711" i="1"/>
  <c r="AL711" i="1"/>
  <c r="AP711" i="1" s="1"/>
  <c r="AJ712" i="1"/>
  <c r="AL712" i="1"/>
  <c r="AP712" i="1" s="1"/>
  <c r="AJ713" i="1"/>
  <c r="AL713" i="1"/>
  <c r="AP713" i="1" s="1"/>
  <c r="AJ714" i="1"/>
  <c r="AL714" i="1"/>
  <c r="AP714" i="1" s="1"/>
  <c r="AJ715" i="1"/>
  <c r="AL715" i="1"/>
  <c r="AP715" i="1" s="1"/>
  <c r="AL703" i="1"/>
  <c r="AJ703" i="1"/>
  <c r="AI703" i="1"/>
  <c r="AI664" i="1"/>
  <c r="AJ664" i="1"/>
  <c r="AL664" i="1"/>
  <c r="AL625" i="1"/>
  <c r="AJ625" i="1"/>
  <c r="AI625" i="1"/>
  <c r="AI705" i="1"/>
  <c r="AI706" i="1"/>
  <c r="AI707" i="1"/>
  <c r="AI708" i="1"/>
  <c r="AI709" i="1"/>
  <c r="AI710" i="1"/>
  <c r="AI711" i="1"/>
  <c r="AI712" i="1"/>
  <c r="AI713" i="1"/>
  <c r="AI714" i="1"/>
  <c r="AI715" i="1"/>
  <c r="AI704" i="1"/>
  <c r="AI666" i="1"/>
  <c r="AJ666" i="1"/>
  <c r="AL666" i="1"/>
  <c r="AP666" i="1" s="1"/>
  <c r="AI667" i="1"/>
  <c r="AJ667" i="1"/>
  <c r="AL667" i="1"/>
  <c r="AP667" i="1" s="1"/>
  <c r="AI668" i="1"/>
  <c r="AJ668" i="1"/>
  <c r="AL668" i="1"/>
  <c r="AP668" i="1" s="1"/>
  <c r="AI669" i="1"/>
  <c r="AJ669" i="1"/>
  <c r="AL669" i="1"/>
  <c r="AP669" i="1" s="1"/>
  <c r="AI670" i="1"/>
  <c r="AJ670" i="1"/>
  <c r="AL670" i="1"/>
  <c r="AP670" i="1" s="1"/>
  <c r="AI671" i="1"/>
  <c r="AJ671" i="1"/>
  <c r="AL671" i="1"/>
  <c r="AP671" i="1" s="1"/>
  <c r="AI672" i="1"/>
  <c r="AJ672" i="1"/>
  <c r="AL672" i="1"/>
  <c r="AP672" i="1" s="1"/>
  <c r="AI673" i="1"/>
  <c r="AJ673" i="1"/>
  <c r="AL673" i="1"/>
  <c r="AP673" i="1" s="1"/>
  <c r="AI674" i="1"/>
  <c r="AJ674" i="1"/>
  <c r="AL674" i="1"/>
  <c r="AP674" i="1" s="1"/>
  <c r="AI675" i="1"/>
  <c r="AJ675" i="1"/>
  <c r="AL675" i="1"/>
  <c r="AP675" i="1" s="1"/>
  <c r="AI676" i="1"/>
  <c r="AJ676" i="1"/>
  <c r="AL676" i="1"/>
  <c r="AP676" i="1" s="1"/>
  <c r="AL665" i="1"/>
  <c r="AP665" i="1" s="1"/>
  <c r="AJ665" i="1"/>
  <c r="AI627" i="1"/>
  <c r="AJ627" i="1"/>
  <c r="AL627" i="1"/>
  <c r="AI628" i="1"/>
  <c r="AJ628" i="1"/>
  <c r="AL628" i="1"/>
  <c r="AI629" i="1"/>
  <c r="AJ629" i="1"/>
  <c r="AL629" i="1"/>
  <c r="AI630" i="1"/>
  <c r="AJ630" i="1"/>
  <c r="AL630" i="1"/>
  <c r="AI631" i="1"/>
  <c r="AJ631" i="1"/>
  <c r="AL631" i="1"/>
  <c r="AI632" i="1"/>
  <c r="AJ632" i="1"/>
  <c r="AL632" i="1"/>
  <c r="AI633" i="1"/>
  <c r="AJ633" i="1"/>
  <c r="AL633" i="1"/>
  <c r="AI634" i="1"/>
  <c r="AJ634" i="1"/>
  <c r="AL634" i="1"/>
  <c r="AI635" i="1"/>
  <c r="AJ635" i="1"/>
  <c r="AL635" i="1"/>
  <c r="AI636" i="1"/>
  <c r="AJ636" i="1"/>
  <c r="AL636" i="1"/>
  <c r="AI637" i="1"/>
  <c r="AJ637" i="1"/>
  <c r="AL637" i="1"/>
  <c r="AL626" i="1"/>
  <c r="AJ626" i="1"/>
  <c r="AI626" i="1"/>
  <c r="AI665" i="1"/>
  <c r="AN626" i="1" l="1" a="1"/>
  <c r="AN626" i="1" s="1"/>
  <c r="DG11" i="1" a="1"/>
  <c r="DG11" i="1" s="1"/>
  <c r="DH11" i="1" s="1"/>
  <c r="CM11" i="1" a="1"/>
  <c r="CM11" i="1" s="1"/>
  <c r="CN11" i="1" s="1"/>
  <c r="BI11" i="1" a="1"/>
  <c r="BI11" i="1" s="1"/>
  <c r="BJ11" i="1" s="1"/>
  <c r="AO626" i="1" a="1"/>
  <c r="AO626" i="1" s="1"/>
  <c r="AN665" i="1" a="1"/>
  <c r="AN665" i="1" s="1"/>
  <c r="AO665" i="1" s="1" a="1"/>
  <c r="AO665" i="1" s="1"/>
  <c r="AN704" i="1" a="1"/>
  <c r="AN704" i="1" s="1"/>
  <c r="AO704" i="1" s="1" a="1"/>
  <c r="AO704" i="1" s="1"/>
  <c r="AQ705" i="1"/>
  <c r="AQ665" i="1"/>
  <c r="AQ679" i="1" s="1"/>
  <c r="AQ676" i="1"/>
  <c r="AQ690" i="1" s="1"/>
  <c r="AQ674" i="1"/>
  <c r="AQ688" i="1" s="1"/>
  <c r="AQ713" i="1"/>
  <c r="AQ727" i="1" s="1"/>
  <c r="AQ673" i="1"/>
  <c r="AQ687" i="1" s="1"/>
  <c r="AQ672" i="1"/>
  <c r="AQ711" i="1"/>
  <c r="AQ725" i="1" s="1"/>
  <c r="AQ671" i="1"/>
  <c r="AQ685" i="1" s="1"/>
  <c r="AQ710" i="1"/>
  <c r="AQ724" i="1" s="1"/>
  <c r="AQ670" i="1"/>
  <c r="AQ684" i="1" s="1"/>
  <c r="AQ709" i="1"/>
  <c r="AQ723" i="1" s="1"/>
  <c r="AQ704" i="1"/>
  <c r="AQ675" i="1"/>
  <c r="AQ714" i="1"/>
  <c r="AQ728" i="1" s="1"/>
  <c r="AQ712" i="1"/>
  <c r="AQ726" i="1" s="1"/>
  <c r="AQ669" i="1"/>
  <c r="AQ708" i="1"/>
  <c r="AQ668" i="1"/>
  <c r="AQ682" i="1" s="1"/>
  <c r="AQ707" i="1"/>
  <c r="AQ715" i="1"/>
  <c r="AQ729" i="1" s="1"/>
  <c r="AP704" i="1"/>
  <c r="AQ667" i="1"/>
  <c r="AQ681" i="1" s="1"/>
  <c r="AQ706" i="1"/>
  <c r="AQ666" i="1"/>
  <c r="CN20" i="1" l="1"/>
  <c r="CN17" i="1"/>
  <c r="CN14" i="1"/>
  <c r="CN21" i="1"/>
  <c r="DH17" i="1"/>
  <c r="CN15" i="1"/>
  <c r="CN18" i="1"/>
  <c r="CN19" i="1"/>
  <c r="CN16" i="1"/>
  <c r="CN13" i="1"/>
  <c r="CN22" i="1"/>
  <c r="CN12" i="1"/>
  <c r="DH15" i="1"/>
  <c r="DH19" i="1"/>
  <c r="DH21" i="1"/>
  <c r="DH18" i="1"/>
  <c r="DH20" i="1"/>
  <c r="DH12" i="1"/>
  <c r="DH14" i="1"/>
  <c r="DH16" i="1"/>
  <c r="DH22" i="1"/>
  <c r="DH13" i="1"/>
  <c r="BJ18" i="1"/>
  <c r="BJ15" i="1"/>
  <c r="BJ12" i="1"/>
  <c r="BJ19" i="1"/>
  <c r="BJ16" i="1"/>
  <c r="BJ13" i="1"/>
  <c r="BJ20" i="1"/>
  <c r="BJ17" i="1"/>
  <c r="BJ14" i="1"/>
  <c r="BJ21" i="1"/>
  <c r="BJ22" i="1"/>
  <c r="AP725" i="1"/>
  <c r="AP728" i="1"/>
  <c r="AO721" i="1"/>
  <c r="AQ718" i="1"/>
  <c r="AP719" i="1"/>
  <c r="AO722" i="1"/>
  <c r="AP723" i="1"/>
  <c r="AO725" i="1"/>
  <c r="AO720" i="1"/>
  <c r="AO724" i="1"/>
  <c r="AO726" i="1"/>
  <c r="AP718" i="1"/>
  <c r="AO729" i="1"/>
  <c r="AP721" i="1"/>
  <c r="AO728" i="1"/>
  <c r="AO719" i="1"/>
  <c r="AP724" i="1"/>
  <c r="AP726" i="1"/>
  <c r="AP722" i="1"/>
  <c r="AP727" i="1"/>
  <c r="AP720" i="1"/>
  <c r="AP729" i="1"/>
  <c r="AO683" i="1"/>
  <c r="AO686" i="1"/>
  <c r="AP687" i="1"/>
  <c r="AO681" i="1"/>
  <c r="AP684" i="1"/>
  <c r="AQ722" i="1"/>
  <c r="AQ719" i="1"/>
  <c r="AQ720" i="1"/>
  <c r="AQ721" i="1"/>
  <c r="AO723" i="1"/>
  <c r="AO727" i="1"/>
  <c r="AO690" i="1"/>
  <c r="AP681" i="1"/>
  <c r="AO684" i="1"/>
  <c r="AO688" i="1"/>
  <c r="AP683" i="1"/>
  <c r="AO682" i="1"/>
  <c r="AO689" i="1"/>
  <c r="AP685" i="1"/>
  <c r="AO680" i="1"/>
  <c r="AP682" i="1"/>
  <c r="AP690" i="1"/>
  <c r="AP686" i="1"/>
  <c r="AP680" i="1"/>
  <c r="AP689" i="1"/>
  <c r="AP688" i="1"/>
  <c r="AQ689" i="1"/>
  <c r="AO687" i="1"/>
  <c r="AO685" i="1"/>
  <c r="AQ683" i="1"/>
  <c r="AQ686" i="1"/>
  <c r="AQ680" i="1"/>
  <c r="AP731" i="1" l="1"/>
  <c r="AP734" i="1" s="1"/>
  <c r="AQ731" i="1"/>
  <c r="AP735" i="1" s="1"/>
  <c r="AO718" i="1"/>
  <c r="AO731" i="1" s="1"/>
  <c r="AO679" i="1"/>
  <c r="AO692" i="1" s="1"/>
  <c r="AP694" i="1" s="1"/>
  <c r="AP679" i="1"/>
  <c r="AP692" i="1" s="1"/>
  <c r="AP695" i="1" s="1"/>
  <c r="AQ692" i="1"/>
  <c r="AP696" i="1" s="1"/>
  <c r="AP738" i="1" l="1"/>
  <c r="AS737" i="1" s="1"/>
  <c r="D83" i="1" s="1"/>
  <c r="AP733" i="1"/>
  <c r="AP699" i="1"/>
  <c r="AP627" i="1"/>
  <c r="AP641" i="1" s="1"/>
  <c r="AP628" i="1"/>
  <c r="AP642" i="1" s="1"/>
  <c r="AP629" i="1"/>
  <c r="AP643" i="1" s="1"/>
  <c r="AP630" i="1"/>
  <c r="AP644" i="1" s="1"/>
  <c r="AP631" i="1"/>
  <c r="AP645" i="1" s="1"/>
  <c r="AP632" i="1"/>
  <c r="AP646" i="1" s="1"/>
  <c r="AP633" i="1"/>
  <c r="AP647" i="1" s="1"/>
  <c r="AP634" i="1"/>
  <c r="AP648" i="1" s="1"/>
  <c r="AP635" i="1"/>
  <c r="AP649" i="1" s="1"/>
  <c r="AP636" i="1"/>
  <c r="AP650" i="1" s="1"/>
  <c r="AP637" i="1"/>
  <c r="AP651" i="1" s="1"/>
  <c r="AP739" i="1" l="1"/>
  <c r="AP737" i="1"/>
  <c r="AP700" i="1"/>
  <c r="AS698" i="1"/>
  <c r="C83" i="1" s="1"/>
  <c r="AP698" i="1"/>
  <c r="AQ627" i="1"/>
  <c r="AQ628" i="1"/>
  <c r="AQ629" i="1"/>
  <c r="AQ630" i="1"/>
  <c r="AQ631" i="1"/>
  <c r="AQ632" i="1"/>
  <c r="AQ633" i="1"/>
  <c r="AQ634" i="1"/>
  <c r="AQ635" i="1"/>
  <c r="AQ636" i="1"/>
  <c r="AQ637" i="1"/>
  <c r="AQ626" i="1"/>
  <c r="AO640" i="1" s="1"/>
  <c r="AP626" i="1"/>
  <c r="AP640" i="1" s="1"/>
  <c r="AQ649" i="1" l="1"/>
  <c r="AO649" i="1"/>
  <c r="AQ648" i="1"/>
  <c r="AO648" i="1"/>
  <c r="AQ647" i="1"/>
  <c r="AO647" i="1"/>
  <c r="AQ646" i="1"/>
  <c r="AO646" i="1"/>
  <c r="AQ645" i="1"/>
  <c r="AO645" i="1"/>
  <c r="AQ644" i="1"/>
  <c r="AO644" i="1"/>
  <c r="AQ643" i="1"/>
  <c r="AO643" i="1"/>
  <c r="AQ642" i="1"/>
  <c r="AO642" i="1"/>
  <c r="AQ641" i="1"/>
  <c r="AO641" i="1"/>
  <c r="AQ651" i="1"/>
  <c r="AO651" i="1"/>
  <c r="AQ650" i="1"/>
  <c r="AO650" i="1"/>
  <c r="AQ640" i="1"/>
  <c r="H13" i="1"/>
  <c r="I13" i="1" s="1"/>
  <c r="H19" i="1"/>
  <c r="I19" i="1" s="1"/>
  <c r="H18" i="1"/>
  <c r="I18" i="1" s="1"/>
  <c r="H22" i="1"/>
  <c r="I22" i="1" s="1"/>
  <c r="H15" i="1"/>
  <c r="I15" i="1" s="1"/>
  <c r="H21" i="1"/>
  <c r="I21" i="1" s="1"/>
  <c r="H17" i="1"/>
  <c r="I17" i="1" s="1"/>
  <c r="H11" i="1"/>
  <c r="I11" i="1" s="1"/>
  <c r="H14" i="1"/>
  <c r="I14" i="1" s="1"/>
  <c r="H16" i="1"/>
  <c r="I16" i="1" s="1"/>
  <c r="H12" i="1"/>
  <c r="I12" i="1" s="1"/>
  <c r="H20" i="1"/>
  <c r="I20" i="1" s="1"/>
  <c r="C150" i="1"/>
  <c r="C50" i="1" l="1"/>
  <c r="D50" i="1"/>
  <c r="B50" i="1"/>
  <c r="C493" i="1"/>
  <c r="C492" i="1"/>
  <c r="S29" i="1"/>
  <c r="E332" i="1"/>
  <c r="S26" i="1"/>
  <c r="E329" i="1"/>
  <c r="S30" i="1"/>
  <c r="E333" i="1"/>
  <c r="S35" i="1"/>
  <c r="E338" i="1"/>
  <c r="S32" i="1"/>
  <c r="E335" i="1"/>
  <c r="S31" i="1"/>
  <c r="E334" i="1"/>
  <c r="S28" i="1"/>
  <c r="E331" i="1"/>
  <c r="S27" i="1"/>
  <c r="E330" i="1"/>
  <c r="S34" i="1"/>
  <c r="E337" i="1"/>
  <c r="S36" i="1"/>
  <c r="E339" i="1"/>
  <c r="S33" i="1"/>
  <c r="E336" i="1"/>
  <c r="S25" i="1"/>
  <c r="E328" i="1"/>
  <c r="B183" i="1"/>
  <c r="B200" i="1"/>
  <c r="AO816" i="1"/>
  <c r="B188" i="1"/>
  <c r="B205" i="1"/>
  <c r="B187" i="1"/>
  <c r="B204" i="1"/>
  <c r="B202" i="1"/>
  <c r="B185" i="1"/>
  <c r="B190" i="1"/>
  <c r="B207" i="1"/>
  <c r="B492" i="1"/>
  <c r="B493" i="1"/>
  <c r="B201" i="1"/>
  <c r="B184" i="1"/>
  <c r="B209" i="1"/>
  <c r="B192" i="1"/>
  <c r="B186" i="1"/>
  <c r="B203" i="1"/>
  <c r="B191" i="1"/>
  <c r="B208" i="1"/>
  <c r="B189" i="1"/>
  <c r="B206" i="1"/>
  <c r="B193" i="1"/>
  <c r="B210" i="1"/>
  <c r="C200" i="1"/>
  <c r="C166" i="1"/>
  <c r="C168" i="1"/>
  <c r="C169" i="1"/>
  <c r="C204" i="1"/>
  <c r="C170" i="1"/>
  <c r="C205" i="1"/>
  <c r="C171" i="1"/>
  <c r="I29" i="1"/>
  <c r="C206" i="1"/>
  <c r="C172" i="1"/>
  <c r="I30" i="1"/>
  <c r="C207" i="1"/>
  <c r="C173" i="1"/>
  <c r="C208" i="1"/>
  <c r="C209" i="1"/>
  <c r="C210" i="1"/>
  <c r="C176" i="1"/>
  <c r="B182" i="1"/>
  <c r="C201" i="1"/>
  <c r="C167" i="1"/>
  <c r="C202" i="1"/>
  <c r="I25" i="1"/>
  <c r="C203" i="1"/>
  <c r="I26" i="1"/>
  <c r="C174" i="1"/>
  <c r="C175" i="1"/>
  <c r="C199" i="1"/>
  <c r="B199" i="1"/>
  <c r="C165" i="1"/>
  <c r="AQ22" i="1"/>
  <c r="AO1055" i="1"/>
  <c r="CZ22" i="1"/>
  <c r="AB22" i="1"/>
  <c r="AO1102" i="1"/>
  <c r="AO1032" i="1"/>
  <c r="AO1009" i="1"/>
  <c r="AO986" i="1"/>
  <c r="AO963" i="1"/>
  <c r="AO940" i="1"/>
  <c r="AO918" i="1"/>
  <c r="AO895" i="1"/>
  <c r="AO872" i="1"/>
  <c r="AO849" i="1"/>
  <c r="AO826" i="1"/>
  <c r="AO803" i="1"/>
  <c r="AJ593" i="1"/>
  <c r="CP22" i="1"/>
  <c r="BU22" i="1"/>
  <c r="BL22" i="1"/>
  <c r="AO999" i="1"/>
  <c r="AJ582" i="1"/>
  <c r="BL11" i="1"/>
  <c r="AO1022" i="1"/>
  <c r="AO1045" i="1"/>
  <c r="BU11" i="1"/>
  <c r="AO908" i="1"/>
  <c r="AO1068" i="1"/>
  <c r="AO1091" i="1"/>
  <c r="AO792" i="1"/>
  <c r="AO885" i="1"/>
  <c r="AQ11" i="1"/>
  <c r="AB11" i="1"/>
  <c r="AO839" i="1"/>
  <c r="CZ11" i="1"/>
  <c r="AO862" i="1"/>
  <c r="CP11" i="1"/>
  <c r="AO930" i="1"/>
  <c r="AO953" i="1"/>
  <c r="AO976" i="1"/>
  <c r="AO961" i="1"/>
  <c r="AO916" i="1"/>
  <c r="AO870" i="1"/>
  <c r="AO847" i="1"/>
  <c r="AO824" i="1"/>
  <c r="AO801" i="1"/>
  <c r="AJ591" i="1"/>
  <c r="AO1100" i="1"/>
  <c r="AO1077" i="1"/>
  <c r="AO984" i="1"/>
  <c r="AO938" i="1"/>
  <c r="AO893" i="1"/>
  <c r="CZ20" i="1"/>
  <c r="BU20" i="1"/>
  <c r="CP20" i="1"/>
  <c r="AO1007" i="1"/>
  <c r="AB20" i="1"/>
  <c r="AO1054" i="1"/>
  <c r="BL20" i="1"/>
  <c r="AQ20" i="1"/>
  <c r="AO1099" i="1"/>
  <c r="AO1076" i="1"/>
  <c r="AO960" i="1"/>
  <c r="AO937" i="1"/>
  <c r="AO915" i="1"/>
  <c r="AO892" i="1"/>
  <c r="AO869" i="1"/>
  <c r="AO846" i="1"/>
  <c r="AO823" i="1"/>
  <c r="AO800" i="1"/>
  <c r="AJ590" i="1"/>
  <c r="CZ19" i="1"/>
  <c r="AO1053" i="1"/>
  <c r="CP19" i="1"/>
  <c r="AO983" i="1"/>
  <c r="BU19" i="1"/>
  <c r="BL19" i="1"/>
  <c r="AQ19" i="1"/>
  <c r="AO1030" i="1"/>
  <c r="AB19" i="1"/>
  <c r="AO931" i="1"/>
  <c r="CP12" i="1"/>
  <c r="AQ12" i="1"/>
  <c r="BU12" i="1"/>
  <c r="BL12" i="1"/>
  <c r="AB12" i="1"/>
  <c r="AO1092" i="1"/>
  <c r="AO1069" i="1"/>
  <c r="AO1000" i="1"/>
  <c r="AO977" i="1"/>
  <c r="AO909" i="1"/>
  <c r="AO886" i="1"/>
  <c r="AO863" i="1"/>
  <c r="AO793" i="1"/>
  <c r="AJ583" i="1"/>
  <c r="AO1046" i="1"/>
  <c r="AO954" i="1"/>
  <c r="CZ12" i="1"/>
  <c r="AO1023" i="1"/>
  <c r="AB13" i="1"/>
  <c r="CZ13" i="1"/>
  <c r="AQ13" i="1"/>
  <c r="AO955" i="1"/>
  <c r="AO840" i="1"/>
  <c r="AO1047" i="1"/>
  <c r="AO1024" i="1"/>
  <c r="BL13" i="1"/>
  <c r="BU13" i="1"/>
  <c r="AO1093" i="1"/>
  <c r="AO1070" i="1"/>
  <c r="AO1001" i="1"/>
  <c r="AO978" i="1"/>
  <c r="AO910" i="1"/>
  <c r="AO887" i="1"/>
  <c r="AO817" i="1"/>
  <c r="AO794" i="1"/>
  <c r="AJ584" i="1"/>
  <c r="AO932" i="1"/>
  <c r="CP13" i="1"/>
  <c r="AO1028" i="1"/>
  <c r="CP17" i="1"/>
  <c r="BU17" i="1"/>
  <c r="AO1097" i="1"/>
  <c r="AO1005" i="1"/>
  <c r="AO890" i="1"/>
  <c r="AO867" i="1"/>
  <c r="AO844" i="1"/>
  <c r="AO798" i="1"/>
  <c r="BL17" i="1"/>
  <c r="AB17" i="1"/>
  <c r="AO1074" i="1"/>
  <c r="AO913" i="1"/>
  <c r="AO821" i="1"/>
  <c r="AQ17" i="1"/>
  <c r="AO935" i="1"/>
  <c r="CZ17" i="1"/>
  <c r="AO982" i="1"/>
  <c r="AJ588" i="1"/>
  <c r="AO1051" i="1"/>
  <c r="BU16" i="1"/>
  <c r="BL16" i="1"/>
  <c r="AO981" i="1"/>
  <c r="AO1050" i="1"/>
  <c r="CP16" i="1"/>
  <c r="AO1027" i="1"/>
  <c r="AQ16" i="1"/>
  <c r="AO912" i="1"/>
  <c r="AO866" i="1"/>
  <c r="AO797" i="1"/>
  <c r="AB16" i="1"/>
  <c r="AO1073" i="1"/>
  <c r="AO889" i="1"/>
  <c r="AO843" i="1"/>
  <c r="AO820" i="1"/>
  <c r="AJ587" i="1"/>
  <c r="CZ16" i="1"/>
  <c r="AO958" i="1"/>
  <c r="AO1096" i="1"/>
  <c r="AO1004" i="1"/>
  <c r="AQ14" i="1"/>
  <c r="AO1094" i="1"/>
  <c r="AO979" i="1"/>
  <c r="AO911" i="1"/>
  <c r="AO841" i="1"/>
  <c r="AJ585" i="1"/>
  <c r="AO1048" i="1"/>
  <c r="CZ14" i="1"/>
  <c r="AB14" i="1"/>
  <c r="AO1002" i="1"/>
  <c r="AO818" i="1"/>
  <c r="AO956" i="1"/>
  <c r="AO1025" i="1"/>
  <c r="AO864" i="1"/>
  <c r="AO1071" i="1"/>
  <c r="CP14" i="1"/>
  <c r="BL14" i="1"/>
  <c r="AO933" i="1"/>
  <c r="AO795" i="1"/>
  <c r="BU14" i="1"/>
  <c r="AO1052" i="1"/>
  <c r="CZ18" i="1"/>
  <c r="CP18" i="1"/>
  <c r="AQ18" i="1"/>
  <c r="AO1006" i="1"/>
  <c r="AO914" i="1"/>
  <c r="AO868" i="1"/>
  <c r="AO845" i="1"/>
  <c r="AO799" i="1"/>
  <c r="BU18" i="1"/>
  <c r="AO959" i="1"/>
  <c r="AO1075" i="1"/>
  <c r="AO936" i="1"/>
  <c r="AO822" i="1"/>
  <c r="BL18" i="1"/>
  <c r="AO1098" i="1"/>
  <c r="AO891" i="1"/>
  <c r="AJ589" i="1"/>
  <c r="AO1029" i="1"/>
  <c r="AB18" i="1"/>
  <c r="BL15" i="1"/>
  <c r="AQ15" i="1"/>
  <c r="AO888" i="1"/>
  <c r="AO842" i="1"/>
  <c r="CP15" i="1"/>
  <c r="AO1049" i="1"/>
  <c r="AB15" i="1"/>
  <c r="AO1095" i="1"/>
  <c r="AO819" i="1"/>
  <c r="AJ586" i="1"/>
  <c r="CZ15" i="1"/>
  <c r="BU15" i="1"/>
  <c r="AO957" i="1"/>
  <c r="AO1026" i="1"/>
  <c r="AO934" i="1"/>
  <c r="AO1072" i="1"/>
  <c r="AO1003" i="1"/>
  <c r="AO980" i="1"/>
  <c r="AO865" i="1"/>
  <c r="AO796" i="1"/>
  <c r="AQ21" i="1"/>
  <c r="AB21" i="1"/>
  <c r="AO1101" i="1"/>
  <c r="AO1078" i="1"/>
  <c r="AO1008" i="1"/>
  <c r="AO985" i="1"/>
  <c r="AO962" i="1"/>
  <c r="AO939" i="1"/>
  <c r="AO917" i="1"/>
  <c r="AO894" i="1"/>
  <c r="AO871" i="1"/>
  <c r="AO848" i="1"/>
  <c r="AO825" i="1"/>
  <c r="AO802" i="1"/>
  <c r="AJ592" i="1"/>
  <c r="AO1031" i="1"/>
  <c r="CP21" i="1"/>
  <c r="CZ21" i="1"/>
  <c r="BU21" i="1"/>
  <c r="BL21" i="1"/>
  <c r="AQ653" i="1"/>
  <c r="AP657" i="1" s="1"/>
  <c r="C49" i="1"/>
  <c r="A49" i="1"/>
  <c r="A48" i="1"/>
  <c r="E47" i="1" l="1"/>
  <c r="E49" i="1"/>
  <c r="E48" i="1"/>
  <c r="E492" i="1"/>
  <c r="D492" i="1"/>
  <c r="D493" i="1"/>
  <c r="E493" i="1"/>
  <c r="E340" i="1"/>
  <c r="U36" i="1"/>
  <c r="U34" i="1"/>
  <c r="U25" i="1"/>
  <c r="U27" i="1"/>
  <c r="U30" i="1"/>
  <c r="U32" i="1"/>
  <c r="U28" i="1"/>
  <c r="U31" i="1"/>
  <c r="U33" i="1"/>
  <c r="U35" i="1"/>
  <c r="U29" i="1"/>
  <c r="BL695" i="1"/>
  <c r="BL587" i="1"/>
  <c r="BR587" i="1" s="1"/>
  <c r="BL589" i="1"/>
  <c r="BR589" i="1" s="1"/>
  <c r="BL697" i="1"/>
  <c r="BL583" i="1"/>
  <c r="BR583" i="1" s="1"/>
  <c r="BL691" i="1"/>
  <c r="BL700" i="1"/>
  <c r="BL592" i="1"/>
  <c r="BR592" i="1" s="1"/>
  <c r="BL594" i="1"/>
  <c r="BR594" i="1" s="1"/>
  <c r="BL702" i="1"/>
  <c r="BL701" i="1"/>
  <c r="BL593" i="1"/>
  <c r="BR593" i="1" s="1"/>
  <c r="BL694" i="1"/>
  <c r="BL586" i="1"/>
  <c r="BR586" i="1" s="1"/>
  <c r="BL588" i="1"/>
  <c r="BR588" i="1" s="1"/>
  <c r="BL696" i="1"/>
  <c r="BL591" i="1"/>
  <c r="BR591" i="1" s="1"/>
  <c r="BL699" i="1"/>
  <c r="BL698" i="1"/>
  <c r="BL590" i="1"/>
  <c r="BR590" i="1" s="1"/>
  <c r="BL692" i="1"/>
  <c r="BL584" i="1"/>
  <c r="BR584" i="1" s="1"/>
  <c r="BL585" i="1"/>
  <c r="BR585" i="1" s="1"/>
  <c r="BL693" i="1"/>
  <c r="I27" i="1"/>
  <c r="I31" i="1"/>
  <c r="U26" i="1"/>
  <c r="AP816" i="1" a="1"/>
  <c r="AP816" i="1" s="1"/>
  <c r="AQ816" i="1" s="1"/>
  <c r="D48" i="1"/>
  <c r="C47" i="1"/>
  <c r="D47" i="1"/>
  <c r="AP1091" i="1" a="1"/>
  <c r="AQ1102" i="1" s="1"/>
  <c r="AP1068" i="1" a="1"/>
  <c r="AP930" i="1" a="1"/>
  <c r="AP1045" i="1" a="1"/>
  <c r="AP999" i="1" a="1"/>
  <c r="AP885" i="1" a="1"/>
  <c r="AP908" i="1" a="1"/>
  <c r="AP862" i="1" a="1"/>
  <c r="AP839" i="1" a="1"/>
  <c r="DB11" i="1" a="1"/>
  <c r="DB11" i="1" s="1"/>
  <c r="DC11" i="1" s="1"/>
  <c r="AP792" i="1" a="1"/>
  <c r="AP792" i="1" s="1"/>
  <c r="AQ792" i="1" s="1"/>
  <c r="AE11" i="1" a="1"/>
  <c r="AE11" i="1" s="1"/>
  <c r="AT11" i="1" a="1"/>
  <c r="AT11" i="1" s="1"/>
  <c r="BX11" i="1" a="1"/>
  <c r="BX11" i="1" s="1"/>
  <c r="CR11" i="1" a="1"/>
  <c r="CR11" i="1" s="1"/>
  <c r="CS11" i="1" s="1"/>
  <c r="BN11" i="1" a="1"/>
  <c r="BN11" i="1" s="1"/>
  <c r="BO11" i="1" s="1"/>
  <c r="AY11" i="1" a="1"/>
  <c r="CC11" i="1" a="1"/>
  <c r="AJ11" i="1" a="1"/>
  <c r="AP653" i="1"/>
  <c r="AP656" i="1" s="1"/>
  <c r="AO653" i="1"/>
  <c r="A479" i="1"/>
  <c r="A478" i="1"/>
  <c r="A477" i="1"/>
  <c r="E469" i="1"/>
  <c r="D469" i="1"/>
  <c r="C469" i="1"/>
  <c r="A157" i="1"/>
  <c r="A144" i="1"/>
  <c r="A143" i="1"/>
  <c r="A142" i="1"/>
  <c r="A135" i="1"/>
  <c r="A134" i="1"/>
  <c r="A133" i="1"/>
  <c r="A47" i="1"/>
  <c r="D46" i="1"/>
  <c r="C46" i="1"/>
  <c r="B46" i="1"/>
  <c r="A39" i="1"/>
  <c r="A38" i="1"/>
  <c r="A37" i="1"/>
  <c r="BL606" i="1" l="1" a="1"/>
  <c r="BL606" i="1" s="1"/>
  <c r="BQ596" i="1" a="1"/>
  <c r="BQ596" i="1" s="1"/>
  <c r="AQ938" i="1"/>
  <c r="AQ932" i="1"/>
  <c r="AP1091" i="1"/>
  <c r="AQ1091" i="1" s="1"/>
  <c r="AQ1096" i="1"/>
  <c r="AQ1100" i="1"/>
  <c r="AQ1094" i="1"/>
  <c r="AQ1097" i="1"/>
  <c r="AQ1098" i="1"/>
  <c r="AQ1099" i="1"/>
  <c r="AQ1095" i="1"/>
  <c r="AQ1101" i="1"/>
  <c r="AQ1093" i="1"/>
  <c r="AQ1092" i="1"/>
  <c r="AP1068" i="1"/>
  <c r="AQ1068" i="1" s="1"/>
  <c r="AQ1070" i="1"/>
  <c r="AQ1069" i="1"/>
  <c r="AQ1073" i="1"/>
  <c r="AQ1077" i="1"/>
  <c r="AQ1072" i="1"/>
  <c r="AQ1078" i="1"/>
  <c r="AQ1076" i="1"/>
  <c r="AQ1071" i="1"/>
  <c r="AQ1074" i="1"/>
  <c r="AQ1075" i="1"/>
  <c r="AQ934" i="1"/>
  <c r="AQ931" i="1"/>
  <c r="AQ933" i="1"/>
  <c r="AP1045" i="1"/>
  <c r="AQ1045" i="1" s="1"/>
  <c r="AQ1051" i="1"/>
  <c r="AQ1048" i="1"/>
  <c r="AQ1054" i="1"/>
  <c r="AQ1050" i="1"/>
  <c r="AQ1052" i="1"/>
  <c r="AQ1049" i="1"/>
  <c r="AQ1053" i="1"/>
  <c r="AQ1047" i="1"/>
  <c r="AQ1055" i="1"/>
  <c r="AQ1046" i="1"/>
  <c r="AP930" i="1"/>
  <c r="AQ930" i="1" s="1"/>
  <c r="AQ937" i="1"/>
  <c r="AQ940" i="1"/>
  <c r="AQ935" i="1"/>
  <c r="AQ936" i="1"/>
  <c r="AQ939" i="1"/>
  <c r="AQ892" i="1"/>
  <c r="AQ1007" i="1"/>
  <c r="AQ1000" i="1"/>
  <c r="AQ1001" i="1"/>
  <c r="AQ891" i="1"/>
  <c r="AQ887" i="1"/>
  <c r="AQ886" i="1"/>
  <c r="AQ1009" i="1"/>
  <c r="AP999" i="1"/>
  <c r="AQ999" i="1" s="1"/>
  <c r="AQ1003" i="1"/>
  <c r="AQ1004" i="1"/>
  <c r="AQ1006" i="1"/>
  <c r="AQ1005" i="1"/>
  <c r="AQ1002" i="1"/>
  <c r="AQ889" i="1"/>
  <c r="AQ1008" i="1"/>
  <c r="AQ890" i="1"/>
  <c r="AQ893" i="1"/>
  <c r="AQ895" i="1"/>
  <c r="AQ894" i="1"/>
  <c r="AP885" i="1"/>
  <c r="AQ885" i="1" s="1"/>
  <c r="AQ888" i="1"/>
  <c r="AQ909" i="1"/>
  <c r="AQ821" i="1"/>
  <c r="AQ866" i="1"/>
  <c r="AQ824" i="1"/>
  <c r="AP908" i="1"/>
  <c r="AQ908" i="1" s="1"/>
  <c r="AQ911" i="1"/>
  <c r="AQ822" i="1"/>
  <c r="AQ870" i="1"/>
  <c r="AQ917" i="1"/>
  <c r="AQ914" i="1"/>
  <c r="AQ865" i="1"/>
  <c r="AQ910" i="1"/>
  <c r="AQ867" i="1"/>
  <c r="AQ915" i="1"/>
  <c r="AQ912" i="1"/>
  <c r="AQ869" i="1"/>
  <c r="AQ913" i="1"/>
  <c r="AQ818" i="1"/>
  <c r="AQ918" i="1"/>
  <c r="AQ916" i="1"/>
  <c r="AQ817" i="1"/>
  <c r="AQ823" i="1"/>
  <c r="AQ871" i="1"/>
  <c r="AP862" i="1"/>
  <c r="AQ862" i="1" s="1"/>
  <c r="AQ820" i="1"/>
  <c r="AQ825" i="1"/>
  <c r="AM989" i="1"/>
  <c r="AM990" i="1" s="1"/>
  <c r="AM991" i="1" s="1"/>
  <c r="AQ863" i="1"/>
  <c r="AQ864" i="1"/>
  <c r="AQ819" i="1"/>
  <c r="AQ868" i="1"/>
  <c r="AQ872" i="1"/>
  <c r="AQ826" i="1"/>
  <c r="AQ841" i="1"/>
  <c r="AQ848" i="1"/>
  <c r="AQ847" i="1"/>
  <c r="AP839" i="1"/>
  <c r="AQ839" i="1" s="1"/>
  <c r="AQ842" i="1"/>
  <c r="AQ844" i="1"/>
  <c r="AQ840" i="1"/>
  <c r="AQ849" i="1"/>
  <c r="AQ845" i="1"/>
  <c r="AQ843" i="1"/>
  <c r="AQ846" i="1"/>
  <c r="AQ802" i="1"/>
  <c r="AQ797" i="1"/>
  <c r="AQ800" i="1"/>
  <c r="AQ803" i="1"/>
  <c r="AQ801" i="1"/>
  <c r="AQ798" i="1"/>
  <c r="AQ796" i="1"/>
  <c r="AQ794" i="1"/>
  <c r="AQ799" i="1"/>
  <c r="AQ793" i="1"/>
  <c r="AQ795" i="1"/>
  <c r="DC19" i="1"/>
  <c r="CS17" i="1"/>
  <c r="CS12" i="1"/>
  <c r="CS21" i="1"/>
  <c r="CS14" i="1"/>
  <c r="CS19" i="1"/>
  <c r="CS22" i="1"/>
  <c r="DC16" i="1"/>
  <c r="DC18" i="1"/>
  <c r="DC14" i="1"/>
  <c r="DC20" i="1"/>
  <c r="DC15" i="1"/>
  <c r="DC13" i="1"/>
  <c r="DC12" i="1"/>
  <c r="DC17" i="1"/>
  <c r="CS16" i="1"/>
  <c r="CS20" i="1"/>
  <c r="CS13" i="1"/>
  <c r="CS18" i="1"/>
  <c r="CS15" i="1"/>
  <c r="DC21" i="1"/>
  <c r="DC22" i="1"/>
  <c r="BO15" i="1"/>
  <c r="BO18" i="1"/>
  <c r="BO19" i="1"/>
  <c r="BO14" i="1"/>
  <c r="BO20" i="1"/>
  <c r="BO16" i="1"/>
  <c r="BO17" i="1"/>
  <c r="BO12" i="1"/>
  <c r="BO13" i="1"/>
  <c r="BO21" i="1"/>
  <c r="BO22" i="1"/>
  <c r="AZ21" i="1"/>
  <c r="AZ20" i="1"/>
  <c r="AZ15" i="1"/>
  <c r="AZ17" i="1"/>
  <c r="AZ19" i="1"/>
  <c r="AZ18" i="1"/>
  <c r="AZ16" i="1"/>
  <c r="AZ13" i="1"/>
  <c r="AZ14" i="1"/>
  <c r="AY11" i="1"/>
  <c r="AZ11" i="1" s="1"/>
  <c r="AZ12" i="1"/>
  <c r="AZ22" i="1"/>
  <c r="AJ11" i="1"/>
  <c r="AK11" i="1" s="1"/>
  <c r="AK12" i="1"/>
  <c r="AK14" i="1"/>
  <c r="AK17" i="1"/>
  <c r="AK15" i="1"/>
  <c r="AK13" i="1"/>
  <c r="AK21" i="1"/>
  <c r="AK20" i="1"/>
  <c r="AK16" i="1"/>
  <c r="AK22" i="1"/>
  <c r="AK18" i="1"/>
  <c r="AK19" i="1"/>
  <c r="BY19" i="1"/>
  <c r="BY16" i="1"/>
  <c r="BY12" i="1"/>
  <c r="BY18" i="1"/>
  <c r="BY21" i="1"/>
  <c r="BY17" i="1"/>
  <c r="BY22" i="1"/>
  <c r="BY15" i="1"/>
  <c r="BY13" i="1"/>
  <c r="BY11" i="1"/>
  <c r="BY14" i="1"/>
  <c r="BY20" i="1"/>
  <c r="CC11" i="1"/>
  <c r="CD11" i="1" s="1"/>
  <c r="CD16" i="1"/>
  <c r="CD18" i="1"/>
  <c r="CD20" i="1"/>
  <c r="CD12" i="1"/>
  <c r="CD22" i="1"/>
  <c r="CD14" i="1"/>
  <c r="CD13" i="1"/>
  <c r="CD21" i="1"/>
  <c r="CD19" i="1"/>
  <c r="CD15" i="1"/>
  <c r="CD17" i="1"/>
  <c r="AF19" i="1"/>
  <c r="AF20" i="1"/>
  <c r="AF21" i="1"/>
  <c r="AF12" i="1"/>
  <c r="AF16" i="1"/>
  <c r="AF15" i="1"/>
  <c r="AF18" i="1"/>
  <c r="AF22" i="1"/>
  <c r="AF11" i="1"/>
  <c r="AF14" i="1"/>
  <c r="AF17" i="1"/>
  <c r="AF13" i="1"/>
  <c r="AU11" i="1"/>
  <c r="AU17" i="1"/>
  <c r="AU21" i="1"/>
  <c r="AU18" i="1"/>
  <c r="AU15" i="1"/>
  <c r="AU12" i="1"/>
  <c r="AU19" i="1"/>
  <c r="AU22" i="1"/>
  <c r="AU20" i="1"/>
  <c r="AU13" i="1"/>
  <c r="AU16" i="1"/>
  <c r="AU14" i="1"/>
  <c r="D206" i="1"/>
  <c r="D204" i="1"/>
  <c r="AP655" i="1"/>
  <c r="AP660" i="1"/>
  <c r="D205" i="1"/>
  <c r="D202" i="1"/>
  <c r="D210" i="1"/>
  <c r="D208" i="1"/>
  <c r="D203" i="1"/>
  <c r="D209" i="1"/>
  <c r="D201" i="1"/>
  <c r="D199" i="1"/>
  <c r="D207" i="1"/>
  <c r="D200" i="1"/>
  <c r="A305" i="1"/>
  <c r="A306" i="1"/>
  <c r="A307" i="1"/>
  <c r="A308" i="1"/>
  <c r="A309" i="1"/>
  <c r="A310" i="1"/>
  <c r="A311" i="1"/>
  <c r="A312" i="1"/>
  <c r="A313" i="1"/>
  <c r="A314" i="1"/>
  <c r="A315" i="1"/>
  <c r="A304" i="1"/>
  <c r="A199" i="1"/>
  <c r="A200" i="1"/>
  <c r="A201" i="1"/>
  <c r="A202" i="1"/>
  <c r="A203" i="1"/>
  <c r="A204" i="1"/>
  <c r="A205" i="1"/>
  <c r="A206" i="1"/>
  <c r="A207" i="1"/>
  <c r="A208" i="1"/>
  <c r="A209" i="1"/>
  <c r="A210" i="1"/>
  <c r="BL609" i="1" l="1" a="1"/>
  <c r="BL609" i="1" s="1"/>
  <c r="BL613" i="1" s="1" a="1"/>
  <c r="BL613" i="1" s="1"/>
  <c r="AQ942" i="1"/>
  <c r="AQ943" i="1" s="1"/>
  <c r="AQ1080" i="1"/>
  <c r="AQ1057" i="1"/>
  <c r="AQ897" i="1"/>
  <c r="AQ900" i="1" s="1"/>
  <c r="AQ902" i="1" s="1"/>
  <c r="C307" i="1" s="1"/>
  <c r="AQ874" i="1"/>
  <c r="AQ875" i="1" s="1"/>
  <c r="AQ828" i="1"/>
  <c r="AQ829" i="1" s="1"/>
  <c r="AQ920" i="1"/>
  <c r="AQ851" i="1"/>
  <c r="AQ805" i="1"/>
  <c r="AQ806" i="1" s="1"/>
  <c r="CF11" i="1"/>
  <c r="C74" i="1" s="1"/>
  <c r="D73" i="1" s="1"/>
  <c r="DJ11" i="1"/>
  <c r="D75" i="1" s="1"/>
  <c r="E74" i="1" s="1"/>
  <c r="CU11" i="1"/>
  <c r="C75" i="1" s="1"/>
  <c r="E73" i="1" s="1"/>
  <c r="BQ11" i="1"/>
  <c r="B75" i="1" s="1"/>
  <c r="E72" i="1" s="1"/>
  <c r="BB11" i="1"/>
  <c r="B74" i="1" s="1"/>
  <c r="D72" i="1" s="1"/>
  <c r="AM11" i="1"/>
  <c r="B73" i="1" s="1"/>
  <c r="C72" i="1" s="1"/>
  <c r="AP661" i="1"/>
  <c r="AS659" i="1"/>
  <c r="B83" i="1" s="1"/>
  <c r="AP659" i="1"/>
  <c r="A166" i="1"/>
  <c r="A183" i="1" s="1"/>
  <c r="A167" i="1"/>
  <c r="A184" i="1" s="1"/>
  <c r="A168" i="1"/>
  <c r="A185" i="1" s="1"/>
  <c r="A169" i="1"/>
  <c r="A186" i="1" s="1"/>
  <c r="A170" i="1"/>
  <c r="A187" i="1" s="1"/>
  <c r="A171" i="1"/>
  <c r="A188" i="1" s="1"/>
  <c r="A172" i="1"/>
  <c r="A189" i="1" s="1"/>
  <c r="A173" i="1"/>
  <c r="A190" i="1" s="1"/>
  <c r="A174" i="1"/>
  <c r="A191" i="1" s="1"/>
  <c r="A175" i="1"/>
  <c r="A192" i="1" s="1"/>
  <c r="A176" i="1"/>
  <c r="A193" i="1" s="1"/>
  <c r="A165" i="1"/>
  <c r="A182" i="1" s="1"/>
  <c r="AQ945" i="1" l="1"/>
  <c r="AQ947" i="1" s="1"/>
  <c r="C309" i="1" s="1"/>
  <c r="AQ831" i="1"/>
  <c r="AQ833" i="1" s="1"/>
  <c r="AQ1083" i="1"/>
  <c r="AQ1085" i="1" s="1"/>
  <c r="AQ1081" i="1"/>
  <c r="AQ1060" i="1"/>
  <c r="AQ1062" i="1" s="1"/>
  <c r="AQ1058" i="1"/>
  <c r="AQ898" i="1"/>
  <c r="AQ877" i="1"/>
  <c r="AQ879" i="1" s="1"/>
  <c r="AQ923" i="1"/>
  <c r="AQ925" i="1" s="1"/>
  <c r="AQ921" i="1"/>
  <c r="AQ808" i="1"/>
  <c r="AQ810" i="1" s="1"/>
  <c r="B446" i="1"/>
  <c r="B447" i="1"/>
  <c r="B448" i="1"/>
  <c r="B449" i="1"/>
  <c r="B450" i="1"/>
  <c r="B451" i="1"/>
  <c r="B452" i="1"/>
  <c r="B453" i="1"/>
  <c r="B454" i="1"/>
  <c r="B455" i="1"/>
  <c r="B456" i="1"/>
  <c r="B457" i="1"/>
  <c r="C447" i="1"/>
  <c r="D447" i="1"/>
  <c r="E447" i="1"/>
  <c r="C448" i="1"/>
  <c r="D448" i="1"/>
  <c r="E448" i="1"/>
  <c r="C449" i="1"/>
  <c r="D449" i="1"/>
  <c r="E449" i="1"/>
  <c r="C450" i="1"/>
  <c r="D450" i="1"/>
  <c r="E450" i="1"/>
  <c r="C451" i="1"/>
  <c r="D451" i="1"/>
  <c r="E451" i="1"/>
  <c r="C452" i="1"/>
  <c r="D452" i="1"/>
  <c r="E452" i="1"/>
  <c r="C453" i="1"/>
  <c r="D453" i="1"/>
  <c r="E453" i="1"/>
  <c r="C454" i="1"/>
  <c r="D454" i="1"/>
  <c r="E454" i="1"/>
  <c r="C455" i="1"/>
  <c r="D455" i="1"/>
  <c r="E455" i="1"/>
  <c r="C456" i="1"/>
  <c r="D456" i="1"/>
  <c r="E456" i="1"/>
  <c r="C457" i="1"/>
  <c r="D457" i="1"/>
  <c r="E457" i="1"/>
  <c r="C28" i="1"/>
  <c r="D28" i="1"/>
  <c r="C29" i="1"/>
  <c r="D29" i="1"/>
  <c r="C24" i="1"/>
  <c r="D24" i="1"/>
  <c r="C25" i="1"/>
  <c r="D25" i="1"/>
  <c r="B29" i="1"/>
  <c r="B25" i="1"/>
  <c r="B24" i="1"/>
  <c r="C304" i="1" l="1"/>
  <c r="C308" i="1"/>
  <c r="C306" i="1"/>
  <c r="C314" i="1"/>
  <c r="C315" i="1"/>
  <c r="AH583" i="1"/>
  <c r="AI583" i="1"/>
  <c r="AH584" i="1"/>
  <c r="AI584" i="1"/>
  <c r="AH585" i="1"/>
  <c r="AI585" i="1"/>
  <c r="AH586" i="1"/>
  <c r="AI586" i="1"/>
  <c r="AH587" i="1"/>
  <c r="AI587" i="1"/>
  <c r="AH588" i="1"/>
  <c r="AI588" i="1"/>
  <c r="AH589" i="1"/>
  <c r="AI589" i="1"/>
  <c r="AH590" i="1"/>
  <c r="AI590" i="1"/>
  <c r="AH591" i="1"/>
  <c r="AI591" i="1"/>
  <c r="AH592" i="1"/>
  <c r="AI592" i="1"/>
  <c r="AH593" i="1"/>
  <c r="AI593" i="1"/>
  <c r="AH582" i="1"/>
  <c r="AI582" i="1"/>
  <c r="AL582" i="1" l="1" a="1"/>
  <c r="AL582" i="1" s="1"/>
  <c r="B479" i="1"/>
  <c r="B478" i="1"/>
  <c r="B477" i="1"/>
  <c r="E470" i="1"/>
  <c r="D470" i="1"/>
  <c r="AQ587" i="1" l="1" a="1"/>
  <c r="AQ587" i="1" s="1"/>
  <c r="AL587" i="1" a="1"/>
  <c r="AL587" i="1" s="1"/>
  <c r="AL592" i="1" s="1" a="1"/>
  <c r="AL592" i="1" s="1"/>
  <c r="L12" i="1"/>
  <c r="L13" i="1"/>
  <c r="L14" i="1"/>
  <c r="L15" i="1"/>
  <c r="L16" i="1"/>
  <c r="L17" i="1"/>
  <c r="L18" i="1"/>
  <c r="L19" i="1"/>
  <c r="L20" i="1"/>
  <c r="L21" i="1"/>
  <c r="L22" i="1"/>
  <c r="L11" i="1"/>
  <c r="F92" i="1"/>
  <c r="AM852" i="1" s="1"/>
  <c r="AM853" i="1" s="1"/>
  <c r="AM854" i="1" s="1"/>
  <c r="C98" i="1"/>
  <c r="C58" i="1" l="1"/>
  <c r="C122" i="1"/>
  <c r="C123" i="1"/>
  <c r="AQ592" i="1" a="1"/>
  <c r="AQ592" i="1" s="1"/>
  <c r="B132" i="1" s="1"/>
  <c r="AQ852" i="1"/>
  <c r="AQ854" i="1"/>
  <c r="AQ856" i="1" s="1"/>
  <c r="C152" i="1"/>
  <c r="B508" i="1"/>
  <c r="E508" i="1" s="1"/>
  <c r="E509" i="1" s="1"/>
  <c r="E97" i="1" a="1"/>
  <c r="E97" i="1" s="1"/>
  <c r="C60" i="1" l="1"/>
  <c r="B66" i="1"/>
  <c r="D66" i="1"/>
  <c r="C66" i="1"/>
  <c r="E64" i="1"/>
  <c r="E65" i="1"/>
  <c r="B64" i="1"/>
  <c r="C63" i="1" s="1"/>
  <c r="B65" i="1"/>
  <c r="D63" i="1" s="1"/>
  <c r="C65" i="1"/>
  <c r="E63" i="1" s="1"/>
  <c r="D64" i="1"/>
  <c r="B135" i="1"/>
  <c r="B134" i="1"/>
  <c r="B133" i="1"/>
  <c r="C305" i="1"/>
  <c r="C153" i="1"/>
  <c r="B138" i="1" l="1"/>
  <c r="B158" i="1"/>
  <c r="B159" i="1"/>
  <c r="D30" i="1" l="1"/>
  <c r="C30" i="1"/>
  <c r="B30" i="1"/>
  <c r="C26" i="1"/>
  <c r="B26" i="1"/>
  <c r="D26" i="1"/>
  <c r="D446" i="1" l="1"/>
  <c r="E446" i="1"/>
  <c r="B111" i="1"/>
  <c r="B509" i="1" s="1"/>
  <c r="B110" i="1"/>
  <c r="D460" i="1" l="1"/>
  <c r="D459" i="1"/>
  <c r="E460" i="1"/>
  <c r="E459" i="1"/>
  <c r="B112" i="1"/>
  <c r="D465" i="1" l="1"/>
  <c r="E466" i="1"/>
  <c r="D466" i="1"/>
  <c r="D471" i="1"/>
  <c r="C38" i="1" s="1"/>
  <c r="E471" i="1"/>
  <c r="C39" i="1" s="1"/>
  <c r="E465" i="1"/>
  <c r="D212" i="1" l="1"/>
  <c r="C112" i="1" l="1"/>
  <c r="AP976" i="1" a="1"/>
  <c r="C446" i="1"/>
  <c r="AP976" i="1" l="1"/>
  <c r="AQ976" i="1" s="1"/>
  <c r="AQ985" i="1"/>
  <c r="AQ983" i="1"/>
  <c r="AQ984" i="1"/>
  <c r="AQ986" i="1"/>
  <c r="AQ978" i="1"/>
  <c r="AQ977" i="1"/>
  <c r="AQ981" i="1"/>
  <c r="AQ980" i="1"/>
  <c r="AQ979" i="1"/>
  <c r="AQ982" i="1"/>
  <c r="C460" i="1"/>
  <c r="C459" i="1"/>
  <c r="AQ988" i="1" l="1"/>
  <c r="C466" i="1"/>
  <c r="C465" i="1"/>
  <c r="C471" i="1" l="1" a="1"/>
  <c r="C471" i="1" s="1"/>
  <c r="C37" i="1" s="1"/>
  <c r="AQ989" i="1"/>
  <c r="AQ991" i="1"/>
  <c r="AQ993" i="1" s="1"/>
  <c r="C311" i="1" l="1"/>
  <c r="D144" i="1" l="1"/>
  <c r="C477" i="1"/>
  <c r="D142" i="1"/>
  <c r="Q16" i="1"/>
  <c r="R16" i="1" s="1"/>
  <c r="Q17" i="1"/>
  <c r="R17" i="1" s="1"/>
  <c r="Q18" i="1"/>
  <c r="R18" i="1" s="1"/>
  <c r="Q20" i="1"/>
  <c r="R20" i="1" s="1"/>
  <c r="Q21" i="1"/>
  <c r="R21" i="1" s="1"/>
  <c r="Q13" i="1"/>
  <c r="R13" i="1" s="1"/>
  <c r="Q14" i="1"/>
  <c r="R14" i="1" s="1"/>
  <c r="Q15" i="1"/>
  <c r="R15" i="1" s="1"/>
  <c r="Q22" i="1"/>
  <c r="R22" i="1" s="1"/>
  <c r="Q12" i="1"/>
  <c r="R12" i="1" s="1"/>
  <c r="C479" i="1"/>
  <c r="E483" i="1"/>
  <c r="B157" i="1"/>
  <c r="E477" i="1" l="1"/>
  <c r="E479" i="1"/>
  <c r="AP953" i="1" l="1" a="1"/>
  <c r="AP953" i="1" l="1"/>
  <c r="AQ953" i="1" s="1"/>
  <c r="AQ958" i="1"/>
  <c r="AQ956" i="1"/>
  <c r="AQ957" i="1"/>
  <c r="AQ960" i="1"/>
  <c r="AQ963" i="1"/>
  <c r="AQ955" i="1"/>
  <c r="AQ961" i="1"/>
  <c r="AQ954" i="1"/>
  <c r="AQ962" i="1"/>
  <c r="AQ959" i="1"/>
  <c r="AQ965" i="1" l="1"/>
  <c r="AM1035" i="1" l="1"/>
  <c r="AM1036" i="1" s="1"/>
  <c r="AM1037" i="1" s="1"/>
  <c r="AP1022" i="1" l="1" a="1"/>
  <c r="AP1022" i="1" l="1"/>
  <c r="AQ1022" i="1" s="1"/>
  <c r="AQ1032" i="1"/>
  <c r="AQ1023" i="1"/>
  <c r="AQ1031" i="1"/>
  <c r="AQ1025" i="1"/>
  <c r="AQ1024" i="1"/>
  <c r="AQ1026" i="1"/>
  <c r="AQ1028" i="1"/>
  <c r="AQ1029" i="1"/>
  <c r="AQ1030" i="1"/>
  <c r="AQ1027" i="1"/>
  <c r="AQ1034" i="1" l="1"/>
  <c r="AQ1037" i="1" l="1"/>
  <c r="AQ1039" i="1" s="1"/>
  <c r="AQ1035" i="1"/>
  <c r="C313" i="1" l="1"/>
  <c r="Q11" i="1"/>
  <c r="R11" i="1" s="1"/>
  <c r="AQ1011" i="1" l="1"/>
  <c r="AQ1014" i="1" l="1"/>
  <c r="AQ1016" i="1" s="1"/>
  <c r="AQ1012" i="1"/>
  <c r="C312" i="1" l="1"/>
  <c r="A303" i="1"/>
  <c r="A164" i="1" l="1"/>
  <c r="L9" i="1"/>
  <c r="A249" i="1"/>
  <c r="A181" i="1"/>
  <c r="A198" i="1"/>
  <c r="AM966" i="1" l="1"/>
  <c r="AM967" i="1" s="1"/>
  <c r="AM968" i="1" s="1"/>
  <c r="AQ966" i="1" l="1"/>
  <c r="AQ968" i="1"/>
  <c r="AQ970" i="1" s="1"/>
  <c r="B175" i="1"/>
  <c r="B172" i="1"/>
  <c r="B173" i="1"/>
  <c r="C478" i="1"/>
  <c r="E478" i="1" s="1"/>
  <c r="E481" i="1" s="1"/>
  <c r="E485" i="1" s="1"/>
  <c r="B171" i="1"/>
  <c r="D143" i="1"/>
  <c r="B166" i="1"/>
  <c r="B174" i="1"/>
  <c r="B168" i="1"/>
  <c r="B176" i="1"/>
  <c r="B165" i="1"/>
  <c r="B167" i="1"/>
  <c r="B169" i="1"/>
  <c r="B170" i="1"/>
  <c r="AG598" i="1" a="1"/>
  <c r="AG598" i="1" s="1"/>
  <c r="AG600" i="1" s="1" a="1"/>
  <c r="AG600" i="1" s="1"/>
  <c r="AL597" i="1" a="1"/>
  <c r="AL597" i="1" s="1"/>
  <c r="AL605" i="1" s="1" a="1"/>
  <c r="E495" i="1" l="1" a="1"/>
  <c r="E495" i="1" s="1"/>
  <c r="G39" i="1" s="1"/>
  <c r="D495" i="1" a="1"/>
  <c r="D495" i="1" s="1"/>
  <c r="G40" i="1" s="1"/>
  <c r="C495" i="1"/>
  <c r="G41" i="1" s="1"/>
  <c r="V26" i="1"/>
  <c r="V27" i="1"/>
  <c r="V31" i="1"/>
  <c r="V33" i="1"/>
  <c r="V35" i="1"/>
  <c r="V28" i="1"/>
  <c r="V29" i="1"/>
  <c r="V34" i="1"/>
  <c r="V36" i="1"/>
  <c r="V30" i="1"/>
  <c r="V32" i="1"/>
  <c r="V25" i="1"/>
  <c r="K19" i="1"/>
  <c r="K18" i="1"/>
  <c r="K16" i="1"/>
  <c r="K14" i="1"/>
  <c r="C535" i="1"/>
  <c r="G35" i="1"/>
  <c r="K17" i="1"/>
  <c r="K22" i="1"/>
  <c r="K12" i="1"/>
  <c r="K20" i="1"/>
  <c r="K13" i="1"/>
  <c r="K21" i="1"/>
  <c r="K11" i="1"/>
  <c r="K15" i="1"/>
  <c r="E515" i="1"/>
  <c r="AG602" i="1"/>
  <c r="AG604" i="1"/>
  <c r="C310" i="1"/>
  <c r="E257" i="1"/>
  <c r="AQ995" i="1" s="1"/>
  <c r="E259" i="1"/>
  <c r="AQ1041" i="1" s="1"/>
  <c r="E260" i="1"/>
  <c r="AQ1064" i="1" s="1"/>
  <c r="E256" i="1"/>
  <c r="AQ972" i="1" s="1"/>
  <c r="E261" i="1"/>
  <c r="AQ1087" i="1" s="1"/>
  <c r="AL605" i="1"/>
  <c r="E250" i="1" s="1"/>
  <c r="E252" i="1"/>
  <c r="AQ881" i="1" s="1"/>
  <c r="E254" i="1"/>
  <c r="AQ927" i="1" s="1"/>
  <c r="E258" i="1"/>
  <c r="AQ1018" i="1" s="1"/>
  <c r="E251" i="1"/>
  <c r="AQ858" i="1" s="1"/>
  <c r="E255" i="1"/>
  <c r="AQ949" i="1" s="1"/>
  <c r="E309" i="1" s="1"/>
  <c r="E253" i="1"/>
  <c r="AQ904" i="1" s="1"/>
  <c r="C191" i="1"/>
  <c r="D174" i="1"/>
  <c r="AF764" i="1"/>
  <c r="AF756" i="1"/>
  <c r="D166" i="1"/>
  <c r="C183" i="1"/>
  <c r="C187" i="1"/>
  <c r="D170" i="1"/>
  <c r="AF760" i="1"/>
  <c r="C186" i="1"/>
  <c r="D169" i="1"/>
  <c r="AF759" i="1"/>
  <c r="C184" i="1"/>
  <c r="AF757" i="1"/>
  <c r="D167" i="1"/>
  <c r="D172" i="1"/>
  <c r="AF762" i="1"/>
  <c r="C189" i="1"/>
  <c r="D171" i="1"/>
  <c r="AF761" i="1"/>
  <c r="C188" i="1"/>
  <c r="B515" i="1"/>
  <c r="D165" i="1"/>
  <c r="C182" i="1"/>
  <c r="AF755" i="1"/>
  <c r="AF763" i="1"/>
  <c r="D173" i="1"/>
  <c r="C190" i="1"/>
  <c r="D175" i="1"/>
  <c r="AF765" i="1"/>
  <c r="C192" i="1"/>
  <c r="AF766" i="1"/>
  <c r="C193" i="1"/>
  <c r="D176" i="1"/>
  <c r="D168" i="1"/>
  <c r="C185" i="1"/>
  <c r="AF758" i="1"/>
  <c r="C543" i="1" l="1"/>
  <c r="C540" i="1" s="1"/>
  <c r="C541" i="1" s="1"/>
  <c r="D539" i="1" s="1"/>
  <c r="T31" i="1"/>
  <c r="W31" i="1" s="1"/>
  <c r="F334" i="1"/>
  <c r="T27" i="1"/>
  <c r="W27" i="1" s="1"/>
  <c r="F330" i="1"/>
  <c r="T26" i="1"/>
  <c r="W26" i="1" s="1"/>
  <c r="F329" i="1"/>
  <c r="T30" i="1"/>
  <c r="W30" i="1" s="1"/>
  <c r="F333" i="1"/>
  <c r="T34" i="1"/>
  <c r="W34" i="1" s="1"/>
  <c r="F337" i="1"/>
  <c r="T33" i="1"/>
  <c r="W33" i="1" s="1"/>
  <c r="F336" i="1"/>
  <c r="T29" i="1"/>
  <c r="W29" i="1" s="1"/>
  <c r="F332" i="1"/>
  <c r="T28" i="1"/>
  <c r="W28" i="1" s="1"/>
  <c r="F331" i="1"/>
  <c r="T25" i="1"/>
  <c r="W25" i="1" s="1"/>
  <c r="F328" i="1"/>
  <c r="T32" i="1"/>
  <c r="W32" i="1" s="1"/>
  <c r="F335" i="1"/>
  <c r="T35" i="1"/>
  <c r="W35" i="1" s="1"/>
  <c r="F338" i="1"/>
  <c r="T36" i="1"/>
  <c r="W36" i="1" s="1"/>
  <c r="F339" i="1"/>
  <c r="D185" i="1"/>
  <c r="G307" i="1" s="1"/>
  <c r="BM694" i="1"/>
  <c r="BO694" i="1" s="1"/>
  <c r="BM586" i="1"/>
  <c r="BO586" i="1" s="1"/>
  <c r="BS586" i="1" s="1"/>
  <c r="D182" i="1"/>
  <c r="G304" i="1" s="1"/>
  <c r="BM583" i="1"/>
  <c r="BO583" i="1" s="1"/>
  <c r="BS583" i="1" s="1"/>
  <c r="BM691" i="1"/>
  <c r="BO691" i="1" s="1"/>
  <c r="D183" i="1"/>
  <c r="G305" i="1" s="1"/>
  <c r="BM584" i="1"/>
  <c r="BO584" i="1" s="1"/>
  <c r="BS584" i="1" s="1"/>
  <c r="BM692" i="1"/>
  <c r="BO692" i="1" s="1"/>
  <c r="D192" i="1"/>
  <c r="G314" i="1" s="1"/>
  <c r="BM593" i="1"/>
  <c r="BO593" i="1" s="1"/>
  <c r="BS593" i="1" s="1"/>
  <c r="BM701" i="1"/>
  <c r="BO701" i="1" s="1"/>
  <c r="D188" i="1"/>
  <c r="G310" i="1" s="1"/>
  <c r="BM589" i="1"/>
  <c r="BO589" i="1" s="1"/>
  <c r="BS589" i="1" s="1"/>
  <c r="BM697" i="1"/>
  <c r="BO697" i="1" s="1"/>
  <c r="D186" i="1"/>
  <c r="G308" i="1" s="1"/>
  <c r="BM695" i="1"/>
  <c r="BO695" i="1" s="1"/>
  <c r="BM587" i="1"/>
  <c r="BO587" i="1" s="1"/>
  <c r="BS587" i="1" s="1"/>
  <c r="D189" i="1"/>
  <c r="G311" i="1" s="1"/>
  <c r="BM590" i="1"/>
  <c r="BO590" i="1" s="1"/>
  <c r="BS590" i="1" s="1"/>
  <c r="BM698" i="1"/>
  <c r="BO698" i="1" s="1"/>
  <c r="D184" i="1"/>
  <c r="G306" i="1" s="1"/>
  <c r="BM585" i="1"/>
  <c r="BO585" i="1" s="1"/>
  <c r="BS585" i="1" s="1"/>
  <c r="BM693" i="1"/>
  <c r="BO693" i="1" s="1"/>
  <c r="D191" i="1"/>
  <c r="G313" i="1" s="1"/>
  <c r="BM700" i="1"/>
  <c r="BO700" i="1" s="1"/>
  <c r="BM592" i="1"/>
  <c r="BO592" i="1" s="1"/>
  <c r="BS592" i="1" s="1"/>
  <c r="D193" i="1"/>
  <c r="G315" i="1" s="1"/>
  <c r="BM594" i="1"/>
  <c r="BO594" i="1" s="1"/>
  <c r="BS594" i="1" s="1"/>
  <c r="BM702" i="1"/>
  <c r="BO702" i="1" s="1"/>
  <c r="D190" i="1"/>
  <c r="G312" i="1" s="1"/>
  <c r="BM591" i="1"/>
  <c r="BO591" i="1" s="1"/>
  <c r="BS591" i="1" s="1"/>
  <c r="BM699" i="1"/>
  <c r="BO699" i="1" s="1"/>
  <c r="D187" i="1"/>
  <c r="G309" i="1" s="1"/>
  <c r="BM588" i="1"/>
  <c r="BO588" i="1" s="1"/>
  <c r="BS588" i="1" s="1"/>
  <c r="BM696" i="1"/>
  <c r="BO696" i="1" s="1"/>
  <c r="K30" i="1"/>
  <c r="K25" i="1"/>
  <c r="K26" i="1"/>
  <c r="K29" i="1"/>
  <c r="AF767" i="1"/>
  <c r="D178" i="1"/>
  <c r="C110" i="1" s="1"/>
  <c r="E306" i="1"/>
  <c r="E310" i="1"/>
  <c r="E307" i="1"/>
  <c r="E305" i="1"/>
  <c r="E308" i="1"/>
  <c r="E314" i="1"/>
  <c r="E312" i="1"/>
  <c r="E313" i="1"/>
  <c r="E315" i="1"/>
  <c r="AQ835" i="1"/>
  <c r="AQ812" i="1"/>
  <c r="C529" i="1"/>
  <c r="C530" i="1"/>
  <c r="E311" i="1"/>
  <c r="BY583" i="1" l="1"/>
  <c r="BQ599" i="1" a="1"/>
  <c r="BQ599" i="1" s="1"/>
  <c r="BU583" i="1" a="1"/>
  <c r="BX594" i="1" s="1"/>
  <c r="CA594" i="1" s="1"/>
  <c r="BL617" i="1" a="1"/>
  <c r="BL617" i="1" s="1"/>
  <c r="BL621" i="1" s="1" a="1"/>
  <c r="D195" i="1"/>
  <c r="C111" i="1" s="1"/>
  <c r="C124" i="1" s="1"/>
  <c r="BY593" i="1"/>
  <c r="CB593" i="1" s="1"/>
  <c r="BY585" i="1"/>
  <c r="CB585" i="1" s="1"/>
  <c r="BP693" i="1"/>
  <c r="BQ693" i="1" s="1"/>
  <c r="BR693" i="1" s="1"/>
  <c r="BS692" i="1"/>
  <c r="BS702" i="1"/>
  <c r="BP694" i="1"/>
  <c r="BS693" i="1"/>
  <c r="BY587" i="1"/>
  <c r="CB587" i="1" s="1"/>
  <c r="BS696" i="1"/>
  <c r="BP697" i="1"/>
  <c r="BS699" i="1"/>
  <c r="BP700" i="1"/>
  <c r="BY590" i="1"/>
  <c r="CB590" i="1" s="1"/>
  <c r="BS695" i="1"/>
  <c r="BP696" i="1"/>
  <c r="BQ696" i="1" s="1"/>
  <c r="BR696" i="1" s="1"/>
  <c r="BS700" i="1"/>
  <c r="BP701" i="1"/>
  <c r="BS701" i="1"/>
  <c r="BP702" i="1"/>
  <c r="BY588" i="1"/>
  <c r="CB588" i="1" s="1"/>
  <c r="BP699" i="1"/>
  <c r="BQ699" i="1" s="1"/>
  <c r="BR699" i="1" s="1"/>
  <c r="BS698" i="1"/>
  <c r="BY591" i="1"/>
  <c r="CB591" i="1" s="1"/>
  <c r="BY584" i="1"/>
  <c r="CB584" i="1" s="1"/>
  <c r="BR691" i="1"/>
  <c r="BP692" i="1"/>
  <c r="BS691" i="1"/>
  <c r="BY594" i="1"/>
  <c r="CB594" i="1" s="1"/>
  <c r="BY592" i="1"/>
  <c r="CB592" i="1" s="1"/>
  <c r="BS697" i="1"/>
  <c r="BP698" i="1"/>
  <c r="BY586" i="1"/>
  <c r="CB586" i="1" s="1"/>
  <c r="BY589" i="1"/>
  <c r="CB589" i="1" s="1"/>
  <c r="BP695" i="1"/>
  <c r="BS694" i="1"/>
  <c r="C92" i="1"/>
  <c r="C91" i="1" s="1"/>
  <c r="K31" i="1"/>
  <c r="K27" i="1"/>
  <c r="D110" i="1"/>
  <c r="E304" i="1"/>
  <c r="B126" i="1" l="1"/>
  <c r="BU583" i="1"/>
  <c r="BX583" i="1" s="1"/>
  <c r="BW588" i="1"/>
  <c r="BZ588" i="1" s="1"/>
  <c r="BW591" i="1"/>
  <c r="BZ591" i="1" s="1"/>
  <c r="BW592" i="1"/>
  <c r="BZ592" i="1" s="1"/>
  <c r="BW593" i="1"/>
  <c r="BZ593" i="1" s="1"/>
  <c r="BW594" i="1"/>
  <c r="BZ594" i="1" s="1"/>
  <c r="BW589" i="1"/>
  <c r="BZ589" i="1" s="1"/>
  <c r="BW590" i="1"/>
  <c r="BZ590" i="1" s="1"/>
  <c r="BW587" i="1"/>
  <c r="BZ587" i="1" s="1"/>
  <c r="BW584" i="1"/>
  <c r="BZ584" i="1" s="1"/>
  <c r="BW585" i="1"/>
  <c r="BZ585" i="1" s="1"/>
  <c r="BW586" i="1"/>
  <c r="BZ586" i="1" s="1"/>
  <c r="BL621" i="1"/>
  <c r="D111" i="1"/>
  <c r="D304" i="1" s="1"/>
  <c r="C104" i="1"/>
  <c r="C135" i="1" s="1"/>
  <c r="C159" i="1" s="1"/>
  <c r="BS704" i="1"/>
  <c r="BQ702" i="1"/>
  <c r="BR702" i="1" s="1"/>
  <c r="BQ700" i="1"/>
  <c r="BR700" i="1" s="1"/>
  <c r="BX592" i="1"/>
  <c r="CA592" i="1" s="1"/>
  <c r="BX591" i="1"/>
  <c r="CA591" i="1" s="1"/>
  <c r="BQ692" i="1"/>
  <c r="BR692" i="1" s="1"/>
  <c r="C93" i="1"/>
  <c r="BQ701" i="1"/>
  <c r="BR701" i="1" s="1"/>
  <c r="BY597" i="1"/>
  <c r="CB583" i="1"/>
  <c r="CB597" i="1" s="1"/>
  <c r="BX587" i="1"/>
  <c r="CA587" i="1" s="1"/>
  <c r="BX585" i="1"/>
  <c r="CA585" i="1" s="1"/>
  <c r="BX584" i="1"/>
  <c r="CA584" i="1" s="1"/>
  <c r="BQ697" i="1"/>
  <c r="BR697" i="1" s="1"/>
  <c r="BQ694" i="1"/>
  <c r="BR694" i="1" s="1"/>
  <c r="BQ695" i="1"/>
  <c r="BR695" i="1" s="1"/>
  <c r="BX589" i="1"/>
  <c r="CA589" i="1" s="1"/>
  <c r="BX586" i="1"/>
  <c r="CA586" i="1" s="1"/>
  <c r="BX593" i="1"/>
  <c r="CA593" i="1" s="1"/>
  <c r="BQ698" i="1"/>
  <c r="BR698" i="1" s="1"/>
  <c r="BX588" i="1"/>
  <c r="CA588" i="1" s="1"/>
  <c r="BX590" i="1"/>
  <c r="CA590" i="1" s="1"/>
  <c r="C118" i="1"/>
  <c r="C255" i="1" l="1"/>
  <c r="N16" i="1" s="1"/>
  <c r="C252" i="1"/>
  <c r="N13" i="1" s="1"/>
  <c r="C134" i="1"/>
  <c r="C158" i="1" s="1"/>
  <c r="C254" i="1"/>
  <c r="N15" i="1" s="1"/>
  <c r="D311" i="1"/>
  <c r="C259" i="1"/>
  <c r="N20" i="1" s="1"/>
  <c r="D313" i="1"/>
  <c r="F193" i="1"/>
  <c r="D307" i="1"/>
  <c r="C260" i="1"/>
  <c r="N21" i="1" s="1"/>
  <c r="F190" i="1"/>
  <c r="B511" i="1"/>
  <c r="E511" i="1" s="1"/>
  <c r="E512" i="1" s="1"/>
  <c r="E513" i="1" s="1"/>
  <c r="D312" i="1"/>
  <c r="C132" i="1"/>
  <c r="D132" i="1" s="1"/>
  <c r="E132" i="1" s="1"/>
  <c r="D309" i="1"/>
  <c r="C250" i="1"/>
  <c r="N11" i="1" s="1"/>
  <c r="C253" i="1"/>
  <c r="L561" i="1" s="1"/>
  <c r="D314" i="1"/>
  <c r="C258" i="1"/>
  <c r="N19" i="1" s="1"/>
  <c r="F183" i="1"/>
  <c r="C261" i="1"/>
  <c r="N22" i="1" s="1"/>
  <c r="F185" i="1"/>
  <c r="F189" i="1"/>
  <c r="F187" i="1"/>
  <c r="D305" i="1"/>
  <c r="C251" i="1"/>
  <c r="N12" i="1" s="1"/>
  <c r="C133" i="1"/>
  <c r="C157" i="1" s="1"/>
  <c r="C256" i="1"/>
  <c r="N17" i="1" s="1"/>
  <c r="D310" i="1"/>
  <c r="C257" i="1"/>
  <c r="N18" i="1" s="1"/>
  <c r="D306" i="1"/>
  <c r="F182" i="1"/>
  <c r="F188" i="1"/>
  <c r="D308" i="1"/>
  <c r="F186" i="1"/>
  <c r="F192" i="1"/>
  <c r="F184" i="1"/>
  <c r="F191" i="1"/>
  <c r="D315" i="1"/>
  <c r="BR704" i="1"/>
  <c r="BR706" i="1" s="1"/>
  <c r="B412" i="1" s="1"/>
  <c r="B419" i="1" s="1" a="1"/>
  <c r="B419" i="1" s="1"/>
  <c r="BW583" i="1"/>
  <c r="D135" i="1"/>
  <c r="D159" i="1" s="1"/>
  <c r="O26" i="1"/>
  <c r="P26" i="1" s="1"/>
  <c r="B315" i="1" l="1"/>
  <c r="F315" i="1" s="1"/>
  <c r="B261" i="1"/>
  <c r="B239" i="1"/>
  <c r="B314" i="1"/>
  <c r="F314" i="1" s="1"/>
  <c r="B260" i="1"/>
  <c r="B238" i="1"/>
  <c r="B258" i="1"/>
  <c r="B236" i="1"/>
  <c r="B310" i="1"/>
  <c r="F310" i="1" s="1"/>
  <c r="B256" i="1"/>
  <c r="B234" i="1"/>
  <c r="B304" i="1"/>
  <c r="F304" i="1" s="1"/>
  <c r="B228" i="1"/>
  <c r="B250" i="1"/>
  <c r="B309" i="1"/>
  <c r="F309" i="1" s="1"/>
  <c r="B255" i="1"/>
  <c r="B233" i="1"/>
  <c r="B308" i="1"/>
  <c r="F308" i="1" s="1"/>
  <c r="B254" i="1"/>
  <c r="B232" i="1"/>
  <c r="B305" i="1"/>
  <c r="F305" i="1" s="1"/>
  <c r="B251" i="1"/>
  <c r="B229" i="1"/>
  <c r="B311" i="1"/>
  <c r="F311" i="1" s="1"/>
  <c r="B257" i="1"/>
  <c r="B235" i="1"/>
  <c r="B307" i="1"/>
  <c r="B253" i="1"/>
  <c r="B231" i="1"/>
  <c r="B313" i="1"/>
  <c r="F313" i="1" s="1"/>
  <c r="B259" i="1"/>
  <c r="B237" i="1"/>
  <c r="B306" i="1"/>
  <c r="F306" i="1" s="1"/>
  <c r="B230" i="1"/>
  <c r="B252" i="1"/>
  <c r="B312" i="1"/>
  <c r="F312" i="1" s="1"/>
  <c r="M22" i="1"/>
  <c r="D134" i="1"/>
  <c r="D158" i="1" s="1"/>
  <c r="E158" i="1" s="1"/>
  <c r="B512" i="1"/>
  <c r="B513" i="1" s="1"/>
  <c r="B518" i="1" s="1"/>
  <c r="B530" i="1" s="1"/>
  <c r="D530" i="1" s="1"/>
  <c r="M19" i="1"/>
  <c r="N14" i="1"/>
  <c r="O17" i="1" s="1"/>
  <c r="E159" i="1"/>
  <c r="L558" i="1"/>
  <c r="M12" i="1"/>
  <c r="F307" i="1"/>
  <c r="M16" i="1"/>
  <c r="M14" i="1"/>
  <c r="M11" i="1"/>
  <c r="M18" i="1"/>
  <c r="L559" i="1"/>
  <c r="D133" i="1"/>
  <c r="D157" i="1" s="1"/>
  <c r="M15" i="1"/>
  <c r="M17" i="1"/>
  <c r="M21" i="1"/>
  <c r="M13" i="1"/>
  <c r="M20" i="1"/>
  <c r="BX597" i="1"/>
  <c r="CA583" i="1"/>
  <c r="CA597" i="1" s="1"/>
  <c r="BW597" i="1"/>
  <c r="BX601" i="1" s="1"/>
  <c r="BX600" i="1" s="1"/>
  <c r="BZ583" i="1"/>
  <c r="BZ597" i="1" s="1"/>
  <c r="CA601" i="1" s="1"/>
  <c r="CA600" i="1" s="1"/>
  <c r="B379" i="1" s="1"/>
  <c r="E518" i="1"/>
  <c r="E517" i="1"/>
  <c r="E135" i="1"/>
  <c r="O19" i="1" l="1"/>
  <c r="O14" i="1"/>
  <c r="O16" i="1"/>
  <c r="O21" i="1"/>
  <c r="B517" i="1"/>
  <c r="B529" i="1" s="1"/>
  <c r="D529" i="1" s="1"/>
  <c r="E134" i="1"/>
  <c r="O11" i="1"/>
  <c r="O22" i="1"/>
  <c r="O18" i="1"/>
  <c r="O13" i="1"/>
  <c r="O12" i="1"/>
  <c r="O20" i="1"/>
  <c r="O15" i="1"/>
  <c r="O32" i="1"/>
  <c r="P32" i="1" s="1"/>
  <c r="E157" i="1"/>
  <c r="E133" i="1"/>
  <c r="BT597" i="1"/>
  <c r="CA606" i="1"/>
  <c r="E520" i="1"/>
  <c r="B520" i="1" l="1"/>
  <c r="O34" i="1" s="1"/>
  <c r="P34" i="1" s="1"/>
  <c r="O30" i="1"/>
  <c r="P30" i="1" s="1"/>
  <c r="O28" i="1"/>
  <c r="P28" i="1" s="1"/>
  <c r="BO614" i="1"/>
  <c r="BQ614" i="1" s="1"/>
  <c r="BR614" i="1" s="1"/>
  <c r="B378" i="1" s="1"/>
  <c r="BO613" i="1"/>
  <c r="BQ613" i="1" s="1"/>
  <c r="BR613" i="1" s="1"/>
  <c r="BT599" i="1"/>
  <c r="BT600" i="1"/>
  <c r="A523" i="1" l="1" a="1"/>
  <c r="A52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<sst xmlns="http://schemas.openxmlformats.org/spreadsheetml/2006/main" count="630" uniqueCount="283">
  <si>
    <t>Item</t>
  </si>
  <si>
    <t>Erro padrão</t>
  </si>
  <si>
    <t>Regressão</t>
  </si>
  <si>
    <t>Resíduo</t>
  </si>
  <si>
    <t>Total</t>
  </si>
  <si>
    <t>Interseção</t>
  </si>
  <si>
    <t>R²</t>
  </si>
  <si>
    <t>r</t>
  </si>
  <si>
    <t>Ponto crítico</t>
  </si>
  <si>
    <t>RESULTADOS DA REGRESSÃO</t>
  </si>
  <si>
    <t>Estatística t</t>
  </si>
  <si>
    <t>Nível de significância</t>
  </si>
  <si>
    <t>Graus de liberdade</t>
  </si>
  <si>
    <t>Soma dos quadrados</t>
  </si>
  <si>
    <t>Quadrados médios</t>
  </si>
  <si>
    <t>ANÁLISE DE VARIÂNCIA</t>
  </si>
  <si>
    <t>Item. 9.2.1. Tabela 1 - Grau de fundamentação no caso de utilização de modelos de regressão linear</t>
  </si>
  <si>
    <t>AMOSTRA. CONJUNTO DE DADOS COLETADOS NO MERCADO</t>
  </si>
  <si>
    <t>Limite amostral (Item 9.2.1, Tabela 1, linha 4)</t>
  </si>
  <si>
    <t>Limite inferior</t>
  </si>
  <si>
    <t>Limite superior</t>
  </si>
  <si>
    <t>Estimativa</t>
  </si>
  <si>
    <t>Variável</t>
  </si>
  <si>
    <t>Coeficiente</t>
  </si>
  <si>
    <t>Resultado parcial</t>
  </si>
  <si>
    <t>Resultado</t>
  </si>
  <si>
    <t>Arredondamento</t>
  </si>
  <si>
    <t>Percentual</t>
  </si>
  <si>
    <t>Permite-se arredondar o resultado da avaliação, bem como os limites do intervalo de confiança e do campo de arbítrio, em até 1%. (NBR 14653-1:2019. Item 6.8.1)</t>
  </si>
  <si>
    <t>Limites de extrapolação. NBR 14653-2:2011. Avaliação de bens. Parte 2: Imóveis urbanos.</t>
  </si>
  <si>
    <t>Descrição</t>
  </si>
  <si>
    <t>Extrapolação</t>
  </si>
  <si>
    <t>Grau</t>
  </si>
  <si>
    <t>III</t>
  </si>
  <si>
    <t>II</t>
  </si>
  <si>
    <t>I</t>
  </si>
  <si>
    <t xml:space="preserve">O gráfico acima demonstra visualmente que os valores observados estão próximos da bissetriz do primeiro quadrante. </t>
  </si>
  <si>
    <t>Média</t>
  </si>
  <si>
    <t>Desvio-padrão</t>
  </si>
  <si>
    <t>Amplitude</t>
  </si>
  <si>
    <t>Coeficiente regressor</t>
  </si>
  <si>
    <t>Confiança</t>
  </si>
  <si>
    <t>Limites</t>
  </si>
  <si>
    <t>Grau III</t>
  </si>
  <si>
    <t>Grau II</t>
  </si>
  <si>
    <t>Grau I</t>
  </si>
  <si>
    <t>não admitida</t>
  </si>
  <si>
    <t>Mínimo</t>
  </si>
  <si>
    <t>Máximo</t>
  </si>
  <si>
    <t>Soma parcial</t>
  </si>
  <si>
    <t>Valor do arredondamento</t>
  </si>
  <si>
    <t>Equação da regressão:</t>
  </si>
  <si>
    <r>
      <rPr>
        <b/>
        <sz val="11"/>
        <rFont val="Aptos"/>
        <family val="2"/>
      </rPr>
      <t xml:space="preserve">NBR 14653-2:2011. Avaliação de bens. Parte 2. Imóveis urbanos.
A.2.1.2 Normalidade
</t>
    </r>
    <r>
      <rPr>
        <sz val="11"/>
        <rFont val="Aptos"/>
        <family val="2"/>
      </rPr>
      <t xml:space="preserve">A verificação da normalidade pode ser realizada, entre outras, por uma das seguintes formas:
a)	pelo exame de histograma dos resíduos amostrais padronizados, com o objetivo de verificar se sua forma guarda semelhança com a da curva normal;
b)	pela análise do gráfico de resíduos padronizados versus valores ajustados, que deve apresentar pontos dispostos aleatoriamente, com a </t>
    </r>
    <r>
      <rPr>
        <b/>
        <sz val="11"/>
        <rFont val="Aptos"/>
        <family val="2"/>
      </rPr>
      <t>grande maioria</t>
    </r>
    <r>
      <rPr>
        <sz val="11"/>
        <rFont val="Aptos"/>
        <family val="2"/>
      </rPr>
      <t xml:space="preserve"> situados no intervalo [ - 2; + 2 ].</t>
    </r>
  </si>
  <si>
    <t>Variável independente</t>
  </si>
  <si>
    <t>Valor da variável</t>
  </si>
  <si>
    <t>Média dos valores observados</t>
  </si>
  <si>
    <t>Menor valor da amostra</t>
  </si>
  <si>
    <t>Maior valor da amostra</t>
  </si>
  <si>
    <t>Tamanho da amostra</t>
  </si>
  <si>
    <t>Parâmetros</t>
  </si>
  <si>
    <t>Amplitude do intervalo de confiança de 80% em torno da estimativa de tendência central</t>
  </si>
  <si>
    <t>≤30%</t>
  </si>
  <si>
    <t>≤ 40%</t>
  </si>
  <si>
    <t>≤ 50%</t>
  </si>
  <si>
    <t>Semiamplitude</t>
  </si>
  <si>
    <t>Grau de precisão</t>
  </si>
  <si>
    <t>A amplitude do intervalo de confiança de 80% em torno da estimativa de tendência central é inferior a 30%; portanto, o laudo se enquadra no grau de fundamentação III da NBR 14653-2:2011 (Item 9.2.3, tabela 5).</t>
  </si>
  <si>
    <t>A amplitude do intervalo de confiança de 80% em torno da estimativa de tendência central é inferior é superior a 30% e inferior a 40%; portanto, o laudo se enquadra no grau de fundamentação II da NBR 14653-2:2011 (Item 9.2.3, tabela 5).</t>
  </si>
  <si>
    <t>A amplitude do intervalo de confiança de 80% em torno da estimativa de tendência central é superior a 40% e inferior a 50%; portanto, o laudo se enquadra no grau de fundamentação I da NBR 14653-2:2011 (Item 9.2.3, tabela 5).</t>
  </si>
  <si>
    <t>A amplitude do intervalo de confiança de 80% em torno da estimativa de tendência central é superior a 50%; portanto, o laudo não se enquadra em nenhum dos graus de fundamentação previstos na NBR 14653-2:2011 (Item 9.2.3, tabela 5).</t>
  </si>
  <si>
    <t>Erro padrão da estimativa</t>
  </si>
  <si>
    <t>Intervalo de confiança</t>
  </si>
  <si>
    <t>Inferior</t>
  </si>
  <si>
    <t>Superior</t>
  </si>
  <si>
    <t>DEPENDENTE</t>
  </si>
  <si>
    <t>VARIÁVEIS INCLUÍDAS NO MODELO DE REGRESSÃO LINEAR MÚLTIPLA</t>
  </si>
  <si>
    <t>Coeficiente de variação</t>
  </si>
  <si>
    <t>Fontes:</t>
  </si>
  <si>
    <t>DANTAS, Rubens Alves. Engenharia de avaliações: uma introdução à metodologia científica. São Paulo: Pini, 1998.</t>
  </si>
  <si>
    <t>GUJARATI, Damodar N. Econometria básica. Tradução de Maria José Cyhlar Monteiro. Rio de Janeiro: Elsevier, 2006.</t>
  </si>
  <si>
    <t>Conclusão</t>
  </si>
  <si>
    <t>Nível de significância máximo</t>
  </si>
  <si>
    <t>Elementos da diagonal principal da matriz de projeção</t>
  </si>
  <si>
    <t>INDEPENDENTES</t>
  </si>
  <si>
    <t>Não atende às exigências mínimas previstas na NBR 14653-2:2011</t>
  </si>
  <si>
    <t>Tamanho mínimo da amostra</t>
  </si>
  <si>
    <t>Atende às exigências para o grau I da NBR 14653-2:2011</t>
  </si>
  <si>
    <t>Atende às exigências para o grau II da NBR 14653-2:2011</t>
  </si>
  <si>
    <t>Atende às exigências para o grau III da NBR 14653-2:2011</t>
  </si>
  <si>
    <t>RESUMO DOS RESULTADOS</t>
  </si>
  <si>
    <t>PRESSUPOSTO DE VALIDADE</t>
  </si>
  <si>
    <t>ATINGIDO</t>
  </si>
  <si>
    <t>CONCLUSÃO</t>
  </si>
  <si>
    <t>Grau de precisão alcançado</t>
  </si>
  <si>
    <t>Resíduo padronizado</t>
  </si>
  <si>
    <t>Resíduo studentizado</t>
  </si>
  <si>
    <t>Distância de Mahalanobis</t>
  </si>
  <si>
    <t>LAPPONI, Juan Carlos. Estatística usando Excel. 4. ed. revista e atualizada.  Rio de Janeiro: Elsevier, 2005.</t>
  </si>
  <si>
    <t>Distância de Cook</t>
  </si>
  <si>
    <t>Influência de cada elemento sobre os resultados da regressão</t>
  </si>
  <si>
    <t>Valor observado</t>
  </si>
  <si>
    <t>Nível de significância máximo para a rejeição da hipótese nula do modelo</t>
  </si>
  <si>
    <t>Nível de significância máximo para a rejeição da hipótese nula do coeficiente regressor (variável independente x_2)</t>
  </si>
  <si>
    <t>Nível de significância máximo para a rejeição da hipótese nula do coeficiente regressor (variável independente x_3)</t>
  </si>
  <si>
    <t>Tamanho da amostra (n)</t>
  </si>
  <si>
    <t>A verificação da homoscedasticidade pode ser feita, entre outros, por meio dos seguintes processos: a) análise gráfica dos resíduos versus valores ajustados, que devem apresentar pontos dispostos aleatoriamente, sem nenhum padrão definido.</t>
  </si>
  <si>
    <r>
      <t xml:space="preserve">NBR 14653-2:2011. Avaliação de bens. Parte 2: Imóveis urbanos.
</t>
    </r>
    <r>
      <rPr>
        <b/>
        <sz val="11"/>
        <rFont val="Aptos"/>
        <family val="2"/>
      </rPr>
      <t>8.2.1.4.1 Preliminares</t>
    </r>
    <r>
      <rPr>
        <sz val="11"/>
        <rFont val="Aptos"/>
        <family val="2"/>
      </rPr>
      <t xml:space="preserve">
Deve-se levar em conta que qualquer modelo é uma representação simplificada do mercado, uma vez que não considera todas as suas informações. Por isso, precisam ser tomados cuidados científicos na sua elaboração, desde a preparação da pesquisa e o trabalho de campo, até o exame final dos resultados.
O poder de predição do modelo deve ser verificado a partir do gráfico de preços observados na abscissa versus valores estimados pelo modelo na ordenada, que deve apresentar pontos próximos da bissetriz do primeiro quadrante.</t>
    </r>
  </si>
  <si>
    <t>Resíduo relativo</t>
  </si>
  <si>
    <t>a estimativa será alterada em:</t>
  </si>
  <si>
    <t>Soma total dos resíduos elevados ao quadrado (SQT = SQR + SQE):</t>
  </si>
  <si>
    <t>R² ajustado</t>
  </si>
  <si>
    <t>CASELLA, George; BERGER, Roger Lee. Inferência estatística. Tradução de Solange Aparecida Visconte. São Paulo: Cengage Learning, 2018.</t>
  </si>
  <si>
    <t>CHARNET, Reinaldo; FREIRE, Clarice Azevedo de Luna; CHARNET, Eugênia Maria Reginato; BONVINO, Heloísa.  Análise de modelos de regressão linear: com aplicações. 2. ed. Campinas,SP: Editora da Unicamp, 2008.</t>
  </si>
  <si>
    <t>LATTIN, James; CARROLL, John Douglas; GREEN, Paul Edgar. Análise de dados multivariados. Tradução de Harue Avritscher. São Paulo: Cengage Learning, 2011.</t>
  </si>
  <si>
    <t>NASSER JÚNIOR, Radegaz. Avaliação de bens: princípios básicos e aplicações. São Paulo: Editora Leud, 2019.</t>
  </si>
  <si>
    <t>PINDYCK, Robert Stephen; RUBINFELD, Daniel Lee. Econometria: modelos e previsões. Rio de Janeiro: Elsevier, 2004.</t>
  </si>
  <si>
    <t>Situação do imóvel no mercado</t>
  </si>
  <si>
    <t>Fator de oferta aplicável</t>
  </si>
  <si>
    <t>Fonte</t>
  </si>
  <si>
    <t>Fontes</t>
  </si>
  <si>
    <t>Aplicabilidade do fator de oferta</t>
  </si>
  <si>
    <t>MM Imóveis</t>
  </si>
  <si>
    <t>Fator aplicável</t>
  </si>
  <si>
    <t>Imóveis Braga</t>
  </si>
  <si>
    <t>Negociação concluída</t>
  </si>
  <si>
    <t>Habit Imóveis</t>
  </si>
  <si>
    <t>Imóvel à venda</t>
  </si>
  <si>
    <t>Torrieri Imobiliária</t>
  </si>
  <si>
    <t>Imobiliária Parceria</t>
  </si>
  <si>
    <t>Plaza Imóveis</t>
  </si>
  <si>
    <t>ANDERSON, David Ray; SWEENEY, Dennis James; WILLIAMS, Thomas Arthur. Statistics for business and economics. 7. ed. Cincinatti (Ohio): South-Western College Publishing, 1999.</t>
  </si>
  <si>
    <t>WOOLDRIDGE, Jeffrey Marc. Introdução à econometria: uma abordagem moderna. Tradução da 6ª edição norte-americana. Tradução de Priscilla Rodrigues da Silva Lopes e Lívia Marina Koeppl. São Paulo: Cengage Learning, 2022.</t>
  </si>
  <si>
    <t>PREVISTO</t>
  </si>
  <si>
    <t>OBSERVADO</t>
  </si>
  <si>
    <t>MÉDIA OBSERVADO</t>
  </si>
  <si>
    <t>SQ RESÍDUOS</t>
  </si>
  <si>
    <t>SQ TOTAL</t>
  </si>
  <si>
    <t>SQ RES</t>
  </si>
  <si>
    <t>SQ REG (EXP.)</t>
  </si>
  <si>
    <t>Variável dependente</t>
  </si>
  <si>
    <t>SQ REGRESSÃO</t>
  </si>
  <si>
    <t>FIV</t>
  </si>
  <si>
    <t>Entre as variáveis independentes, deve ser atribuída especial atenção às correlações superiores a 80% (oitenta por cento), conforme item A.2.1.5.1 da NBR 14653-2:2011. Avaliação de bens. Parte 2: Imóveis urbanos. Porém, ainda que assim não fosse, o imóvel avaliando segue os padrões estruturais do modelo; portanto a existência de multicolinearidade não invalida o modelo (A.2.1.5.4 da NBR 14653-2:2011. Avaliação de bens. Parte 2: Imóveis urbanos).</t>
  </si>
  <si>
    <t>- - -</t>
  </si>
  <si>
    <t>Constante</t>
  </si>
  <si>
    <t>Previsto</t>
  </si>
  <si>
    <t>Fator de inflação de variância</t>
  </si>
  <si>
    <t>ESTIMATIVA</t>
  </si>
  <si>
    <t>RAIZ</t>
  </si>
  <si>
    <t>TESTE DE KOENKER-BASSETT</t>
  </si>
  <si>
    <t>RESÍDUO</t>
  </si>
  <si>
    <t>Erro padrão CR</t>
  </si>
  <si>
    <t>A partir da análise do gráfico acima, não se verifica padrão de dispersão dos resíduos contra os valores ajustados.</t>
  </si>
  <si>
    <t>Nível de correlação</t>
  </si>
  <si>
    <t>Portanto, rejeita-se a hipótese de heteroscedasticidade, afirmando-se, por consequência que os resíduos são homoscedásticos.</t>
  </si>
  <si>
    <t>TESTE DE DURBIN-WATSON</t>
  </si>
  <si>
    <t>d</t>
  </si>
  <si>
    <t>Estatística d</t>
  </si>
  <si>
    <t>RESÍDUO DO ITEM ANTERIOR</t>
  </si>
  <si>
    <t>DIFERENÇA</t>
  </si>
  <si>
    <t>DIF. AO QUADRADO</t>
  </si>
  <si>
    <t>RES. AO QUADRADO</t>
  </si>
  <si>
    <t>Soma dos resíduos elevados ao quadrado SQR (não explicados):</t>
  </si>
  <si>
    <t>Bissetriz do primeiro quadrante</t>
  </si>
  <si>
    <t>ANÁLISE DE PONTOS ATÍPICOS: "OUTLIERS"  - PONTOS INFLUENCIANTES - DISTÂNCIA DOS ELEMENTOS  ATÉ O CENTRÓIDE</t>
  </si>
  <si>
    <t>CPI</t>
  </si>
  <si>
    <t>MAHALAN. DIST.</t>
  </si>
  <si>
    <t>A autocorrelação é relevante apenas quando os dados coletados não são contemporâneos, ou seja, quando a amostra representa um corte longitudinal da população sob estudo. Caso eles tenham sido coletados em datas diferentes; diante dessa situação, é possível, mas não necessariamente, que a série temporal tenha causado influência sobre a distribuição dos resíduos. 
Nesta avaliação, a amostra representa um corte transversal da população. Portanto, torna-se irrelevante a presença de eventual autocorrelação.</t>
  </si>
  <si>
    <t>N</t>
  </si>
  <si>
    <t>K</t>
  </si>
  <si>
    <t>P</t>
  </si>
  <si>
    <t>GL</t>
  </si>
  <si>
    <t>SOMA QUAD</t>
  </si>
  <si>
    <t>QUAD MÉDIO</t>
  </si>
  <si>
    <t>ERRO PADRÃO</t>
  </si>
  <si>
    <t>RES NORM DEL</t>
  </si>
  <si>
    <t>RES STUD DEL</t>
  </si>
  <si>
    <t>Elementos</t>
  </si>
  <si>
    <t>Resíduo studentizado deletado</t>
  </si>
  <si>
    <t>Contato</t>
  </si>
  <si>
    <t>Tipo de consulta</t>
  </si>
  <si>
    <t>Dada da coleta dos dados</t>
  </si>
  <si>
    <t>O nível de significância ultrapassou o limite de 10% (dez por cento) previsto no item A.3.1 da NBR 14653-2:2011 (Avaliação de bens. Parte 2: Imóveis urbanos).</t>
  </si>
  <si>
    <t>Resíduo padronizado
[-2;+2]</t>
  </si>
  <si>
    <t>R PREDIÇÃO</t>
  </si>
  <si>
    <t>Grau de predição</t>
  </si>
  <si>
    <r>
      <rPr>
        <b/>
        <sz val="11"/>
        <rFont val="Aptos"/>
        <family val="2"/>
      </rPr>
      <t xml:space="preserve">A.2.1.4 Verificação da autocorrelação
</t>
    </r>
    <r>
      <rPr>
        <sz val="11"/>
        <rFont val="Aptos"/>
        <family val="2"/>
      </rPr>
      <t>O exame da autocorrelação deve ser precedido pelo pré-ordenamento dos elementos amostrais, em relação aos valores ajustados e, se for o caso, às variáveis independentes possivelmente causadoras do problema.
Sua verificação pode ser feita, entre outros procedimentos, pela análise do gráfico dos resíduos cotejados com os valores ajustados, que deve apresentar pontos dispersos aleatoriamente, sem nenhum padrão definido.</t>
    </r>
  </si>
  <si>
    <t>GRAU DE PRECISÃO</t>
  </si>
  <si>
    <t>GRAU DE PREDIÇÃO</t>
  </si>
  <si>
    <t>Nos termos do item A.10.1 da NBR 14653-2:2011, a avaliação intervalar, prevista em 7.7.1 b) da ABNT NBR 14653-1:2001, tem como objetivo estabelecer, quando solicitado, um intervalo de valores admissíveis em torno da estimativa de tendência central. Quando for adotada a estimativa de tendência central, o intervalo de valores admissíveis deve estar limitado simultaneamente : a) ao intervalo de predição ou ao intervalo de confiança de 80% para a estimativa de tendência central; e b) ao campo de arbítrio no intervalo [-15%;+15%]. Observe-se que a primeira parte 1 da NBR 14653 foi atualizada em 2019. Atualmente, o conceito de intervalo de valores admissíveis se encontra no item 6.8.2 da NBR 14653-1:2019 (Avaliação de bens. Parte 1: Procedimentos gerais).</t>
  </si>
  <si>
    <t>Imóvel avaliando</t>
  </si>
  <si>
    <t>Grau de fundamentação I</t>
  </si>
  <si>
    <t>Grau de fundamentação II</t>
  </si>
  <si>
    <t>Grau de fundamentação III</t>
  </si>
  <si>
    <t>Número de casas decimais</t>
  </si>
  <si>
    <t>Avaliação</t>
  </si>
  <si>
    <t>Explicação sobre o modelo adotado para se fazer a estimativa. Essa equação da regressão informa que, a cada alteração em uma unidade na variável independente:</t>
  </si>
  <si>
    <t>NÍVEL DE SIGNIFICÂNCIA MÁXIMO ADMITIDO PARA A REJEIÇÃO DA HIPÓTESE NULA DO MODELO</t>
  </si>
  <si>
    <t>NÍVEL DE SIGNIFICÂNCIA MÁXIMO ADMITIDO PARA A REJEIÇÃO DA HIPÓTESE NULA DOS COEFICIENTES REGRESSORES</t>
  </si>
  <si>
    <t>ANÁLISE DE PONTOS INFLUENCIANTES</t>
  </si>
  <si>
    <t>ANÁLISE DE OUTLIERS</t>
  </si>
  <si>
    <t>ADERÊNCIA DOS VALORES ESTIMADOS AOS VALORES OBSERVADOS</t>
  </si>
  <si>
    <t>AUTOCORRELAÇÃO</t>
  </si>
  <si>
    <t>LIMITES DE EXTRAPOLAÇÃO PARA A VARIÁVEL DEPENDENTE</t>
  </si>
  <si>
    <t>INTERVALO DE CONFIANÇA. GRAU DE PRECISÃO. GRAU DE PRECISÃO. VALORES ADMISSÍVEIS. CAMPO DE ARBÍTRIO.</t>
  </si>
  <si>
    <t>TESTE t DAS CORRELAÇÕES PARCIAIS ISOLADAS</t>
  </si>
  <si>
    <t>RESÍDUOS</t>
  </si>
  <si>
    <t>ANÁLISE DOS RESÍDUOS DA REGRESSÃO LINEAR</t>
  </si>
  <si>
    <t>Valor observado no mercado</t>
  </si>
  <si>
    <t>Valor estimado</t>
  </si>
  <si>
    <t>LIMITES DE EXTRAPOLAÇÃO PARA AS VARIÁVEIS INDEPENDENTES</t>
  </si>
  <si>
    <t>r (coeficiente de correlação)</t>
  </si>
  <si>
    <t>Ponto médio</t>
  </si>
  <si>
    <t>R² (coeficiente de determinação)</t>
  </si>
  <si>
    <t xml:space="preserve">Variável </t>
  </si>
  <si>
    <t>Ponto t calculado (em modulo)</t>
  </si>
  <si>
    <t>Resultado do teste</t>
  </si>
  <si>
    <t>Nível de confiança</t>
  </si>
  <si>
    <t>Campo de arbítrio</t>
  </si>
  <si>
    <t>Resultados do teste estatístico de Koenker-Basset.</t>
  </si>
  <si>
    <t>SQ E</t>
  </si>
  <si>
    <t>SQ R</t>
  </si>
  <si>
    <t>SQ T</t>
  </si>
  <si>
    <t>INDEPENDENTE</t>
  </si>
  <si>
    <t>SQ EXPLICADOS</t>
  </si>
  <si>
    <t>SQ TOTAIS</t>
  </si>
  <si>
    <t>CONSTANTE</t>
  </si>
  <si>
    <t>T</t>
  </si>
  <si>
    <t>Resíduo padronizado deletado</t>
  </si>
  <si>
    <t>RESÍDUO PADRONIZADO, STUDENTIZADO, RESÍDUOS DELETADOS, RESÍDUO AJUSTADO AOS GRAUS DE LIBERDADE, E RESÍDUO RELATIVO</t>
  </si>
  <si>
    <t>AVALIAÇÃO E ARREDONDAMENTO</t>
  </si>
  <si>
    <t>HOMOSCEDASTICIDADE</t>
  </si>
  <si>
    <t>unidades.</t>
  </si>
  <si>
    <r>
      <t>Ponto t</t>
    </r>
    <r>
      <rPr>
        <vertAlign val="subscript"/>
        <sz val="11"/>
        <rFont val="Aptos"/>
        <family val="2"/>
      </rPr>
      <t>crítico</t>
    </r>
  </si>
  <si>
    <r>
      <t>t</t>
    </r>
    <r>
      <rPr>
        <vertAlign val="subscript"/>
        <sz val="11"/>
        <rFont val="Aptos"/>
        <family val="2"/>
      </rPr>
      <t>crítico</t>
    </r>
  </si>
  <si>
    <t>Medida</t>
  </si>
  <si>
    <t>Fator de inflação da variância</t>
  </si>
  <si>
    <t>Tolerância</t>
  </si>
  <si>
    <t>Fator limite</t>
  </si>
  <si>
    <r>
      <t>Ponto t</t>
    </r>
    <r>
      <rPr>
        <vertAlign val="subscript"/>
        <sz val="11"/>
        <rFont val="Aptos"/>
        <family val="2"/>
      </rPr>
      <t>crítico</t>
    </r>
    <r>
      <rPr>
        <sz val="11"/>
        <rFont val="Aptos"/>
        <family val="2"/>
      </rPr>
      <t xml:space="preserve"> em módulo</t>
    </r>
  </si>
  <si>
    <t>Intervalo de valores admissíveis</t>
  </si>
  <si>
    <t>ESTIMATIVA SIMPLIFICADA E LIMITES DE EXTRAPOLAÇÃO DA VARIÁVEL DEPENDENTE</t>
  </si>
  <si>
    <t>ATRIBUTOS DO BEM AVALIANDO E LIMITES DE EXTRAPOLAÇÃO DA VARIÁVEL INDEPENDENTE</t>
  </si>
  <si>
    <t>CORRELAÇÕES PARCIAIS ISOLADAS</t>
  </si>
  <si>
    <t>Variáveis independente (k)</t>
  </si>
  <si>
    <t>Coeficiente de correlação crítico</t>
  </si>
  <si>
    <t>Nível de significância do modelo</t>
  </si>
  <si>
    <t>Ponto percentual crítico</t>
  </si>
  <si>
    <t>Ponto percentual alcançado</t>
  </si>
  <si>
    <t>COEFICIENTES REGRESSORES</t>
  </si>
  <si>
    <t>Os resultados do teste de Durbin-Watson foram:</t>
  </si>
  <si>
    <r>
      <t>d</t>
    </r>
    <r>
      <rPr>
        <vertAlign val="subscript"/>
        <sz val="11"/>
        <rFont val="Aptos"/>
        <family val="2"/>
      </rPr>
      <t>l</t>
    </r>
  </si>
  <si>
    <r>
      <t>d</t>
    </r>
    <r>
      <rPr>
        <vertAlign val="subscript"/>
        <sz val="11"/>
        <rFont val="Aptos"/>
        <family val="2"/>
      </rPr>
      <t>u</t>
    </r>
  </si>
  <si>
    <r>
      <t>4 - d</t>
    </r>
    <r>
      <rPr>
        <vertAlign val="subscript"/>
        <sz val="11"/>
        <rFont val="Aptos"/>
        <family val="2"/>
      </rPr>
      <t>u</t>
    </r>
  </si>
  <si>
    <r>
      <t>4 - d</t>
    </r>
    <r>
      <rPr>
        <vertAlign val="subscript"/>
        <sz val="11"/>
        <rFont val="Aptos"/>
        <family val="2"/>
      </rPr>
      <t>l</t>
    </r>
  </si>
  <si>
    <t>Conclusão do teste</t>
  </si>
  <si>
    <t>RESULTADOS DO TESTE DE DURBIN-WATSON</t>
  </si>
  <si>
    <t>existe autocorrelação positiva</t>
  </si>
  <si>
    <t>inconclusivo</t>
  </si>
  <si>
    <t>não existe autocorrelação</t>
  </si>
  <si>
    <t>existe autocorrelação negativa</t>
  </si>
  <si>
    <t>Nível de significância máximo para a rejeição da hipótese nula do coeficiente regressor da variável independente</t>
  </si>
  <si>
    <t>Os resíduos padronizados apresentados no resultados da regressão feita pelo Microsoft Excel® estão ajustados aos graus de liberdade.</t>
  </si>
  <si>
    <t>Resíduo padronizado ajustado aos graus de liberdade</t>
  </si>
  <si>
    <t>A distância de Cook corresponde à variação máxima sofrida pelos coeficientes do modelo quando se retira o elemento da amostra. Encontramos na doutrina especializada na área de econometria (Anderson; Sweeney; Williams, 1999, p. 661), orientação de ordem prática no sentido de que sejam analisados com especial atenção aqueles elementos cujo resultado da estatística de Cook sejam maiores do que 1 (um).</t>
  </si>
  <si>
    <t>Soma dos resíduos elevados ao quadrado SQE (explicados pela regressão):</t>
  </si>
  <si>
    <t>Nesta pasta de trabalho, foram utilizadas as abreviações recomendadas por Wooldridge (2022, p. 39).</t>
  </si>
  <si>
    <t>DESTAQUE1</t>
  </si>
  <si>
    <t>DESTAQUE2</t>
  </si>
  <si>
    <t>DESTAQUE3</t>
  </si>
  <si>
    <t>DESTAQUE4</t>
  </si>
  <si>
    <t>DESTAQUE5</t>
  </si>
  <si>
    <t>CORRELAÇÕES PARCIAIS COM INFLUÊNCIA, E FATOR DE INFLAÇÃO DA VARIÂNCIA</t>
  </si>
  <si>
    <t>A distância de Mahalanobis indica o quanto um ponto ou um dado se afasta da média da amostra ou centróide no espaço das variáveis independentes utilizadas no ajuste de um modelo de regressão linear múltipla.</t>
  </si>
  <si>
    <t>Área do terreno</t>
  </si>
  <si>
    <t>Área edificada</t>
  </si>
  <si>
    <t>Quartos</t>
  </si>
  <si>
    <t>Limites de extrapolação</t>
  </si>
  <si>
    <t>Valores observados e limites</t>
  </si>
  <si>
    <t>Distância de Mahalanobis D²</t>
  </si>
  <si>
    <t>Os gráficos apresentados do lado esquerdo demonstram visualmente que a distância de Mahalanobis não é equivalente aos valores da diagonal principal da matriz de projeção. Os gráficos apenas aparentam ser semelhantes; entretanto, os valores são diferentes e possuem fontes diversas uns dos outros.</t>
  </si>
  <si>
    <r>
      <t>R</t>
    </r>
    <r>
      <rPr>
        <b/>
        <vertAlign val="superscript"/>
        <sz val="11"/>
        <color theme="0"/>
        <rFont val="Aptos"/>
        <family val="2"/>
      </rPr>
      <t>2</t>
    </r>
  </si>
  <si>
    <r>
      <t>R</t>
    </r>
    <r>
      <rPr>
        <b/>
        <vertAlign val="superscript"/>
        <sz val="11"/>
        <color theme="0"/>
        <rFont val="Aptos"/>
        <family val="2"/>
      </rPr>
      <t>2</t>
    </r>
    <r>
      <rPr>
        <b/>
        <sz val="11"/>
        <color theme="0"/>
        <rFont val="Aptos"/>
        <family val="2"/>
      </rPr>
      <t xml:space="preserve"> ajustado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</si>
</sst>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0.00_ ;[Red]\-#,##0.00\ "/>
    <numFmt numFmtId="165" formatCode="#,##0.00_ ;\-#,##0.00\ "/>
    <numFmt numFmtId="166" formatCode="#,##0_ ;\-#,##0\ "/>
    <numFmt numFmtId="167" formatCode="#,##0.000000_ ;\-#,##0.000000\ "/>
    <numFmt numFmtId="168" formatCode="#,##0.000000000_ ;\-#,##0.000000000\ "/>
    <numFmt numFmtId="169" formatCode="#,##0.0000_ ;\-#,##0.0000\ "/>
    <numFmt numFmtId="170" formatCode="#,##0.00000_ ;\-#,##0.00000\ "/>
    <numFmt numFmtId="171" formatCode="#,##0.000_ ;\-#,##0.000\ "/>
    <numFmt numFmtId="172" formatCode="0.0000000%"/>
    <numFmt numFmtId="173" formatCode="#,##0_ ;[Red]\-#,##0\ "/>
    <numFmt numFmtId="174" formatCode="_-* #,##0.0000_-;\-* #,##0.0000_-;_-* &quot;-&quot;??_-;_-@_-"/>
    <numFmt numFmtId="175" formatCode="#,##0.0000000_ ;\-#,##0.0000000\ "/>
    <numFmt numFmtId="176" formatCode="0.000000"/>
    <numFmt numFmtId="177" formatCode="0.000000000"/>
    <numFmt numFmtId="178" formatCode="0.000000000000"/>
    <numFmt numFmtId="179" formatCode="#,##0.000000000000_ ;\-#,##0.000000000000\ "/>
    <numFmt numFmtId="180" formatCode="0.000000%"/>
  </numFmts>
  <fonts count="14" x14ac:knownFonts="1">
    <font>
      <sz val="11"/>
      <color theme="1"/>
      <name val="Aptos"/>
      <family val="2"/>
    </font>
    <font>
      <sz val="11"/>
      <color theme="1"/>
      <name val="Aptos"/>
      <family val="2"/>
    </font>
    <font>
      <sz val="11"/>
      <name val="Aptos"/>
      <family val="2"/>
    </font>
    <font>
      <b/>
      <sz val="11"/>
      <name val="Aptos"/>
      <family val="2"/>
    </font>
    <font>
      <vertAlign val="subscript"/>
      <sz val="11"/>
      <name val="Aptos"/>
      <family val="2"/>
    </font>
    <font>
      <sz val="11"/>
      <name val="Aptos Display"/>
      <family val="2"/>
    </font>
    <font>
      <sz val="11"/>
      <name val="Arial Nova"/>
      <family val="2"/>
    </font>
    <font>
      <sz val="11"/>
      <color theme="0"/>
      <name val="Aptos"/>
      <family val="2"/>
    </font>
    <font>
      <b/>
      <sz val="11"/>
      <color theme="0"/>
      <name val="Aptos"/>
      <family val="2"/>
    </font>
    <font>
      <sz val="11"/>
      <color rgb="FF000000"/>
      <name val="Aptos"/>
      <family val="2"/>
    </font>
    <font>
      <sz val="11"/>
      <color theme="0"/>
      <name val="Arial Nova"/>
      <family val="2"/>
    </font>
    <font>
      <sz val="11"/>
      <color theme="0"/>
      <name val="Aptos Display"/>
      <family val="2"/>
    </font>
    <font>
      <sz val="10"/>
      <color theme="0"/>
      <name val="Aptos"/>
      <family val="2"/>
    </font>
    <font>
      <b/>
      <vertAlign val="superscript"/>
      <sz val="11"/>
      <color theme="0"/>
      <name val="Aptos"/>
      <family val="2"/>
    </font>
  </fonts>
  <fills count="5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026842"/>
        <bgColor indexed="64"/>
      </patternFill>
    </fill>
    <fill>
      <patternFill patternType="solid">
        <fgColor theme="9"/>
      </patternFill>
    </fill>
    <fill>
      <patternFill patternType="solid">
        <fgColor theme="9" tint="0.59999389629810485"/>
        <bgColor indexed="65"/>
      </patternFill>
    </fill>
    <fill>
      <patternFill patternType="solid">
        <fgColor rgb="FF3D805E"/>
        <bgColor indexed="64"/>
      </patternFill>
    </fill>
    <fill>
      <patternFill patternType="solid">
        <fgColor rgb="FF64997C"/>
        <bgColor indexed="64"/>
      </patternFill>
    </fill>
    <fill>
      <patternFill patternType="solid">
        <fgColor rgb="FF8BB29B"/>
        <bgColor indexed="64"/>
      </patternFill>
    </fill>
    <fill>
      <patternFill patternType="solid">
        <fgColor rgb="FFB1CBBC"/>
        <bgColor indexed="64"/>
      </patternFill>
    </fill>
    <fill>
      <patternFill patternType="solid">
        <fgColor rgb="FF174C4C"/>
        <bgColor indexed="64"/>
      </patternFill>
    </fill>
    <fill>
      <patternFill patternType="solid">
        <fgColor rgb="FF165B5B"/>
        <bgColor indexed="64"/>
      </patternFill>
    </fill>
    <fill>
      <patternFill patternType="solid">
        <fgColor rgb="FF427574"/>
        <bgColor indexed="64"/>
      </patternFill>
    </fill>
    <fill>
      <patternFill patternType="solid">
        <fgColor rgb="FF688F8E"/>
        <bgColor indexed="64"/>
      </patternFill>
    </fill>
    <fill>
      <patternFill patternType="solid">
        <fgColor rgb="FF8CAAA9"/>
        <bgColor indexed="64"/>
      </patternFill>
    </fill>
    <fill>
      <patternFill patternType="solid">
        <fgColor rgb="FF000000"/>
        <bgColor indexed="64"/>
      </patternFill>
    </fill>
    <fill>
      <patternFill patternType="solid">
        <fgColor rgb="FF292929"/>
        <bgColor indexed="64"/>
      </patternFill>
    </fill>
    <fill>
      <patternFill patternType="solid">
        <fgColor rgb="FF4E4E4E"/>
        <bgColor indexed="64"/>
      </patternFill>
    </fill>
    <fill>
      <patternFill patternType="solid">
        <fgColor rgb="FF777777"/>
        <bgColor indexed="64"/>
      </patternFill>
    </fill>
    <fill>
      <patternFill patternType="solid">
        <fgColor rgb="FFA2A2A2"/>
        <bgColor indexed="64"/>
      </patternFill>
    </fill>
    <fill>
      <patternFill patternType="solid">
        <fgColor rgb="FFD0D0D0"/>
        <bgColor indexed="64"/>
      </patternFill>
    </fill>
    <fill>
      <patternFill patternType="solid">
        <fgColor rgb="FFF5FAFF"/>
        <bgColor indexed="64"/>
      </patternFill>
    </fill>
    <fill>
      <patternFill patternType="solid">
        <fgColor rgb="FFFFED00"/>
        <bgColor indexed="64"/>
      </patternFill>
    </fill>
    <fill>
      <patternFill patternType="solid">
        <fgColor rgb="FFFFF04F"/>
        <bgColor indexed="64"/>
      </patternFill>
    </fill>
    <fill>
      <patternFill patternType="solid">
        <fgColor rgb="FFFFF277"/>
        <bgColor indexed="64"/>
      </patternFill>
    </fill>
    <fill>
      <patternFill patternType="solid">
        <fgColor rgb="FFFFF59B"/>
        <bgColor indexed="64"/>
      </patternFill>
    </fill>
    <fill>
      <patternFill patternType="solid">
        <fgColor rgb="FFFFF8BD"/>
        <bgColor indexed="64"/>
      </patternFill>
    </fill>
    <fill>
      <patternFill patternType="solid">
        <fgColor rgb="FF2A356A"/>
        <bgColor indexed="64"/>
      </patternFill>
    </fill>
    <fill>
      <patternFill patternType="solid">
        <fgColor rgb="FF3D7882"/>
        <bgColor indexed="64"/>
      </patternFill>
    </fill>
    <fill>
      <patternFill patternType="solid">
        <fgColor rgb="FF4998A5"/>
        <bgColor indexed="64"/>
      </patternFill>
    </fill>
    <fill>
      <patternFill patternType="solid">
        <fgColor rgb="FF56BACA"/>
        <bgColor indexed="64"/>
      </patternFill>
    </fill>
    <fill>
      <patternFill patternType="solid">
        <fgColor rgb="FF78C5D3"/>
        <bgColor indexed="64"/>
      </patternFill>
    </fill>
    <fill>
      <patternFill patternType="solid">
        <fgColor rgb="FF96D1DB"/>
        <bgColor indexed="64"/>
      </patternFill>
    </fill>
    <fill>
      <patternFill patternType="solid">
        <fgColor rgb="FF293126"/>
        <bgColor indexed="64"/>
      </patternFill>
    </fill>
    <fill>
      <patternFill patternType="solid">
        <fgColor rgb="FF3B4836"/>
        <bgColor indexed="64"/>
      </patternFill>
    </fill>
    <fill>
      <patternFill patternType="solid">
        <fgColor rgb="FF4D6047"/>
        <bgColor indexed="64"/>
      </patternFill>
    </fill>
    <fill>
      <patternFill patternType="solid">
        <fgColor rgb="FF617A59"/>
        <bgColor indexed="64"/>
      </patternFill>
    </fill>
    <fill>
      <patternFill patternType="solid">
        <fgColor rgb="FF75946B"/>
        <bgColor indexed="64"/>
      </patternFill>
    </fill>
    <fill>
      <patternFill patternType="solid">
        <fgColor rgb="FF8BA582"/>
        <bgColor indexed="64"/>
      </patternFill>
    </fill>
    <fill>
      <patternFill patternType="solid">
        <fgColor rgb="FFA2B79A"/>
        <bgColor indexed="64"/>
      </patternFill>
    </fill>
    <fill>
      <patternFill patternType="solid">
        <fgColor rgb="FF21372B"/>
        <bgColor indexed="64"/>
      </patternFill>
    </fill>
    <fill>
      <patternFill patternType="solid">
        <fgColor rgb="FF294837"/>
        <bgColor indexed="64"/>
      </patternFill>
    </fill>
    <fill>
      <patternFill patternType="solid">
        <fgColor rgb="FF325A45"/>
        <bgColor indexed="64"/>
      </patternFill>
    </fill>
    <fill>
      <patternFill patternType="solid">
        <fgColor rgb="FF3A6D52"/>
        <bgColor indexed="64"/>
      </patternFill>
    </fill>
    <fill>
      <patternFill patternType="solid">
        <fgColor rgb="FF5A846C"/>
        <bgColor indexed="64"/>
      </patternFill>
    </fill>
    <fill>
      <patternFill patternType="solid">
        <fgColor rgb="FF3C4236"/>
        <bgColor indexed="64"/>
      </patternFill>
    </fill>
    <fill>
      <patternFill patternType="solid">
        <fgColor rgb="FF4F5847"/>
        <bgColor indexed="64"/>
      </patternFill>
    </fill>
    <fill>
      <patternFill patternType="solid">
        <fgColor rgb="FF636E59"/>
        <bgColor indexed="64"/>
      </patternFill>
    </fill>
    <fill>
      <patternFill patternType="solid">
        <fgColor rgb="FF8D9982"/>
        <bgColor indexed="64"/>
      </patternFill>
    </fill>
    <fill>
      <patternFill patternType="solid">
        <fgColor rgb="FFB9C1B2"/>
        <bgColor indexed="64"/>
      </patternFill>
    </fill>
    <fill>
      <patternFill patternType="solid">
        <fgColor rgb="FF13293B"/>
        <bgColor indexed="64"/>
      </patternFill>
    </fill>
    <fill>
      <patternFill patternType="solid">
        <fgColor rgb="FF12354F"/>
        <bgColor indexed="64"/>
      </patternFill>
    </fill>
    <fill>
      <patternFill patternType="solid">
        <fgColor rgb="FF054F77"/>
        <bgColor indexed="64"/>
      </patternFill>
    </fill>
    <fill>
      <patternFill patternType="solid">
        <fgColor rgb="FF40698D"/>
        <bgColor indexed="64"/>
      </patternFill>
    </fill>
    <fill>
      <patternFill patternType="solid">
        <fgColor rgb="FF8DA2B9"/>
        <bgColor indexed="64"/>
      </patternFill>
    </fill>
  </fills>
  <borders count="13">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0">
    <xf numFmtId="165" fontId="0" fillId="0" borderId="0">
      <alignment vertical="center"/>
      <protection hidden="1"/>
    </xf>
    <xf numFmtId="9" fontId="1" fillId="0" borderId="0" applyFont="0" applyFill="0" applyBorder="0" applyAlignment="0" applyProtection="0"/>
    <xf numFmtId="43" fontId="1" fillId="0" borderId="0" applyFont="0" applyFill="0" applyBorder="0" applyAlignment="0" applyProtection="0"/>
    <xf numFmtId="164" fontId="7" fillId="8" borderId="0">
      <alignment horizontal="justify" vertical="center" wrapText="1"/>
      <protection locked="0" hidden="1"/>
    </xf>
    <xf numFmtId="165" fontId="2" fillId="9" borderId="0">
      <alignment horizontal="left" vertical="center"/>
      <protection locked="0" hidden="1"/>
    </xf>
    <xf numFmtId="165" fontId="2" fillId="10" borderId="0">
      <alignment horizontal="center" vertical="center" wrapText="1"/>
      <protection hidden="1"/>
    </xf>
    <xf numFmtId="164" fontId="7" fillId="7" borderId="0">
      <alignment horizontal="justify" vertical="center" wrapText="1"/>
      <protection hidden="1"/>
    </xf>
    <xf numFmtId="164" fontId="7" fillId="4" borderId="0">
      <alignment horizontal="justify" vertical="center" wrapText="1"/>
      <protection hidden="1"/>
    </xf>
    <xf numFmtId="164" fontId="7" fillId="5" borderId="0">
      <protection hidden="1"/>
    </xf>
    <xf numFmtId="165" fontId="1" fillId="6" borderId="0" applyBorder="0" applyProtection="0">
      <alignment vertical="center"/>
    </xf>
    <xf numFmtId="164" fontId="7" fillId="11" borderId="0">
      <alignment horizontal="justify" vertical="center" wrapText="1"/>
      <protection hidden="1"/>
    </xf>
    <xf numFmtId="164" fontId="7" fillId="12" borderId="0">
      <alignment horizontal="justify" vertical="center" wrapText="1"/>
      <protection hidden="1"/>
    </xf>
    <xf numFmtId="164" fontId="7" fillId="13" borderId="0">
      <alignment horizontal="justify" vertical="center" wrapText="1"/>
      <protection locked="0" hidden="1"/>
    </xf>
    <xf numFmtId="165" fontId="2" fillId="14" borderId="0">
      <alignment horizontal="left" vertical="center"/>
      <protection locked="0" hidden="1"/>
    </xf>
    <xf numFmtId="165" fontId="2" fillId="15" borderId="0">
      <alignment horizontal="left" vertical="center" wrapText="1"/>
      <protection locked="0" hidden="1"/>
    </xf>
    <xf numFmtId="165" fontId="7" fillId="51" borderId="0">
      <alignment vertical="center"/>
      <protection hidden="1"/>
    </xf>
    <xf numFmtId="165" fontId="7" fillId="52" borderId="0">
      <alignment vertical="center"/>
      <protection hidden="1"/>
    </xf>
    <xf numFmtId="165" fontId="7" fillId="53" borderId="0">
      <alignment vertical="center"/>
      <protection hidden="1"/>
    </xf>
    <xf numFmtId="165" fontId="7" fillId="54" borderId="0">
      <alignment vertical="center"/>
      <protection hidden="1"/>
    </xf>
    <xf numFmtId="165" fontId="2" fillId="55" borderId="0">
      <alignment horizontal="center" vertical="center"/>
      <protection hidden="1"/>
    </xf>
    <xf numFmtId="164" fontId="7" fillId="16" borderId="0">
      <alignment horizontal="justify" vertical="center"/>
      <protection hidden="1"/>
    </xf>
    <xf numFmtId="165" fontId="7" fillId="51" borderId="0">
      <alignment horizontal="justify" vertical="center" wrapText="1"/>
      <protection hidden="1"/>
    </xf>
    <xf numFmtId="165" fontId="7" fillId="52" borderId="0">
      <alignment horizontal="justify" vertical="center" wrapText="1"/>
      <protection locked="0" hidden="1"/>
    </xf>
    <xf numFmtId="165" fontId="7" fillId="53" borderId="0">
      <alignment horizontal="justify" vertical="center" wrapText="1"/>
      <protection hidden="1"/>
    </xf>
    <xf numFmtId="165" fontId="7" fillId="54" borderId="0">
      <alignment horizontal="left" vertical="center"/>
      <protection hidden="1"/>
    </xf>
    <xf numFmtId="165" fontId="2" fillId="55" borderId="0">
      <alignment horizontal="center" vertical="center" wrapText="1"/>
      <protection locked="0" hidden="1"/>
    </xf>
    <xf numFmtId="164" fontId="7" fillId="17" borderId="0">
      <alignment horizontal="justify" vertical="center" wrapText="1"/>
      <protection hidden="1"/>
    </xf>
    <xf numFmtId="164" fontId="7" fillId="18" borderId="0">
      <alignment horizontal="justify" vertical="center" wrapText="1"/>
      <protection locked="0" hidden="1"/>
    </xf>
    <xf numFmtId="164" fontId="7" fillId="19" borderId="0">
      <alignment horizontal="justify" vertical="center" wrapText="1"/>
      <protection hidden="1"/>
    </xf>
    <xf numFmtId="165" fontId="1" fillId="20" borderId="0">
      <alignment horizontal="left" vertical="center"/>
      <protection locked="0" hidden="1"/>
    </xf>
    <xf numFmtId="165" fontId="2" fillId="21" borderId="0">
      <alignment horizontal="left" vertical="center" wrapText="1"/>
      <protection locked="0" hidden="1"/>
    </xf>
    <xf numFmtId="165" fontId="9" fillId="22" borderId="2">
      <alignment horizontal="justify" vertical="center" wrapText="1"/>
      <protection hidden="1"/>
    </xf>
    <xf numFmtId="164" fontId="2" fillId="23" borderId="0">
      <alignment horizontal="justify" vertical="center" wrapText="1"/>
      <protection hidden="1"/>
    </xf>
    <xf numFmtId="164" fontId="2" fillId="24" borderId="0">
      <alignment horizontal="justify" vertical="center" wrapText="1"/>
      <protection hidden="1"/>
    </xf>
    <xf numFmtId="164" fontId="2" fillId="25" borderId="0">
      <alignment horizontal="justify" vertical="center" wrapText="1"/>
      <protection locked="0" hidden="1"/>
    </xf>
    <xf numFmtId="165" fontId="2" fillId="26" borderId="0">
      <alignment horizontal="left" vertical="center"/>
      <protection locked="0" hidden="1"/>
    </xf>
    <xf numFmtId="165" fontId="2" fillId="27" borderId="0">
      <alignment horizontal="center" vertical="center" wrapText="1"/>
      <protection locked="0" hidden="1"/>
    </xf>
    <xf numFmtId="165" fontId="8" fillId="28" borderId="0">
      <alignment horizontal="center" vertical="center"/>
      <protection hidden="1"/>
    </xf>
    <xf numFmtId="164" fontId="7" fillId="29" borderId="0">
      <alignment horizontal="justify" vertical="center" wrapText="1"/>
      <protection hidden="1"/>
    </xf>
    <xf numFmtId="164" fontId="7" fillId="30" borderId="0">
      <alignment horizontal="justify" vertical="center" wrapText="1"/>
      <protection locked="0" hidden="1"/>
    </xf>
    <xf numFmtId="164" fontId="7" fillId="31" borderId="0">
      <alignment horizontal="justify" vertical="center" wrapText="1"/>
      <protection hidden="1"/>
    </xf>
    <xf numFmtId="165" fontId="2" fillId="32" borderId="0">
      <alignment horizontal="left" vertical="center"/>
      <protection locked="0" hidden="1"/>
    </xf>
    <xf numFmtId="165" fontId="2" fillId="33" borderId="0">
      <alignment horizontal="left" vertical="center" wrapText="1"/>
      <protection locked="0" hidden="1"/>
    </xf>
    <xf numFmtId="165" fontId="7" fillId="34" borderId="0">
      <alignment horizontal="justify" vertical="center" wrapText="1"/>
      <protection hidden="1"/>
    </xf>
    <xf numFmtId="165" fontId="7" fillId="35" borderId="0">
      <alignment horizontal="justify" vertical="center" wrapText="1"/>
      <protection hidden="1"/>
    </xf>
    <xf numFmtId="165" fontId="7" fillId="36" borderId="0">
      <alignment horizontal="justify" vertical="center" wrapText="1"/>
      <protection hidden="1"/>
    </xf>
    <xf numFmtId="165" fontId="7" fillId="37" borderId="0">
      <alignment horizontal="justify" vertical="center" wrapText="1"/>
      <protection hidden="1"/>
    </xf>
    <xf numFmtId="165" fontId="2" fillId="38" borderId="0">
      <alignment horizontal="justify" vertical="center"/>
      <protection hidden="1"/>
    </xf>
    <xf numFmtId="165" fontId="2" fillId="39" borderId="0">
      <alignment horizontal="center" vertical="center" wrapText="1"/>
      <protection hidden="1"/>
    </xf>
    <xf numFmtId="165" fontId="2" fillId="40" borderId="0">
      <alignment horizontal="center" vertical="center" wrapText="1"/>
      <protection hidden="1"/>
    </xf>
    <xf numFmtId="165" fontId="7" fillId="41" borderId="0">
      <alignment horizontal="justify" vertical="center" wrapText="1"/>
      <protection hidden="1"/>
    </xf>
    <xf numFmtId="165" fontId="7" fillId="42" borderId="0">
      <alignment horizontal="justify" vertical="center" wrapText="1"/>
      <protection hidden="1"/>
    </xf>
    <xf numFmtId="165" fontId="7" fillId="43" borderId="0">
      <alignment horizontal="justify" vertical="center" wrapText="1"/>
      <protection hidden="1"/>
    </xf>
    <xf numFmtId="165" fontId="7" fillId="44" borderId="0">
      <alignment horizontal="justify" vertical="center"/>
      <protection hidden="1"/>
    </xf>
    <xf numFmtId="165" fontId="7" fillId="45" borderId="0">
      <alignment horizontal="center" vertical="center" wrapText="1"/>
      <protection hidden="1"/>
    </xf>
    <xf numFmtId="165" fontId="7" fillId="46" borderId="0">
      <alignment horizontal="justify" vertical="center" wrapText="1"/>
      <protection hidden="1"/>
    </xf>
    <xf numFmtId="165" fontId="7" fillId="47" borderId="0">
      <alignment horizontal="justify" vertical="center" wrapText="1"/>
      <protection hidden="1"/>
    </xf>
    <xf numFmtId="165" fontId="7" fillId="48" borderId="0">
      <alignment horizontal="justify" vertical="center" wrapText="1"/>
      <protection hidden="1"/>
    </xf>
    <xf numFmtId="165" fontId="2" fillId="49" borderId="0">
      <alignment horizontal="center" vertical="center"/>
      <protection hidden="1"/>
    </xf>
    <xf numFmtId="165" fontId="2" fillId="50" borderId="0">
      <alignment horizontal="center" vertical="center" wrapText="1"/>
      <protection hidden="1"/>
    </xf>
  </cellStyleXfs>
  <cellXfs count="199">
    <xf numFmtId="165" fontId="0" fillId="0" borderId="0" xfId="0">
      <alignment vertical="center"/>
      <protection hidden="1"/>
    </xf>
    <xf numFmtId="165" fontId="2" fillId="0" borderId="0" xfId="0" applyFont="1">
      <alignment vertical="center"/>
      <protection hidden="1"/>
    </xf>
    <xf numFmtId="165" fontId="2" fillId="0" borderId="1" xfId="0" applyFont="1" applyBorder="1" applyProtection="1">
      <alignment vertical="center"/>
      <protection locked="0" hidden="1"/>
    </xf>
    <xf numFmtId="166" fontId="2" fillId="0" borderId="1" xfId="0" applyNumberFormat="1" applyFont="1" applyBorder="1" applyProtection="1">
      <alignment vertical="center"/>
      <protection locked="0" hidden="1"/>
    </xf>
    <xf numFmtId="166" fontId="2" fillId="0" borderId="2" xfId="0" applyNumberFormat="1" applyFont="1" applyBorder="1" applyProtection="1">
      <alignment vertical="center"/>
      <protection locked="0" hidden="1"/>
    </xf>
    <xf numFmtId="165" fontId="2" fillId="0" borderId="0" xfId="0" applyFont="1" applyProtection="1">
      <alignment vertical="center"/>
      <protection locked="0" hidden="1"/>
    </xf>
    <xf numFmtId="165" fontId="2" fillId="0" borderId="2" xfId="0" applyFont="1" applyBorder="1" applyProtection="1">
      <alignment vertical="center"/>
      <protection locked="0" hidden="1"/>
    </xf>
    <xf numFmtId="166" fontId="2" fillId="0" borderId="1" xfId="0" applyNumberFormat="1" applyFont="1" applyBorder="1" applyAlignment="1" applyProtection="1">
      <alignment horizontal="center" vertical="center"/>
      <protection locked="0" hidden="1"/>
    </xf>
    <xf numFmtId="166" fontId="2" fillId="0" borderId="2" xfId="0" applyNumberFormat="1" applyFont="1" applyBorder="1" applyAlignment="1" applyProtection="1">
      <alignment horizontal="center" vertical="center"/>
      <protection locked="0" hidden="1"/>
    </xf>
    <xf numFmtId="166" fontId="2" fillId="0" borderId="0" xfId="0" applyNumberFormat="1" applyFont="1" applyAlignment="1" applyProtection="1">
      <alignment horizontal="center" vertical="center"/>
      <protection locked="0" hidden="1"/>
    </xf>
    <xf numFmtId="165" fontId="2" fillId="0" borderId="0" xfId="0" applyFont="1" applyAlignment="1">
      <alignment horizontal="right" vertical="center"/>
      <protection hidden="1"/>
    </xf>
    <xf numFmtId="165" fontId="6" fillId="0" borderId="0" xfId="0" applyFont="1">
      <alignment vertical="center"/>
      <protection hidden="1"/>
    </xf>
    <xf numFmtId="166" fontId="2" fillId="0" borderId="0" xfId="0" applyNumberFormat="1" applyFont="1">
      <alignment vertical="center"/>
      <protection hidden="1"/>
    </xf>
    <xf numFmtId="169" fontId="2" fillId="0" borderId="0" xfId="0" applyNumberFormat="1" applyFont="1">
      <alignment vertical="center"/>
      <protection hidden="1"/>
    </xf>
    <xf numFmtId="173" fontId="2" fillId="0" borderId="0" xfId="0" applyNumberFormat="1" applyFont="1" applyAlignment="1">
      <alignment horizontal="right" vertical="center"/>
      <protection hidden="1"/>
    </xf>
    <xf numFmtId="9" fontId="2" fillId="0" borderId="1" xfId="1" applyFont="1" applyBorder="1" applyAlignment="1" applyProtection="1">
      <alignment vertical="center" wrapText="1"/>
      <protection hidden="1"/>
    </xf>
    <xf numFmtId="165" fontId="2" fillId="0" borderId="1" xfId="0" applyFont="1" applyBorder="1" applyAlignment="1" applyProtection="1">
      <alignment horizontal="right" vertical="center"/>
      <protection locked="0" hidden="1"/>
    </xf>
    <xf numFmtId="165" fontId="7" fillId="54" borderId="0" xfId="24">
      <alignment horizontal="left" vertical="center"/>
      <protection hidden="1"/>
    </xf>
    <xf numFmtId="165" fontId="2" fillId="55" borderId="0" xfId="25">
      <alignment horizontal="center" vertical="center" wrapText="1"/>
      <protection locked="0" hidden="1"/>
    </xf>
    <xf numFmtId="165" fontId="7" fillId="54" borderId="0" xfId="24" applyAlignment="1">
      <alignment horizontal="center" vertical="center"/>
      <protection hidden="1"/>
    </xf>
    <xf numFmtId="165" fontId="7" fillId="51" borderId="0" xfId="21">
      <alignment horizontal="justify" vertical="center" wrapText="1"/>
      <protection hidden="1"/>
    </xf>
    <xf numFmtId="165" fontId="7" fillId="53" borderId="0" xfId="23" applyAlignment="1">
      <alignment horizontal="center" vertical="center" wrapText="1"/>
      <protection hidden="1"/>
    </xf>
    <xf numFmtId="165" fontId="7" fillId="54" borderId="0" xfId="24">
      <alignment horizontal="left" vertical="center"/>
      <protection hidden="1"/>
    </xf>
    <xf numFmtId="165" fontId="2" fillId="55" borderId="0" xfId="25">
      <alignment horizontal="center" vertical="center" wrapText="1"/>
      <protection locked="0" hidden="1"/>
    </xf>
    <xf numFmtId="165" fontId="2" fillId="0" borderId="2" xfId="0" applyFont="1" applyBorder="1" applyProtection="1">
      <alignment vertical="center"/>
      <protection locked="0" hidden="1"/>
    </xf>
    <xf numFmtId="165" fontId="2" fillId="0" borderId="1" xfId="0" applyFont="1" applyBorder="1" applyProtection="1">
      <alignment vertical="center"/>
      <protection locked="0" hidden="1"/>
    </xf>
    <xf numFmtId="165" fontId="2" fillId="0" borderId="2" xfId="0" applyFont="1" applyBorder="1" applyAlignment="1" applyProtection="1">
      <alignment horizontal="left" vertical="center"/>
      <protection locked="0" hidden="1"/>
    </xf>
    <xf numFmtId="165" fontId="2" fillId="0" borderId="1" xfId="0" applyFont="1" applyBorder="1" applyAlignment="1" applyProtection="1">
      <alignment horizontal="left" vertical="center"/>
      <protection locked="0" hidden="1"/>
    </xf>
    <xf numFmtId="10" fontId="5" fillId="0" borderId="3" xfId="1" applyNumberFormat="1" applyFont="1" applyBorder="1" applyAlignment="1" applyProtection="1">
      <alignment horizontal="center" vertical="center"/>
      <protection hidden="1"/>
    </xf>
    <xf numFmtId="10" fontId="5" fillId="0" borderId="2" xfId="1" applyNumberFormat="1" applyFont="1" applyBorder="1" applyAlignment="1" applyProtection="1">
      <alignment horizontal="center" vertical="center"/>
      <protection hidden="1"/>
    </xf>
    <xf numFmtId="165" fontId="7" fillId="52" borderId="0" xfId="22">
      <alignment horizontal="justify" vertical="center" wrapText="1"/>
      <protection locked="0" hidden="1"/>
    </xf>
    <xf numFmtId="165" fontId="7" fillId="51" borderId="0" xfId="21">
      <alignment horizontal="justify" vertical="center" wrapText="1"/>
      <protection hidden="1"/>
    </xf>
    <xf numFmtId="165" fontId="2" fillId="0" borderId="0" xfId="0" applyFont="1" applyAlignment="1" applyProtection="1">
      <alignment horizontal="justify" vertical="center" wrapText="1"/>
      <protection hidden="1"/>
    </xf>
    <xf numFmtId="165" fontId="2" fillId="0" borderId="0" xfId="0" applyFont="1" applyAlignment="1" applyProtection="1">
      <alignment horizontal="justify" vertical="center" wrapText="1"/>
      <protection hidden="1"/>
    </xf>
    <xf numFmtId="165" fontId="2" fillId="0" borderId="0" xfId="0" applyFont="1" applyProtection="1">
      <alignment vertical="center"/>
      <protection hidden="1"/>
    </xf>
    <xf numFmtId="166" fontId="2" fillId="0" borderId="0" xfId="0" applyNumberFormat="1" applyFont="1" applyProtection="1">
      <alignment vertical="center"/>
      <protection hidden="1"/>
    </xf>
    <xf numFmtId="165" fontId="2" fillId="0" borderId="0" xfId="0" applyFont="1" applyAlignment="1" applyProtection="1">
      <alignment horizontal="right" vertical="center"/>
      <protection hidden="1"/>
    </xf>
    <xf numFmtId="10" fontId="2" fillId="0" borderId="0" xfId="1" applyNumberFormat="1" applyFont="1" applyAlignment="1" applyProtection="1">
      <alignment vertical="center"/>
      <protection hidden="1"/>
    </xf>
    <xf numFmtId="165" fontId="2" fillId="3" borderId="2" xfId="0" applyFont="1" applyFill="1" applyBorder="1" applyAlignment="1" applyProtection="1">
      <alignment horizontal="centerContinuous" vertical="center"/>
      <protection hidden="1"/>
    </xf>
    <xf numFmtId="165" fontId="3" fillId="3" borderId="2" xfId="0" applyFont="1" applyFill="1" applyBorder="1" applyAlignment="1" applyProtection="1">
      <alignment horizontal="centerContinuous" vertical="center"/>
      <protection hidden="1"/>
    </xf>
    <xf numFmtId="165" fontId="5" fillId="2" borderId="3" xfId="0" applyFont="1" applyFill="1" applyBorder="1" applyAlignment="1" applyProtection="1">
      <alignment horizontal="center" vertical="center" wrapText="1"/>
      <protection hidden="1"/>
    </xf>
    <xf numFmtId="165" fontId="2" fillId="0" borderId="0" xfId="0" applyFont="1" applyAlignment="1" applyProtection="1">
      <alignment vertical="center" wrapText="1"/>
      <protection hidden="1"/>
    </xf>
    <xf numFmtId="165" fontId="5" fillId="2" borderId="2" xfId="0" applyFont="1" applyFill="1" applyBorder="1" applyAlignment="1" applyProtection="1">
      <alignment horizontal="center" vertical="center" wrapText="1"/>
      <protection hidden="1"/>
    </xf>
    <xf numFmtId="165" fontId="5" fillId="0" borderId="0" xfId="0" applyFont="1" applyProtection="1">
      <alignment vertical="center"/>
      <protection hidden="1"/>
    </xf>
    <xf numFmtId="173" fontId="2" fillId="0" borderId="2" xfId="0" applyNumberFormat="1" applyFont="1" applyBorder="1" applyAlignment="1" applyProtection="1">
      <alignment horizontal="center" vertical="center"/>
      <protection hidden="1"/>
    </xf>
    <xf numFmtId="165" fontId="2" fillId="0" borderId="2" xfId="0" applyFont="1" applyBorder="1" applyProtection="1">
      <alignment vertical="center"/>
      <protection hidden="1"/>
    </xf>
    <xf numFmtId="166" fontId="2" fillId="0" borderId="2" xfId="0" applyNumberFormat="1" applyFont="1" applyBorder="1" applyProtection="1">
      <alignment vertical="center"/>
      <protection hidden="1"/>
    </xf>
    <xf numFmtId="165" fontId="5" fillId="0" borderId="2" xfId="0" applyFont="1" applyBorder="1" applyProtection="1">
      <alignment vertical="center"/>
      <protection hidden="1"/>
    </xf>
    <xf numFmtId="165" fontId="5" fillId="0" borderId="2" xfId="0" applyFont="1" applyBorder="1" applyProtection="1">
      <alignment vertical="center"/>
      <protection hidden="1"/>
    </xf>
    <xf numFmtId="171" fontId="2" fillId="0" borderId="0" xfId="0" applyNumberFormat="1" applyFont="1" applyProtection="1">
      <alignment vertical="center"/>
      <protection hidden="1"/>
    </xf>
    <xf numFmtId="173" fontId="2" fillId="0" borderId="1" xfId="0" applyNumberFormat="1" applyFont="1" applyBorder="1" applyAlignment="1" applyProtection="1">
      <alignment horizontal="center" vertical="center"/>
      <protection hidden="1"/>
    </xf>
    <xf numFmtId="165" fontId="2" fillId="0" borderId="1" xfId="0" applyFont="1" applyBorder="1" applyAlignment="1" applyProtection="1">
      <alignment horizontal="right" vertical="center"/>
      <protection hidden="1"/>
    </xf>
    <xf numFmtId="165" fontId="2" fillId="0" borderId="1" xfId="0" applyFont="1" applyBorder="1" applyProtection="1">
      <alignment vertical="center"/>
      <protection hidden="1"/>
    </xf>
    <xf numFmtId="166" fontId="2" fillId="0" borderId="1" xfId="0" applyNumberFormat="1" applyFont="1" applyBorder="1" applyProtection="1">
      <alignment vertical="center"/>
      <protection hidden="1"/>
    </xf>
    <xf numFmtId="165" fontId="5" fillId="0" borderId="1" xfId="0" applyFont="1" applyBorder="1" applyProtection="1">
      <alignment vertical="center"/>
      <protection hidden="1"/>
    </xf>
    <xf numFmtId="165" fontId="5" fillId="2" borderId="0" xfId="0" applyFont="1" applyFill="1" applyAlignment="1" applyProtection="1">
      <alignment horizontal="center" vertical="center"/>
      <protection hidden="1"/>
    </xf>
    <xf numFmtId="165" fontId="5" fillId="3" borderId="0" xfId="0" applyFont="1" applyFill="1" applyAlignment="1" applyProtection="1">
      <alignment horizontal="center" vertical="center"/>
      <protection hidden="1"/>
    </xf>
    <xf numFmtId="165" fontId="5" fillId="3" borderId="0" xfId="0" applyFont="1" applyFill="1" applyAlignment="1" applyProtection="1">
      <alignment horizontal="center" vertical="center"/>
      <protection hidden="1"/>
    </xf>
    <xf numFmtId="10" fontId="2" fillId="0" borderId="1" xfId="1" applyNumberFormat="1" applyFont="1" applyBorder="1" applyAlignment="1" applyProtection="1">
      <alignment vertical="center"/>
      <protection hidden="1"/>
    </xf>
    <xf numFmtId="165" fontId="5" fillId="0" borderId="3" xfId="0" applyFont="1" applyBorder="1" applyAlignment="1" applyProtection="1">
      <alignment horizontal="justify" vertical="center" wrapText="1"/>
      <protection hidden="1"/>
    </xf>
    <xf numFmtId="165" fontId="5" fillId="0" borderId="3" xfId="0" applyFont="1" applyBorder="1" applyAlignment="1" applyProtection="1">
      <alignment horizontal="center" vertical="center" wrapText="1"/>
      <protection hidden="1"/>
    </xf>
    <xf numFmtId="165" fontId="5" fillId="0" borderId="2" xfId="0" applyFont="1" applyBorder="1" applyAlignment="1" applyProtection="1">
      <alignment horizontal="justify" vertical="center" wrapText="1"/>
      <protection hidden="1"/>
    </xf>
    <xf numFmtId="165" fontId="5" fillId="0" borderId="2" xfId="0" applyFont="1" applyBorder="1" applyAlignment="1" applyProtection="1">
      <alignment horizontal="center" vertical="center" wrapText="1"/>
      <protection hidden="1"/>
    </xf>
    <xf numFmtId="165" fontId="5" fillId="0" borderId="3" xfId="0" applyFont="1" applyBorder="1" applyAlignment="1" applyProtection="1">
      <alignment horizontal="justify" vertical="center" wrapText="1"/>
      <protection hidden="1"/>
    </xf>
    <xf numFmtId="165" fontId="5" fillId="0" borderId="2" xfId="0" applyFont="1" applyBorder="1" applyAlignment="1" applyProtection="1">
      <alignment horizontal="justify" vertical="center" wrapText="1"/>
      <protection hidden="1"/>
    </xf>
    <xf numFmtId="165" fontId="5" fillId="0" borderId="0" xfId="0" applyFont="1" applyAlignment="1" applyProtection="1">
      <alignment horizontal="left" vertical="center"/>
      <protection hidden="1"/>
    </xf>
    <xf numFmtId="165" fontId="2" fillId="0" borderId="2" xfId="0" applyFont="1" applyBorder="1" applyAlignment="1" applyProtection="1">
      <alignment horizontal="left" vertical="center"/>
      <protection hidden="1"/>
    </xf>
    <xf numFmtId="165" fontId="2" fillId="0" borderId="2" xfId="0" applyFont="1" applyBorder="1" applyAlignment="1" applyProtection="1">
      <alignment horizontal="centerContinuous" vertical="center"/>
      <protection hidden="1"/>
    </xf>
    <xf numFmtId="165" fontId="2" fillId="0" borderId="1" xfId="0" applyFont="1" applyBorder="1" applyAlignment="1" applyProtection="1">
      <alignment horizontal="left" vertical="center"/>
      <protection hidden="1"/>
    </xf>
    <xf numFmtId="165" fontId="2" fillId="0" borderId="5" xfId="0" applyFont="1" applyBorder="1" applyAlignment="1" applyProtection="1">
      <alignment horizontal="center" vertical="center"/>
      <protection hidden="1"/>
    </xf>
    <xf numFmtId="165" fontId="2" fillId="0" borderId="0" xfId="0" applyFont="1" applyAlignment="1" applyProtection="1">
      <alignment horizontal="left" vertical="center"/>
      <protection hidden="1"/>
    </xf>
    <xf numFmtId="171" fontId="2" fillId="0" borderId="0" xfId="0" quotePrefix="1" applyNumberFormat="1" applyFont="1" applyAlignment="1" applyProtection="1">
      <alignment horizontal="center" vertical="center"/>
      <protection hidden="1"/>
    </xf>
    <xf numFmtId="171" fontId="2" fillId="0" borderId="0" xfId="0" quotePrefix="1" applyNumberFormat="1" applyFont="1" applyAlignment="1" applyProtection="1">
      <alignment horizontal="right" vertical="center"/>
      <protection hidden="1"/>
    </xf>
    <xf numFmtId="171" fontId="2" fillId="0" borderId="0" xfId="0" applyNumberFormat="1" applyFont="1" applyAlignment="1" applyProtection="1">
      <alignment horizontal="right" vertical="center"/>
      <protection hidden="1"/>
    </xf>
    <xf numFmtId="171" fontId="2" fillId="0" borderId="1" xfId="0" applyNumberFormat="1" applyFont="1" applyBorder="1" applyAlignment="1" applyProtection="1">
      <alignment horizontal="right" vertical="center"/>
      <protection hidden="1"/>
    </xf>
    <xf numFmtId="171" fontId="2" fillId="0" borderId="1" xfId="0" applyNumberFormat="1" applyFont="1" applyBorder="1" applyAlignment="1" applyProtection="1">
      <alignment horizontal="center" vertical="center"/>
      <protection hidden="1"/>
    </xf>
    <xf numFmtId="171" fontId="2" fillId="0" borderId="1" xfId="0" quotePrefix="1" applyNumberFormat="1" applyFont="1" applyBorder="1" applyAlignment="1" applyProtection="1">
      <alignment horizontal="right" vertical="center"/>
      <protection hidden="1"/>
    </xf>
    <xf numFmtId="165" fontId="2" fillId="0" borderId="5" xfId="0" applyFont="1" applyBorder="1" applyAlignment="1" applyProtection="1">
      <alignment horizontal="left" vertical="center"/>
      <protection hidden="1"/>
    </xf>
    <xf numFmtId="171" fontId="2" fillId="0" borderId="5" xfId="0" applyNumberFormat="1" applyFont="1" applyBorder="1" applyAlignment="1" applyProtection="1">
      <alignment horizontal="right" vertical="center"/>
      <protection hidden="1"/>
    </xf>
    <xf numFmtId="171" fontId="2" fillId="0" borderId="5" xfId="0" applyNumberFormat="1" applyFont="1" applyBorder="1" applyAlignment="1" applyProtection="1">
      <alignment horizontal="center" vertical="center"/>
      <protection hidden="1"/>
    </xf>
    <xf numFmtId="165" fontId="2" fillId="0" borderId="2" xfId="0" applyFont="1" applyBorder="1" applyAlignment="1" applyProtection="1">
      <alignment vertical="center" wrapText="1"/>
      <protection hidden="1"/>
    </xf>
    <xf numFmtId="166" fontId="2" fillId="0" borderId="2" xfId="0" applyNumberFormat="1" applyFont="1" applyBorder="1" applyAlignment="1" applyProtection="1">
      <alignment vertical="center" wrapText="1"/>
      <protection hidden="1"/>
    </xf>
    <xf numFmtId="169" fontId="2" fillId="0" borderId="1" xfId="0" applyNumberFormat="1" applyFont="1" applyBorder="1" applyAlignment="1" applyProtection="1">
      <alignment vertical="center" wrapText="1"/>
      <protection hidden="1"/>
    </xf>
    <xf numFmtId="165" fontId="2" fillId="0" borderId="0" xfId="0" quotePrefix="1" applyFont="1" applyAlignment="1" applyProtection="1">
      <alignment horizontal="center" vertical="center"/>
      <protection hidden="1"/>
    </xf>
    <xf numFmtId="165" fontId="2" fillId="0" borderId="0" xfId="0" quotePrefix="1" applyFont="1" applyAlignment="1" applyProtection="1">
      <alignment horizontal="right" vertical="center"/>
      <protection hidden="1"/>
    </xf>
    <xf numFmtId="165" fontId="2" fillId="0" borderId="1" xfId="0" applyFont="1" applyBorder="1" applyAlignment="1" applyProtection="1">
      <alignment horizontal="center" vertical="center"/>
      <protection hidden="1"/>
    </xf>
    <xf numFmtId="165" fontId="2" fillId="0" borderId="1" xfId="0" quotePrefix="1" applyFont="1" applyBorder="1" applyAlignment="1" applyProtection="1">
      <alignment horizontal="right" vertical="center"/>
      <protection hidden="1"/>
    </xf>
    <xf numFmtId="165" fontId="2" fillId="0" borderId="5" xfId="0" applyFont="1" applyBorder="1" applyAlignment="1" applyProtection="1">
      <alignment horizontal="right" vertical="center"/>
      <protection hidden="1"/>
    </xf>
    <xf numFmtId="165" fontId="2" fillId="0" borderId="2" xfId="0" applyFont="1" applyBorder="1" applyAlignment="1" applyProtection="1">
      <alignment vertical="center" wrapText="1"/>
      <protection hidden="1"/>
    </xf>
    <xf numFmtId="9" fontId="2" fillId="0" borderId="2" xfId="1" applyFont="1" applyBorder="1" applyAlignment="1" applyProtection="1">
      <alignment vertical="center" wrapText="1"/>
      <protection hidden="1"/>
    </xf>
    <xf numFmtId="165" fontId="2" fillId="0" borderId="8" xfId="0" applyFont="1" applyBorder="1" applyProtection="1">
      <alignment vertical="center"/>
      <protection hidden="1"/>
    </xf>
    <xf numFmtId="171" fontId="2" fillId="0" borderId="8" xfId="0" applyNumberFormat="1" applyFont="1" applyBorder="1" applyProtection="1">
      <alignment vertical="center"/>
      <protection hidden="1"/>
    </xf>
    <xf numFmtId="165" fontId="3" fillId="0" borderId="0" xfId="0" applyFont="1" applyAlignment="1" applyProtection="1">
      <alignment horizontal="left" vertical="center"/>
      <protection hidden="1"/>
    </xf>
    <xf numFmtId="165" fontId="2" fillId="0" borderId="2" xfId="0" applyFont="1" applyBorder="1" applyProtection="1">
      <alignment vertical="center"/>
      <protection hidden="1"/>
    </xf>
    <xf numFmtId="10" fontId="2" fillId="0" borderId="2" xfId="1" applyNumberFormat="1" applyFont="1" applyBorder="1" applyAlignment="1" applyProtection="1">
      <alignment vertical="center"/>
      <protection hidden="1"/>
    </xf>
    <xf numFmtId="169" fontId="2" fillId="0" borderId="2" xfId="0" applyNumberFormat="1" applyFont="1" applyBorder="1" applyAlignment="1" applyProtection="1">
      <alignment horizontal="center" vertical="center"/>
      <protection hidden="1"/>
    </xf>
    <xf numFmtId="169" fontId="2" fillId="0" borderId="2" xfId="0" applyNumberFormat="1" applyFont="1" applyBorder="1" applyProtection="1">
      <alignment vertical="center"/>
      <protection hidden="1"/>
    </xf>
    <xf numFmtId="165" fontId="2" fillId="0" borderId="1" xfId="0" applyFont="1" applyBorder="1" applyProtection="1">
      <alignment vertical="center"/>
      <protection hidden="1"/>
    </xf>
    <xf numFmtId="171" fontId="2" fillId="0" borderId="2" xfId="0" applyNumberFormat="1" applyFont="1" applyBorder="1" applyProtection="1">
      <alignment vertical="center"/>
      <protection hidden="1"/>
    </xf>
    <xf numFmtId="171" fontId="2" fillId="0" borderId="1" xfId="0" applyNumberFormat="1" applyFont="1" applyBorder="1" applyAlignment="1" applyProtection="1">
      <alignment vertical="center" wrapText="1"/>
      <protection hidden="1"/>
    </xf>
    <xf numFmtId="165" fontId="2" fillId="0" borderId="0" xfId="0" applyFont="1" applyAlignment="1" applyProtection="1">
      <alignment horizontal="center" vertical="center"/>
      <protection hidden="1"/>
    </xf>
    <xf numFmtId="165" fontId="3" fillId="0" borderId="0" xfId="0" applyFont="1" applyProtection="1">
      <alignment vertical="center"/>
      <protection hidden="1"/>
    </xf>
    <xf numFmtId="165" fontId="3" fillId="0" borderId="2" xfId="0" applyFont="1" applyBorder="1" applyProtection="1">
      <alignment vertical="center"/>
      <protection hidden="1"/>
    </xf>
    <xf numFmtId="165" fontId="2" fillId="0" borderId="2" xfId="0" applyFont="1" applyBorder="1" applyAlignment="1" applyProtection="1">
      <alignment horizontal="center" vertical="center"/>
      <protection hidden="1"/>
    </xf>
    <xf numFmtId="165" fontId="2" fillId="0" borderId="0" xfId="0" applyFont="1" applyProtection="1">
      <alignment vertical="center"/>
      <protection hidden="1"/>
    </xf>
    <xf numFmtId="164" fontId="2" fillId="0" borderId="2" xfId="2" applyNumberFormat="1" applyFont="1" applyBorder="1" applyAlignment="1" applyProtection="1">
      <alignment vertical="center"/>
      <protection hidden="1"/>
    </xf>
    <xf numFmtId="9" fontId="2" fillId="0" borderId="2" xfId="1" applyFont="1" applyBorder="1" applyAlignment="1" applyProtection="1">
      <alignment vertical="center"/>
      <protection hidden="1"/>
    </xf>
    <xf numFmtId="10" fontId="2" fillId="0" borderId="0" xfId="1" applyNumberFormat="1" applyFont="1" applyBorder="1" applyAlignment="1" applyProtection="1">
      <alignment vertical="center"/>
      <protection hidden="1"/>
    </xf>
    <xf numFmtId="167" fontId="2" fillId="0" borderId="2" xfId="0" applyNumberFormat="1" applyFont="1" applyBorder="1" applyProtection="1">
      <alignment vertical="center"/>
      <protection hidden="1"/>
    </xf>
    <xf numFmtId="165" fontId="2" fillId="0" borderId="2" xfId="0" applyFont="1" applyBorder="1" applyAlignment="1" applyProtection="1">
      <alignment horizontal="center" vertical="center"/>
      <protection hidden="1"/>
    </xf>
    <xf numFmtId="165" fontId="2" fillId="0" borderId="1" xfId="0" applyFont="1" applyBorder="1" applyAlignment="1" applyProtection="1">
      <alignment horizontal="left" vertical="center"/>
      <protection hidden="1"/>
    </xf>
    <xf numFmtId="166" fontId="2" fillId="0" borderId="2" xfId="0" applyNumberFormat="1" applyFont="1" applyBorder="1" applyAlignment="1" applyProtection="1">
      <alignment horizontal="center" vertical="center"/>
      <protection hidden="1"/>
    </xf>
    <xf numFmtId="165" fontId="2" fillId="0" borderId="2" xfId="2" applyNumberFormat="1" applyFont="1" applyBorder="1" applyAlignment="1" applyProtection="1">
      <alignment vertical="center"/>
      <protection hidden="1"/>
    </xf>
    <xf numFmtId="166" fontId="2" fillId="0" borderId="1" xfId="0" applyNumberFormat="1" applyFont="1" applyBorder="1" applyAlignment="1" applyProtection="1">
      <alignment horizontal="center" vertical="center"/>
      <protection hidden="1"/>
    </xf>
    <xf numFmtId="165" fontId="2" fillId="0" borderId="2" xfId="0" applyFont="1" applyBorder="1" applyAlignment="1" applyProtection="1">
      <alignment horizontal="left" vertical="center"/>
      <protection hidden="1"/>
    </xf>
    <xf numFmtId="165" fontId="2" fillId="0" borderId="0" xfId="0" applyFont="1" applyAlignment="1" applyProtection="1">
      <alignment vertical="center" wrapText="1"/>
      <protection hidden="1"/>
    </xf>
    <xf numFmtId="165" fontId="3" fillId="0" borderId="0" xfId="0" applyFont="1" applyAlignment="1" applyProtection="1">
      <alignment horizontal="center" vertical="center" wrapText="1"/>
      <protection hidden="1"/>
    </xf>
    <xf numFmtId="174" fontId="2" fillId="0" borderId="0" xfId="2" applyNumberFormat="1" applyFont="1" applyBorder="1" applyAlignment="1" applyProtection="1">
      <alignment vertical="center"/>
      <protection hidden="1"/>
    </xf>
    <xf numFmtId="165" fontId="2" fillId="0" borderId="0" xfId="0" applyFont="1" applyAlignment="1" applyProtection="1">
      <alignment horizontal="left" vertical="center" wrapText="1"/>
      <protection hidden="1"/>
    </xf>
    <xf numFmtId="171" fontId="2" fillId="0" borderId="2" xfId="0" applyNumberFormat="1" applyFont="1" applyBorder="1" applyAlignment="1" applyProtection="1">
      <alignment vertical="center" wrapText="1"/>
      <protection hidden="1"/>
    </xf>
    <xf numFmtId="171" fontId="2" fillId="0" borderId="0" xfId="0" applyNumberFormat="1" applyFont="1" applyAlignment="1" applyProtection="1">
      <alignment vertical="center" wrapText="1"/>
      <protection hidden="1"/>
    </xf>
    <xf numFmtId="165" fontId="2" fillId="0" borderId="2" xfId="0" applyFont="1" applyBorder="1" applyAlignment="1" applyProtection="1">
      <alignment horizontal="center" vertical="center" wrapText="1"/>
      <protection hidden="1"/>
    </xf>
    <xf numFmtId="165" fontId="2" fillId="0" borderId="0" xfId="0" applyFont="1" applyAlignment="1" applyProtection="1">
      <alignment horizontal="left" vertical="center"/>
      <protection hidden="1"/>
    </xf>
    <xf numFmtId="165" fontId="2" fillId="0" borderId="3" xfId="0" applyFont="1" applyBorder="1" applyAlignment="1" applyProtection="1">
      <alignment horizontal="center" vertical="center"/>
      <protection hidden="1"/>
    </xf>
    <xf numFmtId="9" fontId="2" fillId="0" borderId="3" xfId="1" applyFont="1" applyBorder="1" applyAlignment="1" applyProtection="1">
      <alignment horizontal="center" vertical="center"/>
      <protection hidden="1"/>
    </xf>
    <xf numFmtId="165" fontId="2" fillId="0" borderId="9" xfId="0" applyFont="1" applyBorder="1" applyAlignment="1" applyProtection="1">
      <alignment horizontal="center" vertical="center"/>
      <protection hidden="1"/>
    </xf>
    <xf numFmtId="165" fontId="2" fillId="0" borderId="3" xfId="0" applyFont="1" applyBorder="1" applyAlignment="1" applyProtection="1">
      <alignment horizontal="center" vertical="center"/>
      <protection hidden="1"/>
    </xf>
    <xf numFmtId="165" fontId="2" fillId="0" borderId="6" xfId="0" applyFont="1" applyBorder="1" applyAlignment="1" applyProtection="1">
      <alignment horizontal="center" vertical="center"/>
      <protection hidden="1"/>
    </xf>
    <xf numFmtId="165" fontId="2" fillId="0" borderId="1" xfId="0" applyFont="1" applyBorder="1" applyAlignment="1" applyProtection="1">
      <alignment horizontal="center" vertical="center"/>
      <protection hidden="1"/>
    </xf>
    <xf numFmtId="165" fontId="2" fillId="0" borderId="7" xfId="0" applyFont="1" applyBorder="1" applyAlignment="1" applyProtection="1">
      <alignment horizontal="center" vertical="center"/>
      <protection hidden="1"/>
    </xf>
    <xf numFmtId="165" fontId="2" fillId="0" borderId="10" xfId="0" applyFont="1" applyBorder="1" applyAlignment="1" applyProtection="1">
      <alignment horizontal="center" vertical="center"/>
      <protection hidden="1"/>
    </xf>
    <xf numFmtId="165" fontId="2" fillId="0" borderId="4" xfId="0" applyFont="1" applyBorder="1" applyAlignment="1" applyProtection="1">
      <alignment horizontal="center" vertical="center"/>
      <protection hidden="1"/>
    </xf>
    <xf numFmtId="165" fontId="2" fillId="0" borderId="9" xfId="0" applyFont="1" applyBorder="1" applyAlignment="1" applyProtection="1">
      <alignment horizontal="justify" vertical="center" wrapText="1"/>
      <protection hidden="1"/>
    </xf>
    <xf numFmtId="165" fontId="2" fillId="0" borderId="3" xfId="0" applyFont="1" applyBorder="1" applyAlignment="1" applyProtection="1">
      <alignment horizontal="justify" vertical="center" wrapText="1"/>
      <protection hidden="1"/>
    </xf>
    <xf numFmtId="165" fontId="2" fillId="0" borderId="11" xfId="0" applyFont="1" applyBorder="1" applyAlignment="1" applyProtection="1">
      <alignment horizontal="center" vertical="center"/>
      <protection hidden="1"/>
    </xf>
    <xf numFmtId="165" fontId="2" fillId="0" borderId="10" xfId="0" applyFont="1" applyBorder="1" applyAlignment="1" applyProtection="1">
      <alignment horizontal="justify" vertical="center" wrapText="1"/>
      <protection hidden="1"/>
    </xf>
    <xf numFmtId="165" fontId="2" fillId="0" borderId="2" xfId="0" applyFont="1" applyBorder="1" applyAlignment="1" applyProtection="1">
      <alignment horizontal="justify" vertical="center" wrapText="1"/>
      <protection hidden="1"/>
    </xf>
    <xf numFmtId="165" fontId="2" fillId="0" borderId="12" xfId="0" applyFont="1" applyBorder="1" applyAlignment="1" applyProtection="1">
      <alignment horizontal="center" vertical="center"/>
      <protection hidden="1"/>
    </xf>
    <xf numFmtId="169" fontId="2" fillId="0" borderId="1" xfId="0" applyNumberFormat="1" applyFont="1" applyBorder="1" applyProtection="1">
      <alignment vertical="center"/>
      <protection hidden="1"/>
    </xf>
    <xf numFmtId="165" fontId="3" fillId="0" borderId="2" xfId="0" applyFont="1" applyBorder="1" applyProtection="1">
      <alignment vertical="center"/>
      <protection hidden="1"/>
    </xf>
    <xf numFmtId="165" fontId="7" fillId="0" borderId="0" xfId="0" applyFont="1" applyProtection="1">
      <alignment vertical="center"/>
      <protection hidden="1"/>
    </xf>
    <xf numFmtId="166" fontId="7" fillId="0" borderId="0" xfId="0" applyNumberFormat="1" applyFont="1" applyProtection="1">
      <alignment vertical="center"/>
      <protection hidden="1"/>
    </xf>
    <xf numFmtId="165" fontId="7" fillId="0" borderId="0" xfId="0" applyFont="1" applyAlignment="1" applyProtection="1">
      <alignment horizontal="right" vertical="center"/>
      <protection hidden="1"/>
    </xf>
    <xf numFmtId="165" fontId="10" fillId="0" borderId="0" xfId="0" applyFont="1" applyProtection="1">
      <alignment vertical="center"/>
      <protection hidden="1"/>
    </xf>
    <xf numFmtId="165" fontId="8" fillId="3" borderId="2" xfId="0" applyFont="1" applyFill="1" applyBorder="1" applyAlignment="1" applyProtection="1">
      <alignment horizontal="centerContinuous" vertical="center"/>
      <protection hidden="1"/>
    </xf>
    <xf numFmtId="165" fontId="11" fillId="2" borderId="3" xfId="0" applyFont="1" applyFill="1" applyBorder="1" applyAlignment="1" applyProtection="1">
      <alignment horizontal="left" vertical="center" wrapText="1"/>
      <protection hidden="1"/>
    </xf>
    <xf numFmtId="9" fontId="11" fillId="2" borderId="3" xfId="1" applyFont="1" applyFill="1" applyBorder="1" applyAlignment="1" applyProtection="1">
      <alignment vertical="center" wrapText="1"/>
      <protection hidden="1"/>
    </xf>
    <xf numFmtId="165" fontId="7" fillId="0" borderId="0" xfId="0" applyFont="1" applyAlignment="1" applyProtection="1">
      <alignment vertical="center" wrapText="1"/>
      <protection hidden="1"/>
    </xf>
    <xf numFmtId="165" fontId="11" fillId="2" borderId="2" xfId="0" applyFont="1" applyFill="1" applyBorder="1" applyAlignment="1" applyProtection="1">
      <alignment horizontal="left" vertical="center" wrapText="1"/>
      <protection hidden="1"/>
    </xf>
    <xf numFmtId="165" fontId="11" fillId="2" borderId="2" xfId="0" applyFont="1" applyFill="1" applyBorder="1" applyAlignment="1" applyProtection="1">
      <alignment horizontal="right" vertical="center" wrapText="1"/>
      <protection hidden="1"/>
    </xf>
    <xf numFmtId="165" fontId="11" fillId="0" borderId="0" xfId="0" applyFont="1" applyProtection="1">
      <alignment vertical="center"/>
      <protection hidden="1"/>
    </xf>
    <xf numFmtId="165" fontId="11" fillId="0" borderId="0" xfId="0" applyFont="1" applyAlignment="1" applyProtection="1">
      <alignment horizontal="center" vertical="center"/>
      <protection hidden="1"/>
    </xf>
    <xf numFmtId="165" fontId="8" fillId="0" borderId="0" xfId="0" applyFont="1" applyAlignment="1" applyProtection="1">
      <alignment vertical="center" wrapText="1"/>
      <protection hidden="1"/>
    </xf>
    <xf numFmtId="166" fontId="7" fillId="0" borderId="0" xfId="0" applyNumberFormat="1" applyFont="1" applyAlignment="1" applyProtection="1">
      <alignment vertical="center" wrapText="1"/>
      <protection hidden="1"/>
    </xf>
    <xf numFmtId="10" fontId="11" fillId="0" borderId="1" xfId="1" applyNumberFormat="1" applyFont="1" applyBorder="1" applyAlignment="1" applyProtection="1">
      <alignment horizontal="left" vertical="center"/>
      <protection hidden="1"/>
    </xf>
    <xf numFmtId="171" fontId="7" fillId="0" borderId="0" xfId="0" applyNumberFormat="1" applyFont="1" applyProtection="1">
      <alignment vertical="center"/>
      <protection hidden="1"/>
    </xf>
    <xf numFmtId="165" fontId="11" fillId="0" borderId="0" xfId="0" applyFont="1" applyAlignment="1" applyProtection="1">
      <alignment horizontal="left" vertical="center"/>
      <protection hidden="1"/>
    </xf>
    <xf numFmtId="165" fontId="7" fillId="0" borderId="0" xfId="0" applyFont="1" applyAlignment="1" applyProtection="1">
      <alignment horizontal="left" vertical="center"/>
      <protection hidden="1"/>
    </xf>
    <xf numFmtId="165" fontId="8" fillId="0" borderId="0" xfId="0" applyFont="1" applyAlignment="1" applyProtection="1">
      <alignment horizontal="left" vertical="center"/>
      <protection hidden="1"/>
    </xf>
    <xf numFmtId="165" fontId="7" fillId="0" borderId="0" xfId="0" applyFont="1" applyAlignment="1" applyProtection="1">
      <alignment horizontal="center" vertical="center"/>
      <protection hidden="1"/>
    </xf>
    <xf numFmtId="165" fontId="8" fillId="0" borderId="0" xfId="0" applyFont="1" applyProtection="1">
      <alignment vertical="center"/>
      <protection hidden="1"/>
    </xf>
    <xf numFmtId="165" fontId="7" fillId="0" borderId="0" xfId="0" applyFont="1" applyProtection="1">
      <alignment vertical="center"/>
      <protection hidden="1"/>
    </xf>
    <xf numFmtId="165" fontId="12" fillId="0" borderId="0" xfId="0" applyFont="1" applyProtection="1">
      <alignment vertical="center"/>
      <protection hidden="1"/>
    </xf>
    <xf numFmtId="165" fontId="7" fillId="0" borderId="0" xfId="0" applyFont="1" applyAlignment="1" applyProtection="1">
      <alignment horizontal="center" vertical="center" wrapText="1"/>
      <protection hidden="1"/>
    </xf>
    <xf numFmtId="168" fontId="7" fillId="0" borderId="0" xfId="0" applyNumberFormat="1" applyFont="1" applyProtection="1">
      <alignment vertical="center"/>
      <protection hidden="1"/>
    </xf>
    <xf numFmtId="177" fontId="7" fillId="0" borderId="0" xfId="0" applyNumberFormat="1" applyFont="1" applyAlignment="1" applyProtection="1">
      <alignment horizontal="right" vertical="center"/>
      <protection hidden="1"/>
    </xf>
    <xf numFmtId="1" fontId="7" fillId="0" borderId="0" xfId="0" applyNumberFormat="1" applyFont="1" applyAlignment="1" applyProtection="1">
      <alignment horizontal="right" vertical="center"/>
      <protection hidden="1"/>
    </xf>
    <xf numFmtId="176" fontId="7" fillId="0" borderId="0" xfId="0" applyNumberFormat="1" applyFont="1" applyAlignment="1" applyProtection="1">
      <alignment horizontal="right" wrapText="1"/>
      <protection hidden="1"/>
    </xf>
    <xf numFmtId="177" fontId="7" fillId="0" borderId="0" xfId="0" applyNumberFormat="1" applyFont="1" applyAlignment="1" applyProtection="1">
      <alignment horizontal="right" wrapText="1"/>
      <protection hidden="1"/>
    </xf>
    <xf numFmtId="11" fontId="7" fillId="0" borderId="0" xfId="0" applyNumberFormat="1" applyFont="1" applyProtection="1">
      <alignment vertical="center"/>
      <protection hidden="1"/>
    </xf>
    <xf numFmtId="176" fontId="7" fillId="0" borderId="0" xfId="0" applyNumberFormat="1" applyFont="1" applyAlignment="1" applyProtection="1">
      <alignment wrapText="1"/>
      <protection hidden="1"/>
    </xf>
    <xf numFmtId="165" fontId="7" fillId="0" borderId="0" xfId="0" applyFont="1" applyAlignment="1" applyProtection="1">
      <alignment wrapText="1"/>
      <protection hidden="1"/>
    </xf>
    <xf numFmtId="179" fontId="7" fillId="0" borderId="0" xfId="0" applyNumberFormat="1" applyFont="1" applyAlignment="1" applyProtection="1">
      <alignment wrapText="1"/>
      <protection hidden="1"/>
    </xf>
    <xf numFmtId="178" fontId="7" fillId="0" borderId="0" xfId="0" applyNumberFormat="1" applyFont="1" applyAlignment="1" applyProtection="1">
      <alignment wrapText="1"/>
      <protection hidden="1"/>
    </xf>
    <xf numFmtId="177" fontId="7" fillId="0" borderId="0" xfId="0" applyNumberFormat="1" applyFont="1" applyAlignment="1" applyProtection="1">
      <alignment wrapText="1"/>
      <protection hidden="1"/>
    </xf>
    <xf numFmtId="11" fontId="7" fillId="0" borderId="0" xfId="0" applyNumberFormat="1" applyFont="1" applyAlignment="1" applyProtection="1">
      <alignment wrapText="1"/>
      <protection hidden="1"/>
    </xf>
    <xf numFmtId="168" fontId="7" fillId="0" borderId="0" xfId="0" applyNumberFormat="1" applyFont="1" applyAlignment="1" applyProtection="1">
      <alignment wrapText="1"/>
      <protection hidden="1"/>
    </xf>
    <xf numFmtId="172" fontId="7" fillId="0" borderId="0" xfId="1" applyNumberFormat="1" applyFont="1" applyFill="1" applyProtection="1">
      <protection hidden="1"/>
    </xf>
    <xf numFmtId="167" fontId="7" fillId="0" borderId="0" xfId="0" applyNumberFormat="1" applyFont="1" applyAlignment="1" applyProtection="1">
      <alignment wrapText="1"/>
      <protection hidden="1"/>
    </xf>
    <xf numFmtId="170" fontId="7" fillId="0" borderId="0" xfId="0" applyNumberFormat="1" applyFont="1" applyProtection="1">
      <alignment vertical="center"/>
      <protection hidden="1"/>
    </xf>
    <xf numFmtId="167" fontId="7" fillId="0" borderId="0" xfId="0" applyNumberFormat="1" applyFont="1" applyProtection="1">
      <alignment vertical="center"/>
      <protection hidden="1"/>
    </xf>
    <xf numFmtId="180" fontId="7" fillId="0" borderId="0" xfId="1" applyNumberFormat="1" applyFont="1" applyFill="1" applyAlignment="1" applyProtection="1">
      <alignment vertical="center"/>
      <protection hidden="1"/>
    </xf>
    <xf numFmtId="175" fontId="7" fillId="0" borderId="0" xfId="0" applyNumberFormat="1" applyFont="1" applyProtection="1">
      <alignment vertical="center"/>
      <protection hidden="1"/>
    </xf>
    <xf numFmtId="169" fontId="7" fillId="0" borderId="0" xfId="0" applyNumberFormat="1" applyFont="1" applyProtection="1">
      <alignment vertical="center"/>
      <protection hidden="1"/>
    </xf>
    <xf numFmtId="165" fontId="2" fillId="51" borderId="0" xfId="21" applyFont="1" applyProtection="1">
      <alignment horizontal="justify" vertical="center" wrapText="1"/>
      <protection hidden="1"/>
    </xf>
    <xf numFmtId="165" fontId="2" fillId="53" borderId="0" xfId="23" applyFont="1" applyProtection="1">
      <alignment horizontal="justify" vertical="center" wrapText="1"/>
      <protection hidden="1"/>
    </xf>
    <xf numFmtId="165" fontId="2" fillId="0" borderId="0" xfId="4" applyFont="1" applyFill="1" applyAlignment="1" applyProtection="1">
      <alignment vertical="center"/>
      <protection hidden="1"/>
    </xf>
    <xf numFmtId="165" fontId="2" fillId="54" borderId="0" xfId="24" applyFont="1" applyProtection="1">
      <alignment horizontal="left" vertical="center"/>
      <protection hidden="1"/>
    </xf>
    <xf numFmtId="164" fontId="2" fillId="0" borderId="0" xfId="3" applyFont="1" applyFill="1" applyProtection="1">
      <alignment horizontal="justify" vertical="center" wrapText="1"/>
      <protection hidden="1"/>
    </xf>
    <xf numFmtId="165" fontId="2" fillId="54" borderId="0" xfId="24" applyFont="1" applyAlignment="1" applyProtection="1">
      <alignment vertical="center"/>
      <protection hidden="1"/>
    </xf>
    <xf numFmtId="165" fontId="2" fillId="55" borderId="0" xfId="25" applyFont="1" applyProtection="1">
      <alignment horizontal="center" vertical="center" wrapText="1"/>
      <protection hidden="1"/>
    </xf>
    <xf numFmtId="165" fontId="2" fillId="55" borderId="0" xfId="25" applyFont="1" applyProtection="1">
      <alignment horizontal="center" vertical="center" wrapText="1"/>
      <protection hidden="1"/>
    </xf>
    <xf numFmtId="165" fontId="3" fillId="3" borderId="2" xfId="0" applyFont="1" applyFill="1" applyBorder="1" applyAlignment="1" applyProtection="1">
      <alignment horizontal="center" vertical="center"/>
      <protection locked="0" hidden="1"/>
    </xf>
    <xf numFmtId="165" fontId="7" fillId="54" borderId="0" xfId="24" applyAlignment="1" applyProtection="1">
      <alignment horizontal="center" vertical="center"/>
      <protection locked="0" hidden="1"/>
    </xf>
    <xf numFmtId="2" fontId="2" fillId="0" borderId="2" xfId="0" applyNumberFormat="1" applyFont="1" applyBorder="1" applyAlignment="1" applyProtection="1">
      <protection locked="0" hidden="1"/>
    </xf>
    <xf numFmtId="1" fontId="2" fillId="0" borderId="2" xfId="0" applyNumberFormat="1" applyFont="1" applyBorder="1" applyAlignment="1" applyProtection="1">
      <protection locked="0" hidden="1"/>
    </xf>
    <xf numFmtId="2" fontId="2" fillId="0" borderId="1" xfId="0" applyNumberFormat="1" applyFont="1" applyBorder="1" applyAlignment="1" applyProtection="1">
      <protection locked="0" hidden="1"/>
    </xf>
    <xf numFmtId="1" fontId="2" fillId="0" borderId="1" xfId="0" applyNumberFormat="1" applyFont="1" applyBorder="1" applyAlignment="1" applyProtection="1">
      <protection locked="0" hidden="1"/>
    </xf>
    <xf numFmtId="165" fontId="2" fillId="0" borderId="2" xfId="0" applyFont="1" applyBorder="1" applyAlignment="1" applyProtection="1">
      <alignment horizontal="right" vertical="center"/>
      <protection locked="0" hidden="1"/>
    </xf>
  </cellXfs>
  <cellStyles count="60">
    <cellStyle name="40% - Ênfase6" xfId="9" builtinId="51" customBuiltin="1"/>
    <cellStyle name="APT1" xfId="10" xr:uid="{CBFFFE67-40D0-4ABC-A8CA-2DDE6DCA5105}"/>
    <cellStyle name="APT2" xfId="11" xr:uid="{4DEED522-D7FD-4366-88FF-EA2AADA8A08A}"/>
    <cellStyle name="APT3" xfId="12" xr:uid="{A1464710-1611-49DB-B299-AF66DA397805}"/>
    <cellStyle name="APT4" xfId="13" xr:uid="{5ED50215-CA20-4811-A11E-05BB279BF4DB}"/>
    <cellStyle name="APT5" xfId="14" xr:uid="{8DA0C4FE-CBC7-4E83-8324-3350AAA47061}"/>
    <cellStyle name="AZUL1" xfId="15" xr:uid="{FE547E8E-C350-494F-8A2D-F62A292A1B92}"/>
    <cellStyle name="AZUL2" xfId="16" xr:uid="{1D4E31A9-214F-45BA-9207-84EE885317F1}"/>
    <cellStyle name="AZUL3" xfId="17" xr:uid="{181BFC89-DB41-4EB9-8680-8640E70273D1}"/>
    <cellStyle name="AZUL4" xfId="18" xr:uid="{3AE9CC27-CDFA-46CE-9BA9-C18AD1BE4E10}"/>
    <cellStyle name="AZUL5" xfId="19" xr:uid="{EA6E4CEE-CC1C-4C4D-914C-2688FA842121}"/>
    <cellStyle name="CLARO1" xfId="31" xr:uid="{100BD586-7375-4A7A-8403-A41E62E87235}"/>
    <cellStyle name="COMERCIAL1" xfId="32" xr:uid="{76CBBBA8-6E55-4916-AA92-DC110334D0CF}"/>
    <cellStyle name="COMERCIAL2" xfId="33" xr:uid="{2FC695AA-ACF7-4CEE-A50E-970CBAEEB957}"/>
    <cellStyle name="COMERCIAL3" xfId="34" xr:uid="{60E4D87E-051F-445F-A34A-CFE08AB07478}"/>
    <cellStyle name="COMERCIAL4" xfId="35" xr:uid="{20DD9C4D-A67D-456F-9445-6F4D2C9D1DA0}"/>
    <cellStyle name="COMERCIAL5" xfId="36" xr:uid="{0349C4F9-4E70-4D7C-A22B-F9100D97AD83}"/>
    <cellStyle name="Ênfase6" xfId="8" builtinId="49" customBuiltin="1"/>
    <cellStyle name="ESCURO1" xfId="37" xr:uid="{D283C003-C486-41AC-B27E-356218D56268}"/>
    <cellStyle name="ESTILO1" xfId="38" xr:uid="{05C1A01A-1C9B-4EE8-B1F1-56330B7F21FE}"/>
    <cellStyle name="ESTILO2" xfId="39" xr:uid="{7F114BDC-996C-4722-ACAD-815277AC2D84}"/>
    <cellStyle name="ESTILO3" xfId="40" xr:uid="{FFD3D613-1351-467A-B015-6436382FA45C}"/>
    <cellStyle name="ESTILO4" xfId="41" xr:uid="{2D727426-71C3-4A3A-A0EA-890C1A667311}"/>
    <cellStyle name="ESTILO5" xfId="42" xr:uid="{A00F740B-2955-4201-AE86-64E9D9BC64E1}"/>
    <cellStyle name="FORTE1" xfId="21" xr:uid="{61B8BD26-564C-412A-9632-62CB6FABAD32}"/>
    <cellStyle name="FORTE2" xfId="22" xr:uid="{89536C91-E0B9-4AC7-9ABB-0EB8BC339A6B}"/>
    <cellStyle name="FORTE3" xfId="23" xr:uid="{94F04284-9273-468F-BC30-920C60D292C2}"/>
    <cellStyle name="FORTE4" xfId="24" xr:uid="{AE87FD3A-8FC8-4AA8-A199-069633A9318C}"/>
    <cellStyle name="FORTE5" xfId="25" xr:uid="{2F9F1B1A-109C-4D8C-8A17-3C2D71E591E0}"/>
    <cellStyle name="Inverso" xfId="20" xr:uid="{386325AC-1BEA-4F80-98FC-44D1661522A4}"/>
    <cellStyle name="LINHA1" xfId="7" xr:uid="{A6CCC20E-E2B4-4977-BE86-90F52819A386}"/>
    <cellStyle name="LINHA2" xfId="6" xr:uid="{1939EA1C-DF64-4DE7-9BDB-991253F9D7B1}"/>
    <cellStyle name="LINHA3" xfId="3" xr:uid="{D2310929-3580-4F7E-9ABB-D3A2B2C46E80}"/>
    <cellStyle name="LINHA4" xfId="4" xr:uid="{1662330F-424F-4D8E-8357-4DE52855811E}"/>
    <cellStyle name="LINHA5" xfId="5" xr:uid="{E28ECB3D-74E8-4DED-A831-A633615652D8}"/>
    <cellStyle name="Normal" xfId="0" builtinId="0" customBuiltin="1"/>
    <cellStyle name="Porcentagem" xfId="1" builtinId="5"/>
    <cellStyle name="RESEDA" xfId="43" xr:uid="{C45EE55F-BB3A-4421-AD9D-C8811758E3E2}"/>
    <cellStyle name="RESEDA1" xfId="44" xr:uid="{1DB8FFA5-73DE-44FD-AC61-B57F126F9EF8}"/>
    <cellStyle name="RESEDA2" xfId="45" xr:uid="{3B08D469-5306-4885-B5A3-E18E247BC166}"/>
    <cellStyle name="RESEDA3" xfId="46" xr:uid="{E49BFC51-E4F8-4E9D-944A-A0483F0D6024}"/>
    <cellStyle name="RESEDA4" xfId="47" xr:uid="{8CC5035A-7DC7-43B1-853E-711D609ED0C5}"/>
    <cellStyle name="RESEDA5" xfId="48" xr:uid="{D5018241-EA28-4D12-86AE-B22F5BEACF55}"/>
    <cellStyle name="RESEDA6" xfId="49" xr:uid="{672C44B6-5E13-4491-AFA9-EF9763C64896}"/>
    <cellStyle name="RESID1" xfId="26" xr:uid="{727FB91F-2CD0-4B48-A97F-998311EF3E4A}"/>
    <cellStyle name="RESID2" xfId="27" xr:uid="{F77F48D4-223F-4912-A51A-9E740A797586}"/>
    <cellStyle name="RESID3" xfId="28" xr:uid="{C76E2C86-BB11-4DF1-A0E2-953679105CE1}"/>
    <cellStyle name="RESID4" xfId="29" xr:uid="{EF267355-B6D4-4B64-AEEF-934C69545527}"/>
    <cellStyle name="RESID5" xfId="30" xr:uid="{38C8EC6D-92A9-4513-8895-2CAB39CD025B}"/>
    <cellStyle name="RURAL1" xfId="50" xr:uid="{F17CDD19-2CB6-4F80-A823-16D5AB6A3F01}"/>
    <cellStyle name="RURAL2" xfId="51" xr:uid="{FB1C96AA-D5C0-41FA-81AA-257DB35C66AA}"/>
    <cellStyle name="RURAL3" xfId="52" xr:uid="{C2B70DFA-8434-46C7-B821-E3B55373C2F4}"/>
    <cellStyle name="RURAL4" xfId="53" xr:uid="{1D0B9408-667B-4832-A904-F7AED0823F5D}"/>
    <cellStyle name="RURAL5" xfId="54" xr:uid="{C376F7C7-FE02-4F96-B575-1798CE29210A}"/>
    <cellStyle name="VERDE1" xfId="55" xr:uid="{6B4BFC2D-F854-41E7-8DEC-E6D2A5CB26CE}"/>
    <cellStyle name="VERDE2" xfId="56" xr:uid="{44A9CFD3-16A4-45D6-A740-FADD85C15460}"/>
    <cellStyle name="VERDE3" xfId="57" xr:uid="{49D1F4E5-F4CF-463F-BAEB-74D50CBDC174}"/>
    <cellStyle name="VERDE4" xfId="58" xr:uid="{D1C93DFB-93B9-4D17-94BC-C57853960721}"/>
    <cellStyle name="VERDE5" xfId="59" xr:uid="{56946D61-3B02-4050-AB55-AD11BBD28CAE}"/>
    <cellStyle name="Vírgula" xfId="2" builtinId="3"/>
  </cellStyles>
  <dxfs count="22">
    <dxf>
      <fill>
        <patternFill>
          <bgColor theme="3" tint="0.749961851863155"/>
        </patternFill>
      </fill>
    </dxf>
    <dxf>
      <fill>
        <patternFill>
          <bgColor theme="3" tint="0.89996032593768116"/>
        </patternFill>
      </fill>
    </dxf>
    <dxf>
      <fill>
        <patternFill>
          <bgColor theme="3" tint="0.8999603259376811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FF"/>
      <color rgb="FF026842"/>
      <color rgb="FFB1CBBC"/>
      <color rgb="FF8BB29B"/>
      <color rgb="FF64997C"/>
      <color rgb="FF3D805E"/>
      <color rgb="FFB4E1C3"/>
      <color rgb="FFC3F0DC"/>
      <color rgb="FFC8F0D2"/>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1"/>
          <c:order val="1"/>
          <c:tx>
            <c:strRef>
              <c:f>'RESULTADOS DA REGRESSÃO'!$E$326</c:f>
              <c:strCache>
                <c:ptCount val="1"/>
                <c:pt idx="0">
                  <c:v>Bissetriz do primeiro quadrante</c:v>
                </c:pt>
              </c:strCache>
            </c:strRef>
          </c:tx>
          <c:spPr>
            <a:ln w="12700" cap="rnd">
              <a:solidFill>
                <a:schemeClr val="tx1"/>
              </a:solidFill>
              <a:round/>
            </a:ln>
            <a:effectLst/>
          </c:spPr>
          <c:marker>
            <c:symbol val="none"/>
          </c:marker>
          <c:xVal>
            <c:numRef>
              <c:f>'RESULTADOS DA REGRESSÃO'!$E$327:$E$340</c:f>
              <c:numCache>
                <c:formatCode>#,##0.00_ ;\-#,##0.00\ </c:formatCode>
                <c:ptCount val="14"/>
                <c:pt idx="0">
                  <c:v>0</c:v>
                </c:pt>
                <c:pt idx="1">
                  <c:v>715500</c:v>
                </c:pt>
                <c:pt idx="2">
                  <c:v>743400</c:v>
                </c:pt>
                <c:pt idx="3">
                  <c:v>831600</c:v>
                </c:pt>
                <c:pt idx="4">
                  <c:v>843300</c:v>
                </c:pt>
                <c:pt idx="5">
                  <c:v>850500</c:v>
                </c:pt>
                <c:pt idx="6">
                  <c:v>854100</c:v>
                </c:pt>
                <c:pt idx="7">
                  <c:v>849600</c:v>
                </c:pt>
                <c:pt idx="8">
                  <c:v>846000</c:v>
                </c:pt>
                <c:pt idx="9">
                  <c:v>871200</c:v>
                </c:pt>
                <c:pt idx="10">
                  <c:v>869400</c:v>
                </c:pt>
                <c:pt idx="11">
                  <c:v>936000</c:v>
                </c:pt>
                <c:pt idx="12">
                  <c:v>954000</c:v>
                </c:pt>
                <c:pt idx="13">
                  <c:v>1144800</c:v>
                </c:pt>
              </c:numCache>
            </c:numRef>
          </c:xVal>
          <c:yVal>
            <c:numRef>
              <c:f>'RESULTADOS DA REGRESSÃO'!$E$327:$E$340</c:f>
              <c:numCache>
                <c:formatCode>#,##0.00_ ;\-#,##0.00\ </c:formatCode>
                <c:ptCount val="14"/>
                <c:pt idx="0">
                  <c:v>0</c:v>
                </c:pt>
                <c:pt idx="1">
                  <c:v>715500</c:v>
                </c:pt>
                <c:pt idx="2">
                  <c:v>743400</c:v>
                </c:pt>
                <c:pt idx="3">
                  <c:v>831600</c:v>
                </c:pt>
                <c:pt idx="4">
                  <c:v>843300</c:v>
                </c:pt>
                <c:pt idx="5">
                  <c:v>850500</c:v>
                </c:pt>
                <c:pt idx="6">
                  <c:v>854100</c:v>
                </c:pt>
                <c:pt idx="7">
                  <c:v>849600</c:v>
                </c:pt>
                <c:pt idx="8">
                  <c:v>846000</c:v>
                </c:pt>
                <c:pt idx="9">
                  <c:v>871200</c:v>
                </c:pt>
                <c:pt idx="10">
                  <c:v>869400</c:v>
                </c:pt>
                <c:pt idx="11">
                  <c:v>936000</c:v>
                </c:pt>
                <c:pt idx="12">
                  <c:v>954000</c:v>
                </c:pt>
                <c:pt idx="13">
                  <c:v>1144800</c:v>
                </c:pt>
              </c:numCache>
            </c:numRef>
          </c:yVal>
          <c:smooth val="1"/>
          <c:extLst xmlns:c15="http://schemas.microsoft.com/office/drawing/2012/chart">
            <c:ext xmlns:c16="http://schemas.microsoft.com/office/drawing/2014/chart" uri="{C3380CC4-5D6E-409C-BE32-E72D297353CC}">
              <c16:uniqueId val="{00000003-6EBD-48B0-A12D-9EB13936502E}"/>
            </c:ext>
          </c:extLst>
        </c:ser>
        <c:dLbls>
          <c:showLegendKey val="0"/>
          <c:showVal val="0"/>
          <c:showCatName val="0"/>
          <c:showSerName val="0"/>
          <c:showPercent val="0"/>
          <c:showBubbleSize val="0"/>
        </c:dLbls>
        <c:axId val="1927609647"/>
        <c:axId val="1927610127"/>
      </c:scatterChart>
      <c:scatterChart>
        <c:scatterStyle val="lineMarker"/>
        <c:varyColors val="0"/>
        <c:ser>
          <c:idx val="2"/>
          <c:order val="0"/>
          <c:tx>
            <c:v>Valores estimados</c:v>
          </c:tx>
          <c:spPr>
            <a:ln w="25400" cap="rnd">
              <a:noFill/>
              <a:round/>
            </a:ln>
            <a:effectLst/>
          </c:spPr>
          <c:marker>
            <c:symbol val="diamond"/>
            <c:size val="8"/>
            <c:spPr>
              <a:solidFill>
                <a:srgbClr val="0000FF"/>
              </a:solidFill>
              <a:ln w="12700">
                <a:noFill/>
              </a:ln>
              <a:effectLst/>
            </c:spPr>
          </c:marker>
          <c:xVal>
            <c:numRef>
              <c:f>'RESULTADOS DA REGRESSÃO'!$E$328:$E$339</c:f>
              <c:numCache>
                <c:formatCode>#,##0.00_ ;\-#,##0.00\ </c:formatCode>
                <c:ptCount val="12"/>
                <c:pt idx="0">
                  <c:v>715500</c:v>
                </c:pt>
                <c:pt idx="1">
                  <c:v>743400</c:v>
                </c:pt>
                <c:pt idx="2">
                  <c:v>831600</c:v>
                </c:pt>
                <c:pt idx="3">
                  <c:v>843300</c:v>
                </c:pt>
                <c:pt idx="4">
                  <c:v>850500</c:v>
                </c:pt>
                <c:pt idx="5">
                  <c:v>854100</c:v>
                </c:pt>
                <c:pt idx="6">
                  <c:v>849600</c:v>
                </c:pt>
                <c:pt idx="7">
                  <c:v>846000</c:v>
                </c:pt>
                <c:pt idx="8">
                  <c:v>871200</c:v>
                </c:pt>
                <c:pt idx="9">
                  <c:v>869400</c:v>
                </c:pt>
                <c:pt idx="10">
                  <c:v>936000</c:v>
                </c:pt>
                <c:pt idx="11">
                  <c:v>954000</c:v>
                </c:pt>
              </c:numCache>
            </c:numRef>
          </c:xVal>
          <c:yVal>
            <c:numRef>
              <c:f>'RESULTADOS DA REGRESSÃO'!$F$328:$F$339</c:f>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yVal>
          <c:smooth val="0"/>
          <c:extLst>
            <c:ext xmlns:c16="http://schemas.microsoft.com/office/drawing/2014/chart" uri="{C3380CC4-5D6E-409C-BE32-E72D297353CC}">
              <c16:uniqueId val="{00000000-8F9E-4792-8F42-B80E59B263AE}"/>
            </c:ext>
          </c:extLst>
        </c:ser>
        <c:dLbls>
          <c:showLegendKey val="0"/>
          <c:showVal val="0"/>
          <c:showCatName val="0"/>
          <c:showSerName val="0"/>
          <c:showPercent val="0"/>
          <c:showBubbleSize val="0"/>
        </c:dLbls>
        <c:axId val="1927609647"/>
        <c:axId val="1927610127"/>
        <c:extLst>
          <c:ext xmlns:c15="http://schemas.microsoft.com/office/drawing/2012/chart" uri="{02D57815-91ED-43cb-92C2-25804820EDAC}">
            <c15:filteredScatterSeries>
              <c15:ser>
                <c:idx val="0"/>
                <c:order val="2"/>
                <c:tx>
                  <c:strRef>
                    <c:extLst>
                      <c:ext uri="{02D57815-91ED-43cb-92C2-25804820EDAC}">
                        <c15:formulaRef>
                          <c15:sqref>'RESULTADOS DA REGRESSÃO'!$B$198</c15:sqref>
                        </c15:formulaRef>
                      </c:ext>
                    </c:extLst>
                    <c:strCache>
                      <c:ptCount val="1"/>
                      <c:pt idx="0">
                        <c:v>Valor observado</c:v>
                      </c:pt>
                    </c:strCache>
                  </c:strRef>
                </c:tx>
                <c:spPr>
                  <a:ln w="25400" cap="rnd">
                    <a:noFill/>
                    <a:round/>
                  </a:ln>
                  <a:effectLst/>
                </c:spPr>
                <c:marker>
                  <c:symbol val="diamond"/>
                  <c:size val="8"/>
                  <c:spPr>
                    <a:solidFill>
                      <a:srgbClr val="0000FF"/>
                    </a:solidFill>
                    <a:ln w="12700">
                      <a:noFill/>
                    </a:ln>
                    <a:effectLst/>
                  </c:spPr>
                </c:marker>
                <c:xVal>
                  <c:numRef>
                    <c:extLst>
                      <c:ext uri="{02D57815-91ED-43cb-92C2-25804820EDAC}">
                        <c15:formulaRef>
                          <c15:sqref>'RESULTADOS DA REGRESSÃO'!$B$182:$B$193</c15:sqref>
                        </c15:formulaRef>
                      </c:ext>
                    </c:extLst>
                    <c:numCache>
                      <c:formatCode>#,##0.00_ ;\-#,##0.00\ </c:formatCode>
                      <c:ptCount val="12"/>
                      <c:pt idx="0">
                        <c:v>715500</c:v>
                      </c:pt>
                      <c:pt idx="1">
                        <c:v>743400</c:v>
                      </c:pt>
                      <c:pt idx="2">
                        <c:v>831600</c:v>
                      </c:pt>
                      <c:pt idx="3">
                        <c:v>843300</c:v>
                      </c:pt>
                      <c:pt idx="4">
                        <c:v>850500</c:v>
                      </c:pt>
                      <c:pt idx="5">
                        <c:v>854100</c:v>
                      </c:pt>
                      <c:pt idx="6">
                        <c:v>849600</c:v>
                      </c:pt>
                      <c:pt idx="7">
                        <c:v>846000</c:v>
                      </c:pt>
                      <c:pt idx="8">
                        <c:v>871200</c:v>
                      </c:pt>
                      <c:pt idx="9">
                        <c:v>869400</c:v>
                      </c:pt>
                      <c:pt idx="10">
                        <c:v>936000</c:v>
                      </c:pt>
                      <c:pt idx="11">
                        <c:v>954000</c:v>
                      </c:pt>
                    </c:numCache>
                  </c:numRef>
                </c:xVal>
                <c:yVal>
                  <c:numRef>
                    <c:extLst>
                      <c:ext uri="{02D57815-91ED-43cb-92C2-25804820EDAC}">
                        <c15:formulaRef>
                          <c15:sqref>'RESULTADOS DA REGRESSÃO'!$C$182:$C$193</c15:sqref>
                        </c15:formulaRef>
                      </c:ext>
                    </c:extLst>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yVal>
                <c:smooth val="0"/>
                <c:extLst>
                  <c:ext xmlns:c16="http://schemas.microsoft.com/office/drawing/2014/chart" uri="{C3380CC4-5D6E-409C-BE32-E72D297353CC}">
                    <c16:uniqueId val="{00000001-6EBD-48B0-A12D-9EB13936502E}"/>
                  </c:ext>
                </c:extLst>
              </c15:ser>
            </c15:filteredScatterSeries>
          </c:ext>
        </c:extLst>
      </c:scatterChart>
      <c:valAx>
        <c:axId val="1927609647"/>
        <c:scaling>
          <c:orientation val="minMax"/>
        </c:scaling>
        <c:delete val="0"/>
        <c:axPos val="b"/>
        <c:numFmt formatCode="#,##0" sourceLinked="0"/>
        <c:majorTickMark val="none"/>
        <c:minorTickMark val="none"/>
        <c:tickLblPos val="nextTo"/>
        <c:spPr>
          <a:noFill/>
          <a:ln w="9525" cap="flat" cmpd="sng" algn="ctr">
            <a:solidFill>
              <a:schemeClr val="tx1">
                <a:lumMod val="65000"/>
                <a:lumOff val="35000"/>
              </a:schemeClr>
            </a:solidFill>
            <a:round/>
            <a:tailEnd type="triangle"/>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ptos" panose="020B0004020202020204" pitchFamily="34" charset="0"/>
                <a:ea typeface="+mn-ea"/>
                <a:cs typeface="+mn-cs"/>
              </a:defRPr>
            </a:pPr>
            <a:endParaRPr lang="pt-BR"/>
          </a:p>
        </c:txPr>
        <c:crossAx val="1927610127"/>
        <c:crosses val="autoZero"/>
        <c:crossBetween val="midCat"/>
        <c:dispUnits>
          <c:builtInUnit val="thousands"/>
          <c:dispUnits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ptos" panose="020B0004020202020204" pitchFamily="34" charset="0"/>
                    <a:ea typeface="+mn-ea"/>
                    <a:cs typeface="+mn-cs"/>
                  </a:defRPr>
                </a:pPr>
                <a:endParaRPr lang="pt-BR"/>
              </a:p>
            </c:txPr>
          </c:dispUnitsLbl>
        </c:dispUnits>
      </c:valAx>
      <c:valAx>
        <c:axId val="1927610127"/>
        <c:scaling>
          <c:orientation val="minMax"/>
        </c:scaling>
        <c:delete val="0"/>
        <c:axPos val="l"/>
        <c:numFmt formatCode="#,##0_ ;\-#,##0\ " sourceLinked="0"/>
        <c:majorTickMark val="none"/>
        <c:minorTickMark val="none"/>
        <c:tickLblPos val="nextTo"/>
        <c:spPr>
          <a:noFill/>
          <a:ln w="9525" cap="flat" cmpd="sng" algn="ctr">
            <a:solidFill>
              <a:schemeClr val="tx1">
                <a:lumMod val="65000"/>
                <a:lumOff val="35000"/>
              </a:schemeClr>
            </a:solidFill>
            <a:round/>
            <a:tailEnd type="triangle"/>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ptos" panose="020B0004020202020204" pitchFamily="34" charset="0"/>
                <a:ea typeface="+mn-ea"/>
                <a:cs typeface="+mn-cs"/>
              </a:defRPr>
            </a:pPr>
            <a:endParaRPr lang="pt-BR"/>
          </a:p>
        </c:txPr>
        <c:crossAx val="1927609647"/>
        <c:crosses val="autoZero"/>
        <c:crossBetween val="midCat"/>
        <c:dispUnits>
          <c:builtInUnit val="thousands"/>
          <c:dispUnitsLbl>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ptos" panose="020B0004020202020204" pitchFamily="34" charset="0"/>
                    <a:ea typeface="+mn-ea"/>
                    <a:cs typeface="+mn-cs"/>
                  </a:defRPr>
                </a:pPr>
                <a:endParaRPr lang="pt-BR"/>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ptos" panose="020B0004020202020204" pitchFamily="34" charset="0"/>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solidFill>
            <a:sysClr val="windowText" lastClr="000000"/>
          </a:solidFill>
          <a:latin typeface="Aptos" panose="020B0004020202020204" pitchFamily="34" charset="0"/>
        </a:defRPr>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'RESULTADOS DA REGRESSÃO'!$D$181</c:f>
              <c:strCache>
                <c:ptCount val="1"/>
                <c:pt idx="0">
                  <c:v>Resíduo</c:v>
                </c:pt>
              </c:strCache>
            </c:strRef>
          </c:tx>
          <c:spPr>
            <a:ln w="25400" cap="rnd">
              <a:noFill/>
              <a:round/>
            </a:ln>
            <a:effectLst/>
          </c:spPr>
          <c:marker>
            <c:symbol val="diamond"/>
            <c:size val="8"/>
            <c:spPr>
              <a:solidFill>
                <a:srgbClr val="FF0000"/>
              </a:solidFill>
              <a:ln w="9525">
                <a:noFill/>
              </a:ln>
              <a:effectLst/>
            </c:spPr>
          </c:marker>
          <c:xVal>
            <c:numRef>
              <c:f>'RESULTADOS DA REGRESSÃO'!$C$182:$C$193</c:f>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xVal>
          <c:yVal>
            <c:numRef>
              <c:f>'RESULTADOS DA REGRESSÃO'!$D$182:$D$193</c:f>
              <c:numCache>
                <c:formatCode>#,##0.00_ ;\-#,##0.00\ </c:formatCode>
                <c:ptCount val="12"/>
                <c:pt idx="0">
                  <c:v>-170.48233972606249</c:v>
                </c:pt>
                <c:pt idx="1">
                  <c:v>265.61589372646995</c:v>
                </c:pt>
                <c:pt idx="2">
                  <c:v>-263.94118594611064</c:v>
                </c:pt>
                <c:pt idx="3">
                  <c:v>168.80763186118565</c:v>
                </c:pt>
                <c:pt idx="4">
                  <c:v>495.95255932048894</c:v>
                </c:pt>
                <c:pt idx="5">
                  <c:v>-223.15426317416131</c:v>
                </c:pt>
                <c:pt idx="6">
                  <c:v>-263.23898696759716</c:v>
                </c:pt>
                <c:pt idx="7">
                  <c:v>-13.616290428908542</c:v>
                </c:pt>
                <c:pt idx="8">
                  <c:v>-258.77309944084845</c:v>
                </c:pt>
                <c:pt idx="9">
                  <c:v>241.58876551827416</c:v>
                </c:pt>
                <c:pt idx="10">
                  <c:v>-81.221521113533527</c:v>
                </c:pt>
                <c:pt idx="11">
                  <c:v>102.46283609606326</c:v>
                </c:pt>
              </c:numCache>
            </c:numRef>
          </c:yVal>
          <c:smooth val="0"/>
          <c:extLst>
            <c:ext xmlns:c16="http://schemas.microsoft.com/office/drawing/2014/chart" uri="{C3380CC4-5D6E-409C-BE32-E72D297353CC}">
              <c16:uniqueId val="{00000000-AA7F-442B-978F-A5ED946337A6}"/>
            </c:ext>
          </c:extLst>
        </c:ser>
        <c:dLbls>
          <c:showLegendKey val="0"/>
          <c:showVal val="0"/>
          <c:showCatName val="0"/>
          <c:showSerName val="0"/>
          <c:showPercent val="0"/>
          <c:showBubbleSize val="0"/>
        </c:dLbls>
        <c:axId val="1092519008"/>
        <c:axId val="1959149759"/>
      </c:scatterChart>
      <c:valAx>
        <c:axId val="1092519008"/>
        <c:scaling>
          <c:orientation val="minMax"/>
          <c:max val="1000000"/>
          <c:min val="700000"/>
        </c:scaling>
        <c:delete val="0"/>
        <c:axPos val="b"/>
        <c:numFmt formatCode="#,##0_ ;\-#,##0\ " sourceLinked="0"/>
        <c:majorTickMark val="none"/>
        <c:minorTickMark val="none"/>
        <c:tickLblPos val="nextTo"/>
        <c:spPr>
          <a:noFill/>
          <a:ln w="12700" cap="flat" cmpd="sng" algn="ctr">
            <a:solidFill>
              <a:schemeClr val="tx1">
                <a:lumMod val="65000"/>
                <a:lumOff val="35000"/>
              </a:schemeClr>
            </a:solidFill>
            <a:round/>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959149759"/>
        <c:crosses val="autoZero"/>
        <c:crossBetween val="midCat"/>
        <c:dispUnits>
          <c:builtInUnit val="thousands"/>
          <c:dispUnitsLbl>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dispUnitsLbl>
        </c:dispUnits>
      </c:valAx>
      <c:valAx>
        <c:axId val="1959149759"/>
        <c:scaling>
          <c:orientation val="minMax"/>
          <c:min val="-600"/>
        </c:scaling>
        <c:delete val="0"/>
        <c:axPos val="l"/>
        <c:numFmt formatCode="#,##0_ ;\-#,##0\ " sourceLinked="0"/>
        <c:majorTickMark val="none"/>
        <c:minorTickMark val="none"/>
        <c:tickLblPos val="nextTo"/>
        <c:spPr>
          <a:noFill/>
          <a:ln w="12700" cap="flat" cmpd="sng" algn="ctr">
            <a:solidFill>
              <a:schemeClr val="tx1">
                <a:lumMod val="65000"/>
                <a:lumOff val="35000"/>
              </a:schemeClr>
            </a:solidFill>
            <a:round/>
            <a:headEnd type="triangle"/>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09251900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ptos" panose="020B0004020202020204" pitchFamily="34" charset="0"/>
        </a:defRPr>
      </a:pPr>
      <a:endParaRPr lang="pt-BR"/>
    </a:p>
  </c:tx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1"/>
          <c:tx>
            <c:v>Corte</c:v>
          </c:tx>
          <c:spPr>
            <a:ln w="12700">
              <a:solidFill>
                <a:srgbClr val="0000FF"/>
              </a:solidFill>
            </a:ln>
            <a:effectLst/>
          </c:spPr>
          <c:marker>
            <c:symbol val="none"/>
          </c:marker>
          <c:val>
            <c:numRef>
              <c:f>'RESULTADOS DA REGRESSÃO'!$L$250:$L$261</c:f>
              <c:numCache>
                <c:formatCode>#,##0.00_ ;\-#,##0.00\ </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0-CA92-4F57-BC2A-7F87AB9E28E4}"/>
            </c:ext>
          </c:extLst>
        </c:ser>
        <c:dLbls>
          <c:showLegendKey val="0"/>
          <c:showVal val="0"/>
          <c:showCatName val="0"/>
          <c:showSerName val="0"/>
          <c:showPercent val="0"/>
          <c:showBubbleSize val="0"/>
        </c:dLbls>
        <c:marker val="1"/>
        <c:smooth val="0"/>
        <c:axId val="661746975"/>
        <c:axId val="661747391"/>
      </c:lineChart>
      <c:scatterChart>
        <c:scatterStyle val="lineMarker"/>
        <c:varyColors val="0"/>
        <c:ser>
          <c:idx val="1"/>
          <c:order val="0"/>
          <c:tx>
            <c:v>Estatística de Cook</c:v>
          </c:tx>
          <c:spPr>
            <a:ln w="25400">
              <a:noFill/>
            </a:ln>
            <a:effectLst/>
          </c:spPr>
          <c:marker>
            <c:symbol val="diamond"/>
            <c:size val="6"/>
            <c:spPr>
              <a:solidFill>
                <a:srgbClr val="FF0000"/>
              </a:solidFill>
              <a:ln w="9525" cap="flat" cmpd="sng" algn="ctr">
                <a:noFill/>
                <a:round/>
              </a:ln>
              <a:effectLst/>
            </c:spPr>
          </c:marker>
          <c:yVal>
            <c:numRef>
              <c:f>'RESULTADOS DA REGRESSÃO'!$C$250:$C$261</c:f>
              <c:numCache>
                <c:formatCode>#,##0.00_ ;\-#,##0.00\ </c:formatCode>
                <c:ptCount val="12"/>
                <c:pt idx="0">
                  <c:v>0.25698278558363713</c:v>
                </c:pt>
                <c:pt idx="1">
                  <c:v>0.1540980212446503</c:v>
                </c:pt>
                <c:pt idx="2">
                  <c:v>0.2383762210490698</c:v>
                </c:pt>
                <c:pt idx="3">
                  <c:v>0.12633690913949633</c:v>
                </c:pt>
                <c:pt idx="4">
                  <c:v>0.35756010508787672</c:v>
                </c:pt>
                <c:pt idx="5">
                  <c:v>9.053407872660045E-2</c:v>
                </c:pt>
                <c:pt idx="6">
                  <c:v>4.427860868898538E-2</c:v>
                </c:pt>
                <c:pt idx="7">
                  <c:v>1.9409297404352697E-4</c:v>
                </c:pt>
                <c:pt idx="8">
                  <c:v>6.730591041622995E-2</c:v>
                </c:pt>
                <c:pt idx="9">
                  <c:v>2.9647216893305975E-2</c:v>
                </c:pt>
                <c:pt idx="10">
                  <c:v>3.6404077939457116E-2</c:v>
                </c:pt>
                <c:pt idx="11">
                  <c:v>3.4866708088211212E-2</c:v>
                </c:pt>
              </c:numCache>
            </c:numRef>
          </c:yVal>
          <c:smooth val="0"/>
          <c:extLst>
            <c:ext xmlns:c16="http://schemas.microsoft.com/office/drawing/2014/chart" uri="{C3380CC4-5D6E-409C-BE32-E72D297353CC}">
              <c16:uniqueId val="{00000001-CA92-4F57-BC2A-7F87AB9E28E4}"/>
            </c:ext>
          </c:extLst>
        </c:ser>
        <c:dLbls>
          <c:showLegendKey val="0"/>
          <c:showVal val="0"/>
          <c:showCatName val="0"/>
          <c:showSerName val="0"/>
          <c:showPercent val="0"/>
          <c:showBubbleSize val="0"/>
        </c:dLbls>
        <c:axId val="661746975"/>
        <c:axId val="661747391"/>
      </c:scatterChart>
      <c:catAx>
        <c:axId val="661746975"/>
        <c:scaling>
          <c:orientation val="minMax"/>
        </c:scaling>
        <c:delete val="0"/>
        <c:axPos val="b"/>
        <c:numFmt formatCode="#,##0" sourceLinked="1"/>
        <c:majorTickMark val="none"/>
        <c:minorTickMark val="none"/>
        <c:tickLblPos val="nextTo"/>
        <c:spPr>
          <a:noFill/>
          <a:ln w="12700" cap="flat" cmpd="sng" algn="ctr">
            <a:solidFill>
              <a:sysClr val="windowText" lastClr="000000"/>
            </a:solidFill>
            <a:round/>
            <a:tailEnd type="none"/>
          </a:ln>
          <a:effectLst/>
        </c:spPr>
        <c:txPr>
          <a:bodyPr rot="-60000000" spcFirstLastPara="1" vertOverflow="ellipsis" vert="horz" wrap="square" anchor="ctr" anchorCtr="1"/>
          <a:lstStyle/>
          <a:p>
            <a:pPr>
              <a:defRPr sz="800" b="0" i="0" u="none" strike="noStrike" kern="1200" baseline="0">
                <a:solidFill>
                  <a:schemeClr val="tx1"/>
                </a:solidFill>
                <a:latin typeface="Aptos" panose="020B0004020202020204" pitchFamily="34" charset="0"/>
                <a:ea typeface="+mn-ea"/>
                <a:cs typeface="+mn-cs"/>
              </a:defRPr>
            </a:pPr>
            <a:endParaRPr lang="pt-BR"/>
          </a:p>
        </c:txPr>
        <c:crossAx val="661747391"/>
        <c:crossesAt val="0"/>
        <c:auto val="1"/>
        <c:lblAlgn val="ctr"/>
        <c:lblOffset val="100"/>
        <c:noMultiLvlLbl val="1"/>
      </c:catAx>
      <c:valAx>
        <c:axId val="661747391"/>
        <c:scaling>
          <c:orientation val="minMax"/>
          <c:max val="3"/>
          <c:min val="0"/>
        </c:scaling>
        <c:delete val="0"/>
        <c:axPos val="l"/>
        <c:numFmt formatCode="#,##0_ ;[Red]\-#,##0\ " sourceLinked="0"/>
        <c:majorTickMark val="none"/>
        <c:minorTickMark val="none"/>
        <c:tickLblPos val="nextTo"/>
        <c:spPr>
          <a:noFill/>
          <a:ln w="12700">
            <a:solidFill>
              <a:sysClr val="windowText" lastClr="000000"/>
            </a:solidFill>
            <a:tailEnd type="triangle"/>
          </a:ln>
          <a:effectLst/>
        </c:spPr>
        <c:txPr>
          <a:bodyPr rot="-60000000" spcFirstLastPara="1" vertOverflow="ellipsis" vert="horz" wrap="square" anchor="ctr" anchorCtr="1"/>
          <a:lstStyle/>
          <a:p>
            <a:pPr>
              <a:defRPr sz="800" b="0" i="0" u="none" strike="noStrike" kern="1200" baseline="0">
                <a:solidFill>
                  <a:schemeClr val="tx1"/>
                </a:solidFill>
                <a:latin typeface="Aptos" panose="020B0004020202020204" pitchFamily="34" charset="0"/>
                <a:ea typeface="+mn-ea"/>
                <a:cs typeface="+mn-cs"/>
              </a:defRPr>
            </a:pPr>
            <a:endParaRPr lang="pt-BR"/>
          </a:p>
        </c:txPr>
        <c:crossAx val="66174697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ptos" panose="020B0004020202020204" pitchFamily="34" charset="0"/>
              <a:ea typeface="+mn-ea"/>
              <a:cs typeface="+mn-cs"/>
            </a:defRPr>
          </a:pPr>
          <a:endParaRPr lang="pt-BR"/>
        </a:p>
      </c:txPr>
    </c:legend>
    <c:plotVisOnly val="1"/>
    <c:dispBlanksAs val="gap"/>
    <c:showDLblsOverMax val="0"/>
    <c:extLst/>
  </c:chart>
  <c:spPr>
    <a:solidFill>
      <a:sysClr val="window" lastClr="FFFFFF"/>
    </a:solidFill>
    <a:ln w="12700" cap="flat" cmpd="sng" algn="ctr">
      <a:noFill/>
      <a:round/>
    </a:ln>
    <a:effectLst/>
  </c:spPr>
  <c:txPr>
    <a:bodyPr/>
    <a:lstStyle/>
    <a:p>
      <a:pPr>
        <a:defRPr sz="800">
          <a:solidFill>
            <a:schemeClr val="tx1"/>
          </a:solidFill>
          <a:latin typeface="Aptos" panose="020B0004020202020204" pitchFamily="34" charset="0"/>
        </a:defRPr>
      </a:pPr>
      <a:endParaRPr lang="pt-BR"/>
    </a:p>
  </c:tx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1"/>
          <c:order val="1"/>
          <c:tx>
            <c:v>Limite superior</c:v>
          </c:tx>
          <c:spPr>
            <a:ln w="12700" cap="sq">
              <a:solidFill>
                <a:srgbClr val="0000FF"/>
              </a:solidFill>
              <a:round/>
            </a:ln>
            <a:effectLst/>
          </c:spPr>
          <c:marker>
            <c:symbol val="none"/>
          </c:marker>
          <c:xVal>
            <c:numRef>
              <c:f>'RESULTADOS DA REGRESSÃO'!$B$165:$B$176</c:f>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xVal>
          <c:yVal>
            <c:numRef>
              <c:f>'RESULTADOS DA REGRESSÃO'!$L$227:$L$238</c:f>
              <c:numCache>
                <c:formatCode>#,##0.00_ ;\-#,##0.00\ </c:formatCode>
                <c:ptCount val="12"/>
                <c:pt idx="0">
                  <c:v>2</c:v>
                </c:pt>
                <c:pt idx="1">
                  <c:v>2</c:v>
                </c:pt>
                <c:pt idx="2">
                  <c:v>2</c:v>
                </c:pt>
                <c:pt idx="3">
                  <c:v>2</c:v>
                </c:pt>
                <c:pt idx="4">
                  <c:v>2</c:v>
                </c:pt>
                <c:pt idx="5">
                  <c:v>2</c:v>
                </c:pt>
                <c:pt idx="6">
                  <c:v>2</c:v>
                </c:pt>
                <c:pt idx="7">
                  <c:v>2</c:v>
                </c:pt>
                <c:pt idx="8">
                  <c:v>2</c:v>
                </c:pt>
                <c:pt idx="9">
                  <c:v>2</c:v>
                </c:pt>
                <c:pt idx="10">
                  <c:v>2</c:v>
                </c:pt>
                <c:pt idx="11">
                  <c:v>2</c:v>
                </c:pt>
              </c:numCache>
            </c:numRef>
          </c:yVal>
          <c:smooth val="0"/>
          <c:extLst>
            <c:ext xmlns:c16="http://schemas.microsoft.com/office/drawing/2014/chart" uri="{C3380CC4-5D6E-409C-BE32-E72D297353CC}">
              <c16:uniqueId val="{00000000-E71B-4D8B-A5C8-5DA963500197}"/>
            </c:ext>
          </c:extLst>
        </c:ser>
        <c:ser>
          <c:idx val="2"/>
          <c:order val="2"/>
          <c:tx>
            <c:v>Limite inferior</c:v>
          </c:tx>
          <c:spPr>
            <a:ln w="12700" cap="sq">
              <a:solidFill>
                <a:srgbClr val="FF0000"/>
              </a:solidFill>
              <a:round/>
            </a:ln>
            <a:effectLst/>
          </c:spPr>
          <c:marker>
            <c:symbol val="none"/>
          </c:marker>
          <c:xVal>
            <c:numRef>
              <c:f>'RESULTADOS DA REGRESSÃO'!$B$165:$B$176</c:f>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xVal>
          <c:yVal>
            <c:numRef>
              <c:f>'RESULTADOS DA REGRESSÃO'!$M$227:$M$238</c:f>
              <c:numCache>
                <c:formatCode>#,##0.00_ ;\-#,##0.00\ </c:formatCode>
                <c:ptCount val="12"/>
                <c:pt idx="0">
                  <c:v>-2</c:v>
                </c:pt>
                <c:pt idx="1">
                  <c:v>-2</c:v>
                </c:pt>
                <c:pt idx="2">
                  <c:v>-2</c:v>
                </c:pt>
                <c:pt idx="3">
                  <c:v>-2</c:v>
                </c:pt>
                <c:pt idx="4">
                  <c:v>-2</c:v>
                </c:pt>
                <c:pt idx="5">
                  <c:v>-2</c:v>
                </c:pt>
                <c:pt idx="6">
                  <c:v>-2</c:v>
                </c:pt>
                <c:pt idx="7">
                  <c:v>-2</c:v>
                </c:pt>
                <c:pt idx="8">
                  <c:v>-2</c:v>
                </c:pt>
                <c:pt idx="9">
                  <c:v>-2</c:v>
                </c:pt>
                <c:pt idx="10">
                  <c:v>-2</c:v>
                </c:pt>
                <c:pt idx="11">
                  <c:v>-2</c:v>
                </c:pt>
              </c:numCache>
            </c:numRef>
          </c:yVal>
          <c:smooth val="1"/>
          <c:extLst>
            <c:ext xmlns:c16="http://schemas.microsoft.com/office/drawing/2014/chart" uri="{C3380CC4-5D6E-409C-BE32-E72D297353CC}">
              <c16:uniqueId val="{00000001-E71B-4D8B-A5C8-5DA963500197}"/>
            </c:ext>
          </c:extLst>
        </c:ser>
        <c:dLbls>
          <c:showLegendKey val="0"/>
          <c:showVal val="0"/>
          <c:showCatName val="0"/>
          <c:showSerName val="0"/>
          <c:showPercent val="0"/>
          <c:showBubbleSize val="0"/>
        </c:dLbls>
        <c:axId val="1113477712"/>
        <c:axId val="1113478192"/>
      </c:scatterChart>
      <c:scatterChart>
        <c:scatterStyle val="lineMarker"/>
        <c:varyColors val="0"/>
        <c:ser>
          <c:idx val="0"/>
          <c:order val="0"/>
          <c:tx>
            <c:strRef>
              <c:f>'RESULTADOS DA REGRESSÃO'!$F$181</c:f>
              <c:strCache>
                <c:ptCount val="1"/>
                <c:pt idx="0">
                  <c:v>Resíduo padronizado</c:v>
                </c:pt>
              </c:strCache>
            </c:strRef>
          </c:tx>
          <c:spPr>
            <a:ln w="38100" cap="rnd">
              <a:noFill/>
              <a:round/>
            </a:ln>
            <a:effectLst/>
          </c:spPr>
          <c:marker>
            <c:symbol val="diamond"/>
            <c:size val="8"/>
            <c:spPr>
              <a:solidFill>
                <a:srgbClr val="FF0000"/>
              </a:solidFill>
              <a:ln w="9525">
                <a:noFill/>
              </a:ln>
              <a:effectLst/>
            </c:spPr>
          </c:marker>
          <c:xVal>
            <c:numRef>
              <c:f>'RESULTADOS DA REGRESSÃO'!$B$165:$B$176</c:f>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xVal>
          <c:yVal>
            <c:numRef>
              <c:f>'RESULTADOS DA REGRESSÃO'!$F$182:$F$193</c:f>
              <c:numCache>
                <c:formatCode>#,##0.00_ ;\-#,##0.00\ </c:formatCode>
                <c:ptCount val="12"/>
                <c:pt idx="0">
                  <c:v>-0.57410567741475804</c:v>
                </c:pt>
                <c:pt idx="1">
                  <c:v>0.89447149097666478</c:v>
                </c:pt>
                <c:pt idx="2">
                  <c:v>-0.88883184967270412</c:v>
                </c:pt>
                <c:pt idx="3">
                  <c:v>0.56846603582618149</c:v>
                </c:pt>
                <c:pt idx="4">
                  <c:v>1.670138857149579</c:v>
                </c:pt>
                <c:pt idx="5">
                  <c:v>-0.75148035646068523</c:v>
                </c:pt>
                <c:pt idx="6">
                  <c:v>-0.88646716825827021</c:v>
                </c:pt>
                <c:pt idx="7">
                  <c:v>-4.5853369053507724E-2</c:v>
                </c:pt>
                <c:pt idx="8">
                  <c:v>-0.87142812440233808</c:v>
                </c:pt>
                <c:pt idx="9">
                  <c:v>0.81355923497136606</c:v>
                </c:pt>
                <c:pt idx="10">
                  <c:v>-0.27351652068166515</c:v>
                </c:pt>
                <c:pt idx="11">
                  <c:v>0.34504744609493954</c:v>
                </c:pt>
              </c:numCache>
            </c:numRef>
          </c:yVal>
          <c:smooth val="0"/>
          <c:extLst>
            <c:ext xmlns:c16="http://schemas.microsoft.com/office/drawing/2014/chart" uri="{C3380CC4-5D6E-409C-BE32-E72D297353CC}">
              <c16:uniqueId val="{00000002-E71B-4D8B-A5C8-5DA963500197}"/>
            </c:ext>
          </c:extLst>
        </c:ser>
        <c:dLbls>
          <c:showLegendKey val="0"/>
          <c:showVal val="0"/>
          <c:showCatName val="0"/>
          <c:showSerName val="0"/>
          <c:showPercent val="0"/>
          <c:showBubbleSize val="0"/>
        </c:dLbls>
        <c:axId val="1113477712"/>
        <c:axId val="1113478192"/>
      </c:scatterChart>
      <c:valAx>
        <c:axId val="1113477712"/>
        <c:scaling>
          <c:orientation val="minMax"/>
          <c:max val="1000000"/>
          <c:min val="700000"/>
        </c:scaling>
        <c:delete val="0"/>
        <c:axPos val="b"/>
        <c:numFmt formatCode="#,##0" sourceLinked="0"/>
        <c:majorTickMark val="none"/>
        <c:minorTickMark val="none"/>
        <c:tickLblPos val="nextTo"/>
        <c:spPr>
          <a:noFill/>
          <a:ln w="12700" cap="flat" cmpd="sng" algn="ctr">
            <a:solidFill>
              <a:schemeClr val="tx1">
                <a:lumMod val="50000"/>
                <a:lumOff val="50000"/>
              </a:schemeClr>
            </a:solidFill>
            <a:round/>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113478192"/>
        <c:crosses val="autoZero"/>
        <c:crossBetween val="midCat"/>
        <c:majorUnit val="100000"/>
      </c:valAx>
      <c:valAx>
        <c:axId val="1113478192"/>
        <c:scaling>
          <c:orientation val="minMax"/>
          <c:min val="-3"/>
        </c:scaling>
        <c:delete val="0"/>
        <c:axPos val="l"/>
        <c:numFmt formatCode="#,##0" sourceLinked="0"/>
        <c:majorTickMark val="none"/>
        <c:minorTickMark val="none"/>
        <c:tickLblPos val="nextTo"/>
        <c:spPr>
          <a:noFill/>
          <a:ln w="12700" cap="flat" cmpd="sng" algn="ctr">
            <a:solidFill>
              <a:schemeClr val="tx1">
                <a:lumMod val="50000"/>
                <a:lumOff val="50000"/>
              </a:schemeClr>
            </a:solidFill>
            <a:round/>
            <a:headEnd type="triangle"/>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11347771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noFill/>
      <a:round/>
    </a:ln>
    <a:effectLst/>
  </c:spPr>
  <c:txPr>
    <a:bodyPr/>
    <a:lstStyle/>
    <a:p>
      <a:pPr>
        <a:defRPr sz="800" b="1">
          <a:latin typeface="Aptos" panose="020B0004020202020204" pitchFamily="34" charset="0"/>
        </a:defRPr>
      </a:pPr>
      <a:endParaRPr lang="pt-BR"/>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'RESULTADOS DA REGRESSÃO'!$D$181</c:f>
              <c:strCache>
                <c:ptCount val="1"/>
                <c:pt idx="0">
                  <c:v>Resíduo</c:v>
                </c:pt>
              </c:strCache>
            </c:strRef>
          </c:tx>
          <c:spPr>
            <a:ln w="25400" cap="rnd">
              <a:noFill/>
              <a:round/>
            </a:ln>
            <a:effectLst/>
          </c:spPr>
          <c:marker>
            <c:symbol val="diamond"/>
            <c:size val="8"/>
            <c:spPr>
              <a:solidFill>
                <a:srgbClr val="FF0000"/>
              </a:solidFill>
              <a:ln w="9525">
                <a:noFill/>
              </a:ln>
              <a:effectLst/>
            </c:spPr>
          </c:marker>
          <c:xVal>
            <c:numRef>
              <c:f>'RESULTADOS DA REGRESSÃO'!$C$182:$C$193</c:f>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xVal>
          <c:yVal>
            <c:numRef>
              <c:f>'RESULTADOS DA REGRESSÃO'!$D$182:$D$193</c:f>
              <c:numCache>
                <c:formatCode>#,##0.00_ ;\-#,##0.00\ </c:formatCode>
                <c:ptCount val="12"/>
                <c:pt idx="0">
                  <c:v>-170.48233972606249</c:v>
                </c:pt>
                <c:pt idx="1">
                  <c:v>265.61589372646995</c:v>
                </c:pt>
                <c:pt idx="2">
                  <c:v>-263.94118594611064</c:v>
                </c:pt>
                <c:pt idx="3">
                  <c:v>168.80763186118565</c:v>
                </c:pt>
                <c:pt idx="4">
                  <c:v>495.95255932048894</c:v>
                </c:pt>
                <c:pt idx="5">
                  <c:v>-223.15426317416131</c:v>
                </c:pt>
                <c:pt idx="6">
                  <c:v>-263.23898696759716</c:v>
                </c:pt>
                <c:pt idx="7">
                  <c:v>-13.616290428908542</c:v>
                </c:pt>
                <c:pt idx="8">
                  <c:v>-258.77309944084845</c:v>
                </c:pt>
                <c:pt idx="9">
                  <c:v>241.58876551827416</c:v>
                </c:pt>
                <c:pt idx="10">
                  <c:v>-81.221521113533527</c:v>
                </c:pt>
                <c:pt idx="11">
                  <c:v>102.46283609606326</c:v>
                </c:pt>
              </c:numCache>
            </c:numRef>
          </c:yVal>
          <c:smooth val="0"/>
          <c:extLst>
            <c:ext xmlns:c16="http://schemas.microsoft.com/office/drawing/2014/chart" uri="{C3380CC4-5D6E-409C-BE32-E72D297353CC}">
              <c16:uniqueId val="{00000000-5B35-41B9-B495-6C540E80B8E2}"/>
            </c:ext>
          </c:extLst>
        </c:ser>
        <c:dLbls>
          <c:showLegendKey val="0"/>
          <c:showVal val="0"/>
          <c:showCatName val="0"/>
          <c:showSerName val="0"/>
          <c:showPercent val="0"/>
          <c:showBubbleSize val="0"/>
        </c:dLbls>
        <c:axId val="1092519008"/>
        <c:axId val="1959149759"/>
      </c:scatterChart>
      <c:valAx>
        <c:axId val="1092519008"/>
        <c:scaling>
          <c:orientation val="minMax"/>
          <c:max val="1000000"/>
          <c:min val="700000"/>
        </c:scaling>
        <c:delete val="0"/>
        <c:axPos val="b"/>
        <c:numFmt formatCode="#,##0_ ;\-#,##0\ " sourceLinked="0"/>
        <c:majorTickMark val="none"/>
        <c:minorTickMark val="none"/>
        <c:tickLblPos val="nextTo"/>
        <c:spPr>
          <a:noFill/>
          <a:ln w="12700" cap="flat" cmpd="sng" algn="ctr">
            <a:solidFill>
              <a:schemeClr val="tx1">
                <a:lumMod val="65000"/>
                <a:lumOff val="35000"/>
              </a:schemeClr>
            </a:solidFill>
            <a:round/>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959149759"/>
        <c:crosses val="autoZero"/>
        <c:crossBetween val="midCat"/>
        <c:dispUnits>
          <c:builtInUnit val="thousands"/>
          <c:dispUnitsLbl>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dispUnitsLbl>
        </c:dispUnits>
      </c:valAx>
      <c:valAx>
        <c:axId val="1959149759"/>
        <c:scaling>
          <c:orientation val="minMax"/>
          <c:min val="-600"/>
        </c:scaling>
        <c:delete val="0"/>
        <c:axPos val="l"/>
        <c:numFmt formatCode="#,##0_ ;\-#,##0\ " sourceLinked="0"/>
        <c:majorTickMark val="none"/>
        <c:minorTickMark val="none"/>
        <c:tickLblPos val="nextTo"/>
        <c:spPr>
          <a:noFill/>
          <a:ln w="12700" cap="flat" cmpd="sng" algn="ctr">
            <a:solidFill>
              <a:schemeClr val="tx1">
                <a:lumMod val="65000"/>
                <a:lumOff val="35000"/>
              </a:schemeClr>
            </a:solidFill>
            <a:round/>
            <a:headEnd type="triangle"/>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09251900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ptos" panose="020B0004020202020204" pitchFamily="34" charset="0"/>
        </a:defRPr>
      </a:pPr>
      <a:endParaRPr lang="pt-BR"/>
    </a:p>
  </c:tx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'RESULTADOS DA REGRESSÃO'!$D$181</c:f>
              <c:strCache>
                <c:ptCount val="1"/>
                <c:pt idx="0">
                  <c:v>Resíduo</c:v>
                </c:pt>
              </c:strCache>
            </c:strRef>
          </c:tx>
          <c:spPr>
            <a:ln w="25400" cap="rnd">
              <a:noFill/>
              <a:round/>
            </a:ln>
            <a:effectLst/>
          </c:spPr>
          <c:marker>
            <c:symbol val="diamond"/>
            <c:size val="8"/>
            <c:spPr>
              <a:solidFill>
                <a:srgbClr val="FF0000"/>
              </a:solidFill>
              <a:ln w="9525">
                <a:noFill/>
              </a:ln>
              <a:effectLst/>
            </c:spPr>
          </c:marker>
          <c:xVal>
            <c:numRef>
              <c:f>'RESULTADOS DA REGRESSÃO'!$D$182:$D$192</c:f>
              <c:numCache>
                <c:formatCode>#,##0.00_ ;\-#,##0.00\ </c:formatCode>
                <c:ptCount val="11"/>
                <c:pt idx="0">
                  <c:v>-170.48233972606249</c:v>
                </c:pt>
                <c:pt idx="1">
                  <c:v>265.61589372646995</c:v>
                </c:pt>
                <c:pt idx="2">
                  <c:v>-263.94118594611064</c:v>
                </c:pt>
                <c:pt idx="3">
                  <c:v>168.80763186118565</c:v>
                </c:pt>
                <c:pt idx="4">
                  <c:v>495.95255932048894</c:v>
                </c:pt>
                <c:pt idx="5">
                  <c:v>-223.15426317416131</c:v>
                </c:pt>
                <c:pt idx="6">
                  <c:v>-263.23898696759716</c:v>
                </c:pt>
                <c:pt idx="7">
                  <c:v>-13.616290428908542</c:v>
                </c:pt>
                <c:pt idx="8">
                  <c:v>-258.77309944084845</c:v>
                </c:pt>
                <c:pt idx="9">
                  <c:v>241.58876551827416</c:v>
                </c:pt>
                <c:pt idx="10">
                  <c:v>-81.221521113533527</c:v>
                </c:pt>
              </c:numCache>
            </c:numRef>
          </c:xVal>
          <c:yVal>
            <c:numRef>
              <c:f>'RESULTADOS DA REGRESSÃO'!$D$183:$D$193</c:f>
              <c:numCache>
                <c:formatCode>#,##0.00_ ;\-#,##0.00\ </c:formatCode>
                <c:ptCount val="11"/>
                <c:pt idx="0">
                  <c:v>265.61589372646995</c:v>
                </c:pt>
                <c:pt idx="1">
                  <c:v>-263.94118594611064</c:v>
                </c:pt>
                <c:pt idx="2">
                  <c:v>168.80763186118565</c:v>
                </c:pt>
                <c:pt idx="3">
                  <c:v>495.95255932048894</c:v>
                </c:pt>
                <c:pt idx="4">
                  <c:v>-223.15426317416131</c:v>
                </c:pt>
                <c:pt idx="5">
                  <c:v>-263.23898696759716</c:v>
                </c:pt>
                <c:pt idx="6">
                  <c:v>-13.616290428908542</c:v>
                </c:pt>
                <c:pt idx="7">
                  <c:v>-258.77309944084845</c:v>
                </c:pt>
                <c:pt idx="8">
                  <c:v>241.58876551827416</c:v>
                </c:pt>
                <c:pt idx="9">
                  <c:v>-81.221521113533527</c:v>
                </c:pt>
                <c:pt idx="10">
                  <c:v>102.46283609606326</c:v>
                </c:pt>
              </c:numCache>
            </c:numRef>
          </c:yVal>
          <c:smooth val="0"/>
          <c:extLst>
            <c:ext xmlns:c16="http://schemas.microsoft.com/office/drawing/2014/chart" uri="{C3380CC4-5D6E-409C-BE32-E72D297353CC}">
              <c16:uniqueId val="{00000000-B44A-43BD-986C-F921081B4942}"/>
            </c:ext>
          </c:extLst>
        </c:ser>
        <c:dLbls>
          <c:showLegendKey val="0"/>
          <c:showVal val="0"/>
          <c:showCatName val="0"/>
          <c:showSerName val="0"/>
          <c:showPercent val="0"/>
          <c:showBubbleSize val="0"/>
        </c:dLbls>
        <c:axId val="1590675039"/>
        <c:axId val="128665264"/>
      </c:scatterChart>
      <c:valAx>
        <c:axId val="1590675039"/>
        <c:scaling>
          <c:orientation val="minMax"/>
          <c:max val="600"/>
          <c:min val="-600"/>
        </c:scaling>
        <c:delete val="0"/>
        <c:axPos val="b"/>
        <c:numFmt formatCode="#,##0" sourceLinked="0"/>
        <c:majorTickMark val="none"/>
        <c:minorTickMark val="none"/>
        <c:tickLblPos val="nextTo"/>
        <c:spPr>
          <a:noFill/>
          <a:ln w="12700" cap="flat" cmpd="sng" algn="ctr">
            <a:solidFill>
              <a:schemeClr val="tx1"/>
            </a:solidFill>
            <a:round/>
            <a:headEnd type="triangle"/>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28665264"/>
        <c:crosses val="autoZero"/>
        <c:crossBetween val="midCat"/>
        <c:majorUnit val="100"/>
      </c:valAx>
      <c:valAx>
        <c:axId val="128665264"/>
        <c:scaling>
          <c:orientation val="minMax"/>
          <c:max val="600"/>
          <c:min val="-600"/>
        </c:scaling>
        <c:delete val="0"/>
        <c:axPos val="l"/>
        <c:numFmt formatCode="#,##0" sourceLinked="0"/>
        <c:majorTickMark val="none"/>
        <c:minorTickMark val="none"/>
        <c:tickLblPos val="nextTo"/>
        <c:spPr>
          <a:noFill/>
          <a:ln w="12700" cap="flat" cmpd="sng" algn="ctr">
            <a:solidFill>
              <a:schemeClr val="tx1"/>
            </a:solidFill>
            <a:round/>
            <a:headEnd type="triangle"/>
            <a:tailEnd type="triangle"/>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crossAx val="1590675039"/>
        <c:crosses val="autoZero"/>
        <c:crossBetween val="midCat"/>
        <c:majorUnit val="100"/>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ptos" panose="020B0004020202020204" pitchFamily="34" charset="0"/>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ptos" panose="020B0004020202020204" pitchFamily="34" charset="0"/>
        </a:defRPr>
      </a:pPr>
      <a:endParaRPr lang="pt-BR"/>
    </a:p>
  </c:txPr>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'RESULTADOS DA REGRESSÃO'!$E$249</c:f>
              <c:strCache>
                <c:ptCount val="1"/>
                <c:pt idx="0">
                  <c:v>Elementos da diagonal principal da matriz de projeção</c:v>
                </c:pt>
              </c:strCache>
            </c:strRef>
          </c:tx>
          <c:spPr>
            <a:ln w="25400" cap="rnd">
              <a:noFill/>
              <a:round/>
            </a:ln>
            <a:effectLst/>
          </c:spPr>
          <c:marker>
            <c:symbol val="diamond"/>
            <c:size val="8"/>
            <c:spPr>
              <a:solidFill>
                <a:srgbClr val="FF0000"/>
              </a:solidFill>
              <a:ln w="9525">
                <a:noFill/>
              </a:ln>
              <a:effectLst/>
            </c:spPr>
          </c:marker>
          <c:yVal>
            <c:numRef>
              <c:f>'RESULTADOS DA REGRESSÃO'!$E$250:$E$261</c:f>
              <c:numCache>
                <c:formatCode>#,##0.00_ ;\-#,##0.00\ </c:formatCode>
                <c:ptCount val="12"/>
                <c:pt idx="0">
                  <c:v>0.57181058649880889</c:v>
                </c:pt>
                <c:pt idx="1">
                  <c:v>0.33781646116567177</c:v>
                </c:pt>
                <c:pt idx="2">
                  <c:v>0.41418907474429134</c:v>
                </c:pt>
                <c:pt idx="3">
                  <c:v>0.45851519912337979</c:v>
                </c:pt>
                <c:pt idx="4">
                  <c:v>0.27185582610018522</c:v>
                </c:pt>
                <c:pt idx="5">
                  <c:v>0.30751171822339474</c:v>
                </c:pt>
                <c:pt idx="6">
                  <c:v>0.15929866087323474</c:v>
                </c:pt>
                <c:pt idx="7">
                  <c:v>0.22295579222449113</c:v>
                </c:pt>
                <c:pt idx="8">
                  <c:v>0.21722954755213869</c:v>
                </c:pt>
                <c:pt idx="9">
                  <c:v>0.13428215511609398</c:v>
                </c:pt>
                <c:pt idx="10">
                  <c:v>0.49546981779718458</c:v>
                </c:pt>
                <c:pt idx="11">
                  <c:v>0.40906516058114506</c:v>
                </c:pt>
              </c:numCache>
            </c:numRef>
          </c:yVal>
          <c:smooth val="0"/>
          <c:extLst>
            <c:ext xmlns:c16="http://schemas.microsoft.com/office/drawing/2014/chart" uri="{C3380CC4-5D6E-409C-BE32-E72D297353CC}">
              <c16:uniqueId val="{00000000-A12D-4193-B7AC-577E6277309A}"/>
            </c:ext>
          </c:extLst>
        </c:ser>
        <c:dLbls>
          <c:showLegendKey val="0"/>
          <c:showVal val="0"/>
          <c:showCatName val="0"/>
          <c:showSerName val="0"/>
          <c:showPercent val="0"/>
          <c:showBubbleSize val="0"/>
        </c:dLbls>
        <c:axId val="1305231935"/>
        <c:axId val="1305223775"/>
      </c:scatterChart>
      <c:valAx>
        <c:axId val="1305231935"/>
        <c:scaling>
          <c:orientation val="minMax"/>
          <c:max val="12"/>
        </c:scaling>
        <c:delete val="0"/>
        <c:axPos val="b"/>
        <c:majorTickMark val="none"/>
        <c:minorTickMark val="none"/>
        <c:tickLblPos val="nextTo"/>
        <c:spPr>
          <a:noFill/>
          <a:ln w="12700" cap="flat" cmpd="sng" algn="ctr">
            <a:solidFill>
              <a:schemeClr val="tx1"/>
            </a:solidFill>
            <a:round/>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305223775"/>
        <c:crosses val="autoZero"/>
        <c:crossBetween val="midCat"/>
        <c:majorUnit val="1"/>
      </c:valAx>
      <c:valAx>
        <c:axId val="1305223775"/>
        <c:scaling>
          <c:orientation val="minMax"/>
        </c:scaling>
        <c:delete val="0"/>
        <c:axPos val="l"/>
        <c:numFmt formatCode="#,##0.0_ ;\-#,##0.0\ " sourceLinked="0"/>
        <c:majorTickMark val="none"/>
        <c:minorTickMark val="none"/>
        <c:tickLblPos val="nextTo"/>
        <c:spPr>
          <a:noFill/>
          <a:ln w="12700" cap="flat" cmpd="sng" algn="ctr">
            <a:solidFill>
              <a:schemeClr val="tx1"/>
            </a:solidFill>
            <a:round/>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30523193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'RESULTADOS DA REGRESSÃO'!$D$249</c:f>
              <c:strCache>
                <c:ptCount val="1"/>
                <c:pt idx="0">
                  <c:v>Distância de Mahalanobis D²</c:v>
                </c:pt>
              </c:strCache>
            </c:strRef>
          </c:tx>
          <c:spPr>
            <a:ln w="38100" cap="rnd">
              <a:noFill/>
              <a:round/>
            </a:ln>
            <a:effectLst/>
          </c:spPr>
          <c:marker>
            <c:symbol val="diamond"/>
            <c:size val="8"/>
            <c:spPr>
              <a:solidFill>
                <a:srgbClr val="0000FF"/>
              </a:solidFill>
              <a:ln w="9525">
                <a:noFill/>
              </a:ln>
              <a:effectLst/>
            </c:spPr>
          </c:marker>
          <c:yVal>
            <c:numRef>
              <c:f>'RESULTADOS DA REGRESSÃO'!$D$250:$D$261</c:f>
              <c:numCache>
                <c:formatCode>#,##0.00_ ;\-#,##0.00\ </c:formatCode>
                <c:ptCount val="12"/>
                <c:pt idx="0">
                  <c:v>5.3732497848202341</c:v>
                </c:pt>
                <c:pt idx="1">
                  <c:v>2.7993144061556956</c:v>
                </c:pt>
                <c:pt idx="2">
                  <c:v>3.6394131555205265</c:v>
                </c:pt>
                <c:pt idx="3">
                  <c:v>4.127000523690513</c:v>
                </c:pt>
                <c:pt idx="4">
                  <c:v>2.0737474204353377</c:v>
                </c:pt>
                <c:pt idx="5">
                  <c:v>2.4659622337906555</c:v>
                </c:pt>
                <c:pt idx="6">
                  <c:v>0.83561860293888979</c:v>
                </c:pt>
                <c:pt idx="7">
                  <c:v>1.5358470478027477</c:v>
                </c:pt>
                <c:pt idx="8">
                  <c:v>1.4728583564068267</c:v>
                </c:pt>
                <c:pt idx="9">
                  <c:v>0.56043703961036107</c:v>
                </c:pt>
                <c:pt idx="10">
                  <c:v>4.5335013291023296</c:v>
                </c:pt>
                <c:pt idx="11">
                  <c:v>3.5830500997258827</c:v>
                </c:pt>
              </c:numCache>
            </c:numRef>
          </c:yVal>
          <c:smooth val="0"/>
          <c:extLst>
            <c:ext xmlns:c16="http://schemas.microsoft.com/office/drawing/2014/chart" uri="{C3380CC4-5D6E-409C-BE32-E72D297353CC}">
              <c16:uniqueId val="{00000000-CC46-472F-8249-DEE407162828}"/>
            </c:ext>
          </c:extLst>
        </c:ser>
        <c:dLbls>
          <c:showLegendKey val="0"/>
          <c:showVal val="0"/>
          <c:showCatName val="0"/>
          <c:showSerName val="0"/>
          <c:showPercent val="0"/>
          <c:showBubbleSize val="0"/>
        </c:dLbls>
        <c:axId val="1305231935"/>
        <c:axId val="1305223775"/>
      </c:scatterChart>
      <c:valAx>
        <c:axId val="1305231935"/>
        <c:scaling>
          <c:orientation val="minMax"/>
          <c:max val="12"/>
        </c:scaling>
        <c:delete val="0"/>
        <c:axPos val="b"/>
        <c:majorTickMark val="none"/>
        <c:minorTickMark val="none"/>
        <c:tickLblPos val="nextTo"/>
        <c:spPr>
          <a:noFill/>
          <a:ln w="12700" cap="flat" cmpd="sng" algn="ctr">
            <a:solidFill>
              <a:schemeClr val="tx1"/>
            </a:solidFill>
            <a:round/>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305223775"/>
        <c:crosses val="autoZero"/>
        <c:crossBetween val="midCat"/>
        <c:majorUnit val="1"/>
      </c:valAx>
      <c:valAx>
        <c:axId val="1305223775"/>
        <c:scaling>
          <c:orientation val="minMax"/>
        </c:scaling>
        <c:delete val="0"/>
        <c:axPos val="l"/>
        <c:numFmt formatCode="#,##0.0_ ;\-#,##0.0\ " sourceLinked="0"/>
        <c:majorTickMark val="none"/>
        <c:minorTickMark val="none"/>
        <c:tickLblPos val="nextTo"/>
        <c:spPr>
          <a:noFill/>
          <a:ln w="12700" cap="flat" cmpd="sng" algn="ctr">
            <a:solidFill>
              <a:schemeClr val="tx1"/>
            </a:solidFill>
            <a:round/>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30523193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'RESULTADOS DA REGRESSÃO'!$S$24</c:f>
              <c:strCache>
                <c:ptCount val="1"/>
                <c:pt idx="0">
                  <c:v>Valor observado</c:v>
                </c:pt>
              </c:strCache>
            </c:strRef>
          </c:tx>
          <c:spPr>
            <a:gradFill flip="none" rotWithShape="1">
              <a:gsLst>
                <a:gs pos="0">
                  <a:srgbClr val="FFFF00">
                    <a:lumMod val="25000"/>
                    <a:lumOff val="75000"/>
                  </a:srgbClr>
                </a:gs>
                <a:gs pos="100000">
                  <a:srgbClr val="FFFF00"/>
                </a:gs>
              </a:gsLst>
              <a:lin ang="5400000" scaled="1"/>
              <a:tileRect/>
            </a:gradFill>
            <a:ln>
              <a:noFill/>
            </a:ln>
            <a:effectLst/>
          </c:spPr>
          <c:invertIfNegative val="0"/>
          <c:val>
            <c:numRef>
              <c:f>'RESULTADOS DA REGRESSÃO'!$S$25:$S$36</c:f>
              <c:numCache>
                <c:formatCode>#,##0.00_ ;\-#,##0.00\ </c:formatCode>
                <c:ptCount val="12"/>
                <c:pt idx="0">
                  <c:v>715500</c:v>
                </c:pt>
                <c:pt idx="1">
                  <c:v>743400</c:v>
                </c:pt>
                <c:pt idx="2">
                  <c:v>831600</c:v>
                </c:pt>
                <c:pt idx="3">
                  <c:v>843300</c:v>
                </c:pt>
                <c:pt idx="4">
                  <c:v>850500</c:v>
                </c:pt>
                <c:pt idx="5">
                  <c:v>854100</c:v>
                </c:pt>
                <c:pt idx="6">
                  <c:v>849600</c:v>
                </c:pt>
                <c:pt idx="7">
                  <c:v>846000</c:v>
                </c:pt>
                <c:pt idx="8">
                  <c:v>871200</c:v>
                </c:pt>
                <c:pt idx="9">
                  <c:v>869400</c:v>
                </c:pt>
                <c:pt idx="10">
                  <c:v>936000</c:v>
                </c:pt>
                <c:pt idx="11">
                  <c:v>954000</c:v>
                </c:pt>
              </c:numCache>
            </c:numRef>
          </c:val>
          <c:extLst>
            <c:ext xmlns:c16="http://schemas.microsoft.com/office/drawing/2014/chart" uri="{C3380CC4-5D6E-409C-BE32-E72D297353CC}">
              <c16:uniqueId val="{00000000-0803-4A3B-A11A-D3BEA837F10D}"/>
            </c:ext>
          </c:extLst>
        </c:ser>
        <c:ser>
          <c:idx val="1"/>
          <c:order val="1"/>
          <c:tx>
            <c:strRef>
              <c:f>'RESULTADOS DA REGRESSÃO'!$T$24</c:f>
              <c:strCache>
                <c:ptCount val="1"/>
                <c:pt idx="0">
                  <c:v>Valor estimado</c:v>
                </c:pt>
              </c:strCache>
            </c:strRef>
          </c:tx>
          <c:spPr>
            <a:gradFill>
              <a:gsLst>
                <a:gs pos="0">
                  <a:srgbClr val="0000FF">
                    <a:lumMod val="26000"/>
                    <a:lumOff val="74000"/>
                  </a:srgbClr>
                </a:gs>
                <a:gs pos="100000">
                  <a:srgbClr val="0000FF"/>
                </a:gs>
              </a:gsLst>
              <a:lin ang="5400000" scaled="1"/>
            </a:gradFill>
            <a:ln w="12700">
              <a:solidFill>
                <a:schemeClr val="bg1"/>
              </a:solidFill>
            </a:ln>
            <a:effectLst/>
          </c:spPr>
          <c:invertIfNegative val="0"/>
          <c:val>
            <c:numRef>
              <c:f>'RESULTADOS DA REGRESSÃO'!$T$25:$T$36</c:f>
              <c:numCache>
                <c:formatCode>#,##0.00_ ;\-#,##0.00\ </c:formatCode>
                <c:ptCount val="12"/>
                <c:pt idx="0">
                  <c:v>715670.48233972606</c:v>
                </c:pt>
                <c:pt idx="1">
                  <c:v>743134.38410627353</c:v>
                </c:pt>
                <c:pt idx="2">
                  <c:v>831863.94118594611</c:v>
                </c:pt>
                <c:pt idx="3">
                  <c:v>843131.19236813881</c:v>
                </c:pt>
                <c:pt idx="4">
                  <c:v>850004.04744067951</c:v>
                </c:pt>
                <c:pt idx="5">
                  <c:v>854323.15426317416</c:v>
                </c:pt>
                <c:pt idx="6">
                  <c:v>849863.2389869676</c:v>
                </c:pt>
                <c:pt idx="7">
                  <c:v>846013.61629042891</c:v>
                </c:pt>
                <c:pt idx="8">
                  <c:v>871458.77309944085</c:v>
                </c:pt>
                <c:pt idx="9">
                  <c:v>869158.41123448173</c:v>
                </c:pt>
                <c:pt idx="10">
                  <c:v>936081.22152111353</c:v>
                </c:pt>
                <c:pt idx="11">
                  <c:v>953897.53716390394</c:v>
                </c:pt>
              </c:numCache>
            </c:numRef>
          </c:val>
          <c:extLst>
            <c:ext xmlns:c16="http://schemas.microsoft.com/office/drawing/2014/chart" uri="{C3380CC4-5D6E-409C-BE32-E72D297353CC}">
              <c16:uniqueId val="{00000001-0803-4A3B-A11A-D3BEA837F10D}"/>
            </c:ext>
          </c:extLst>
        </c:ser>
        <c:dLbls>
          <c:showLegendKey val="0"/>
          <c:showVal val="0"/>
          <c:showCatName val="0"/>
          <c:showSerName val="0"/>
          <c:showPercent val="0"/>
          <c:showBubbleSize val="0"/>
        </c:dLbls>
        <c:gapWidth val="100"/>
        <c:overlap val="30"/>
        <c:axId val="405473599"/>
        <c:axId val="405474079"/>
      </c:barChart>
      <c:lineChart>
        <c:grouping val="standard"/>
        <c:varyColors val="0"/>
        <c:ser>
          <c:idx val="2"/>
          <c:order val="2"/>
          <c:tx>
            <c:strRef>
              <c:f>'RESULTADOS DA REGRESSÃO'!$U$24</c:f>
              <c:strCache>
                <c:ptCount val="1"/>
                <c:pt idx="0">
                  <c:v>Média dos valores observados</c:v>
                </c:pt>
              </c:strCache>
            </c:strRef>
          </c:tx>
          <c:spPr>
            <a:ln w="12700" cap="sq">
              <a:solidFill>
                <a:schemeClr val="tx1"/>
              </a:solidFill>
              <a:prstDash val="dash"/>
              <a:round/>
            </a:ln>
            <a:effectLst/>
          </c:spPr>
          <c:marker>
            <c:symbol val="none"/>
          </c:marker>
          <c:val>
            <c:numRef>
              <c:f>'RESULTADOS DA REGRESSÃO'!$U$25:$U$36</c:f>
              <c:numCache>
                <c:formatCode>#,##0.00_ ;\-#,##0.00\ </c:formatCode>
                <c:ptCount val="12"/>
                <c:pt idx="0">
                  <c:v>847050</c:v>
                </c:pt>
                <c:pt idx="1">
                  <c:v>847050</c:v>
                </c:pt>
                <c:pt idx="2">
                  <c:v>847050</c:v>
                </c:pt>
                <c:pt idx="3">
                  <c:v>847050</c:v>
                </c:pt>
                <c:pt idx="4">
                  <c:v>847050</c:v>
                </c:pt>
                <c:pt idx="5">
                  <c:v>847050</c:v>
                </c:pt>
                <c:pt idx="6">
                  <c:v>847050</c:v>
                </c:pt>
                <c:pt idx="7">
                  <c:v>847050</c:v>
                </c:pt>
                <c:pt idx="8">
                  <c:v>847050</c:v>
                </c:pt>
                <c:pt idx="9">
                  <c:v>847050</c:v>
                </c:pt>
                <c:pt idx="10">
                  <c:v>847050</c:v>
                </c:pt>
                <c:pt idx="11">
                  <c:v>847050</c:v>
                </c:pt>
              </c:numCache>
            </c:numRef>
          </c:val>
          <c:smooth val="0"/>
          <c:extLst>
            <c:ext xmlns:c16="http://schemas.microsoft.com/office/drawing/2014/chart" uri="{C3380CC4-5D6E-409C-BE32-E72D297353CC}">
              <c16:uniqueId val="{00000002-0803-4A3B-A11A-D3BEA837F10D}"/>
            </c:ext>
          </c:extLst>
        </c:ser>
        <c:ser>
          <c:idx val="3"/>
          <c:order val="3"/>
          <c:tx>
            <c:strRef>
              <c:f>'RESULTADOS DA REGRESSÃO'!$V$24</c:f>
              <c:strCache>
                <c:ptCount val="1"/>
                <c:pt idx="0">
                  <c:v>Imóvel avaliando</c:v>
                </c:pt>
              </c:strCache>
            </c:strRef>
          </c:tx>
          <c:spPr>
            <a:ln w="12700" cap="rnd">
              <a:solidFill>
                <a:srgbClr val="0000FF"/>
              </a:solidFill>
              <a:round/>
            </a:ln>
            <a:effectLst/>
          </c:spPr>
          <c:marker>
            <c:symbol val="none"/>
          </c:marker>
          <c:val>
            <c:numRef>
              <c:f>'RESULTADOS DA REGRESSÃO'!$V$25:$V$36</c:f>
              <c:numCache>
                <c:formatCode>#,##0.00_ ;\-#,##0.00\ </c:formatCode>
                <c:ptCount val="12"/>
                <c:pt idx="0">
                  <c:v>751138.71799281298</c:v>
                </c:pt>
                <c:pt idx="1">
                  <c:v>751138.71799281298</c:v>
                </c:pt>
                <c:pt idx="2">
                  <c:v>751138.71799281298</c:v>
                </c:pt>
                <c:pt idx="3">
                  <c:v>751138.71799281298</c:v>
                </c:pt>
                <c:pt idx="4">
                  <c:v>751138.71799281298</c:v>
                </c:pt>
                <c:pt idx="5">
                  <c:v>751138.71799281298</c:v>
                </c:pt>
                <c:pt idx="6">
                  <c:v>751138.71799281298</c:v>
                </c:pt>
                <c:pt idx="7">
                  <c:v>751138.71799281298</c:v>
                </c:pt>
                <c:pt idx="8">
                  <c:v>751138.71799281298</c:v>
                </c:pt>
                <c:pt idx="9">
                  <c:v>751138.71799281298</c:v>
                </c:pt>
                <c:pt idx="10">
                  <c:v>751138.71799281298</c:v>
                </c:pt>
                <c:pt idx="11">
                  <c:v>751138.71799281298</c:v>
                </c:pt>
              </c:numCache>
            </c:numRef>
          </c:val>
          <c:smooth val="0"/>
          <c:extLst>
            <c:ext xmlns:c16="http://schemas.microsoft.com/office/drawing/2014/chart" uri="{C3380CC4-5D6E-409C-BE32-E72D297353CC}">
              <c16:uniqueId val="{00000003-0803-4A3B-A11A-D3BEA837F10D}"/>
            </c:ext>
          </c:extLst>
        </c:ser>
        <c:dLbls>
          <c:showLegendKey val="0"/>
          <c:showVal val="0"/>
          <c:showCatName val="0"/>
          <c:showSerName val="0"/>
          <c:showPercent val="0"/>
          <c:showBubbleSize val="0"/>
        </c:dLbls>
        <c:marker val="1"/>
        <c:smooth val="0"/>
        <c:axId val="405473599"/>
        <c:axId val="405474079"/>
      </c:lineChart>
      <c:catAx>
        <c:axId val="405473599"/>
        <c:scaling>
          <c:orientation val="minMax"/>
        </c:scaling>
        <c:delete val="1"/>
        <c:axPos val="b"/>
        <c:majorTickMark val="none"/>
        <c:minorTickMark val="none"/>
        <c:tickLblPos val="nextTo"/>
        <c:crossAx val="405474079"/>
        <c:crosses val="autoZero"/>
        <c:auto val="1"/>
        <c:lblAlgn val="ctr"/>
        <c:lblOffset val="100"/>
        <c:noMultiLvlLbl val="0"/>
      </c:catAx>
      <c:valAx>
        <c:axId val="405474079"/>
        <c:scaling>
          <c:orientation val="minMax"/>
        </c:scaling>
        <c:delete val="1"/>
        <c:axPos val="l"/>
        <c:numFmt formatCode="#,##0_ ;\-#,##0\ " sourceLinked="0"/>
        <c:majorTickMark val="none"/>
        <c:minorTickMark val="none"/>
        <c:tickLblPos val="nextTo"/>
        <c:crossAx val="405473599"/>
        <c:crosses val="autoZero"/>
        <c:crossBetween val="between"/>
        <c:dispUnits>
          <c:builtInUnit val="thousands"/>
          <c:dispUnitsLbl>
            <c:spPr>
              <a:noFill/>
              <a:ln>
                <a:noFill/>
              </a:ln>
              <a:effectLst/>
            </c:spPr>
            <c:txPr>
              <a:bodyPr rot="-54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pt-BR"/>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noFill/>
      <a:round/>
    </a:ln>
    <a:effectLst/>
  </c:spPr>
  <c:txPr>
    <a:bodyPr/>
    <a:lstStyle/>
    <a:p>
      <a:pPr>
        <a:defRPr sz="900">
          <a:solidFill>
            <a:schemeClr val="tx1"/>
          </a:solidFill>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4">
  <cs:axisTitle>
    <cs:lnRef idx="0"/>
    <cs:fillRef idx="0"/>
    <cs:effectRef idx="0"/>
    <cs:fontRef idx="minor">
      <a:schemeClr val="dk1">
        <a:lumMod val="50000"/>
        <a:lumOff val="50000"/>
      </a:schemeClr>
    </cs:fontRef>
    <cs:defRPr sz="900" b="1" kern="1200"/>
  </cs:axisTitle>
  <cs:categoryAxis>
    <cs:lnRef idx="0"/>
    <cs:fillRef idx="0"/>
    <cs:effectRef idx="0"/>
    <cs:fontRef idx="minor">
      <a:schemeClr val="dk1">
        <a:lumMod val="50000"/>
        <a:lumOff val="50000"/>
      </a:schemeClr>
    </cs:fontRef>
    <cs:spPr>
      <a:ln w="9525" cap="flat" cmpd="sng" algn="ctr">
        <a:solidFill>
          <a:schemeClr val="dk1">
            <a:lumMod val="15000"/>
            <a:lumOff val="85000"/>
          </a:schemeClr>
        </a:solidFill>
        <a:round/>
      </a:ln>
    </cs:spPr>
    <cs:defRPr sz="900" kern="1200"/>
  </cs:categoryAxis>
  <cs:chartArea>
    <cs:lnRef idx="0"/>
    <cs:fillRef idx="0"/>
    <cs:effectRef idx="0"/>
    <cs:fontRef idx="minor">
      <a:schemeClr val="dk1"/>
    </cs:fontRef>
    <cs: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a:solidFill>
          <a:schemeClr val="phClr">
            <a:alpha val="20000"/>
          </a:schemeClr>
        </a:solidFill>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dk1">
        <a:lumMod val="50000"/>
        <a:lumOff val="50000"/>
      </a:schemeClr>
    </cs:fontRef>
    <cs:spPr>
      <a:ln w="9525" cap="rnd">
        <a:solidFill>
          <a:schemeClr val="dk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tx1"/>
    </cs:fontRef>
    <cs:spPr>
      <a:ln w="9525">
        <a:solidFill>
          <a:schemeClr val="dk1">
            <a:lumMod val="35000"/>
            <a:lumOff val="65000"/>
          </a:schemeClr>
        </a:solidFill>
      </a:ln>
    </cs:spPr>
  </cs:dropLine>
  <cs:errorBar>
    <cs:lnRef idx="0"/>
    <cs:fillRef idx="0"/>
    <cs:effectRef idx="0"/>
    <cs:fontRef idx="minor">
      <a:schemeClr val="tx1"/>
    </cs:fontRef>
    <cs:spPr>
      <a:ln w="9525">
        <a:solidFill>
          <a:schemeClr val="dk1">
            <a:lumMod val="50000"/>
            <a:lumOff val="50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15000"/>
            <a:lumOff val="85000"/>
          </a:schemeClr>
        </a:solidFill>
        <a:round/>
      </a:ln>
    </cs:spPr>
  </cs:gridlineMajor>
  <cs:gridlineMinor>
    <cs:lnRef idx="0"/>
    <cs:fillRef idx="0"/>
    <cs:effectRef idx="0"/>
    <cs:fontRef idx="minor">
      <a:schemeClr val="tx1"/>
    </cs:fontRef>
    <cs:spPr>
      <a:ln w="9525" cap="flat" cmpd="sng" algn="ctr">
        <a:solidFill>
          <a:schemeClr val="dk1">
            <a:lumMod val="5000"/>
            <a:lumOff val="95000"/>
          </a:schemeClr>
        </a:solidFill>
        <a:round/>
      </a:ln>
    </cs:spPr>
  </cs:gridlineMinor>
  <cs:hiLoLine>
    <cs:lnRef idx="0"/>
    <cs:fillRef idx="0"/>
    <cs:effectRef idx="0"/>
    <cs:fontRef idx="minor">
      <a:schemeClr val="tx1"/>
    </cs:fontRef>
    <cs:spPr>
      <a:ln w="9525">
        <a:solidFill>
          <a:schemeClr val="dk1">
            <a:lumMod val="35000"/>
            <a:lumOff val="65000"/>
          </a:schemeClr>
        </a:solidFill>
      </a:ln>
    </cs:spPr>
  </cs:hiLoLine>
  <cs:leaderLine>
    <cs:lnRef idx="0"/>
    <cs:fillRef idx="0"/>
    <cs:effectRef idx="0"/>
    <cs:fontRef idx="minor">
      <a:schemeClr val="tx1"/>
    </cs:fontRef>
    <cs:spPr>
      <a:ln w="9525">
        <a:solidFill>
          <a:schemeClr val="dk1">
            <a:lumMod val="35000"/>
            <a:lumOff val="65000"/>
          </a:schemeClr>
        </a:solidFill>
      </a:ln>
    </cs:spPr>
  </cs:leaderLine>
  <cs:legend>
    <cs:lnRef idx="0"/>
    <cs:fillRef idx="0"/>
    <cs:effectRef idx="0"/>
    <cs:fontRef idx="minor">
      <a:schemeClr val="dk1">
        <a:lumMod val="50000"/>
        <a:lumOff val="50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50000"/>
        <a:lumOff val="50000"/>
      </a:schemeClr>
    </cs:fontRef>
    <cs:spPr>
      <a:ln w="9525">
        <a:solidFill>
          <a:schemeClr val="dk1">
            <a:lumMod val="15000"/>
            <a:lumOff val="85000"/>
          </a:schemeClr>
        </a:solidFill>
      </a:ln>
    </cs:spPr>
    <cs:defRPr sz="900" kern="1200"/>
  </cs:seriesAxis>
  <cs:seriesLine>
    <cs:lnRef idx="0"/>
    <cs:fillRef idx="0"/>
    <cs:effectRef idx="0"/>
    <cs:fontRef idx="minor">
      <a:schemeClr val="tx1"/>
    </cs:fontRef>
    <cs:spPr>
      <a:ln w="9525">
        <a:solidFill>
          <a:schemeClr val="dk1">
            <a:lumMod val="35000"/>
            <a:lumOff val="65000"/>
          </a:schemeClr>
        </a:solidFill>
      </a:ln>
    </cs:spPr>
  </cs:seriesLine>
  <cs:title>
    <cs:lnRef idx="0"/>
    <cs:fillRef idx="0"/>
    <cs:effectRef idx="0"/>
    <cs:fontRef idx="minor">
      <a:schemeClr val="dk1">
        <a:lumMod val="50000"/>
        <a:lumOff val="50000"/>
      </a:schemeClr>
    </cs:fontRef>
    <cs:defRPr sz="1600" b="0" kern="1200" spc="70" baseline="0"/>
  </cs:title>
  <cs:trendline>
    <cs:lnRef idx="0">
      <cs:styleClr val="0"/>
    </cs:lnRef>
    <cs:fillRef idx="0"/>
    <cs:effectRef idx="0"/>
    <cs:fontRef idx="minor">
      <a:schemeClr val="tx1"/>
    </cs:fontRef>
    <cs:spPr>
      <a:ln w="63500" cap="rnd" cmpd="sng" algn="ctr">
        <a:solidFill>
          <a:schemeClr val="phClr">
            <a:alpha val="25000"/>
          </a:schemeClr>
        </a:solidFill>
        <a:round/>
      </a:ln>
    </cs:spPr>
  </cs:trendline>
  <cs:trendlineLabel>
    <cs:lnRef idx="0"/>
    <cs:fillRef idx="0"/>
    <cs:effectRef idx="0"/>
    <cs:fontRef idx="minor">
      <a:schemeClr val="dk1">
        <a:lumMod val="50000"/>
        <a:lumOff val="50000"/>
      </a:schemeClr>
    </cs:fontRef>
    <cs:defRPr sz="900" kern="1200"/>
  </cs:trendlineLabel>
  <cs:upBar>
    <cs:lnRef idx="0"/>
    <cs:fillRef idx="0"/>
    <cs:effectRef idx="0"/>
    <cs:fontRef idx="minor">
      <a:schemeClr val="tx1"/>
    </cs:fontRef>
    <cs:spPr>
      <a:solidFill>
        <a:schemeClr val="lt1"/>
      </a:solidFill>
      <a:ln w="9525">
        <a:solidFill>
          <a:schemeClr val="dk1">
            <a:lumMod val="50000"/>
            <a:lumOff val="50000"/>
          </a:schemeClr>
        </a:solidFill>
      </a:ln>
    </cs:spPr>
  </cs:upBar>
  <cs:valueAxis>
    <cs:lnRef idx="0"/>
    <cs:fillRef idx="0"/>
    <cs:effectRef idx="0"/>
    <cs:fontRef idx="minor">
      <a:schemeClr val="dk1">
        <a:lumMod val="50000"/>
        <a:lumOff val="50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2333624</xdr:colOff>
      <xdr:row>326</xdr:row>
      <xdr:rowOff>1119</xdr:rowOff>
    </xdr:from>
    <xdr:to>
      <xdr:col>3</xdr:col>
      <xdr:colOff>372749</xdr:colOff>
      <xdr:row>347</xdr:row>
      <xdr:rowOff>20469</xdr:rowOff>
    </xdr:to>
    <xdr:graphicFrame macro="">
      <xdr:nvGraphicFramePr>
        <xdr:cNvPr id="13" name="Gráfico 12">
          <a:extLst>
            <a:ext uri="{FF2B5EF4-FFF2-40B4-BE49-F238E27FC236}">
              <a16:creationId xmlns:a16="http://schemas.microsoft.com/office/drawing/2014/main" id="{656C77A3-7D29-4C68-9903-3C3D8D2CC7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2800</xdr:colOff>
      <xdr:row>390</xdr:row>
      <xdr:rowOff>0</xdr:rowOff>
    </xdr:from>
    <xdr:to>
      <xdr:col>4</xdr:col>
      <xdr:colOff>1641925</xdr:colOff>
      <xdr:row>407</xdr:row>
      <xdr:rowOff>109950</xdr:rowOff>
    </xdr:to>
    <xdr:graphicFrame macro="">
      <xdr:nvGraphicFramePr>
        <xdr:cNvPr id="15" name="Gráfico 14">
          <a:extLst>
            <a:ext uri="{FF2B5EF4-FFF2-40B4-BE49-F238E27FC236}">
              <a16:creationId xmlns:a16="http://schemas.microsoft.com/office/drawing/2014/main" id="{B15BEF01-43DD-4671-A6E1-EA98C31FD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2333624</xdr:colOff>
      <xdr:row>262</xdr:row>
      <xdr:rowOff>0</xdr:rowOff>
    </xdr:from>
    <xdr:to>
      <xdr:col>4</xdr:col>
      <xdr:colOff>1639124</xdr:colOff>
      <xdr:row>279</xdr:row>
      <xdr:rowOff>109950</xdr:rowOff>
    </xdr:to>
    <xdr:graphicFrame macro="">
      <xdr:nvGraphicFramePr>
        <xdr:cNvPr id="17" name="Gráfico 16">
          <a:extLst>
            <a:ext uri="{FF2B5EF4-FFF2-40B4-BE49-F238E27FC236}">
              <a16:creationId xmlns:a16="http://schemas.microsoft.com/office/drawing/2014/main" id="{30D886E2-4253-4032-AF59-EE6EAEC91E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xdr:col>
      <xdr:colOff>2333624</xdr:colOff>
      <xdr:row>226</xdr:row>
      <xdr:rowOff>33618</xdr:rowOff>
    </xdr:from>
    <xdr:to>
      <xdr:col>6</xdr:col>
      <xdr:colOff>1639124</xdr:colOff>
      <xdr:row>242</xdr:row>
      <xdr:rowOff>134043</xdr:rowOff>
    </xdr:to>
    <xdr:graphicFrame macro="">
      <xdr:nvGraphicFramePr>
        <xdr:cNvPr id="18" name="Gráfico 17">
          <a:extLst>
            <a:ext uri="{FF2B5EF4-FFF2-40B4-BE49-F238E27FC236}">
              <a16:creationId xmlns:a16="http://schemas.microsoft.com/office/drawing/2014/main" id="{D65000CA-CD37-41AF-B33C-32AA61C39B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2800</xdr:colOff>
      <xdr:row>355</xdr:row>
      <xdr:rowOff>0</xdr:rowOff>
    </xdr:from>
    <xdr:to>
      <xdr:col>4</xdr:col>
      <xdr:colOff>1641925</xdr:colOff>
      <xdr:row>372</xdr:row>
      <xdr:rowOff>109950</xdr:rowOff>
    </xdr:to>
    <xdr:graphicFrame macro="">
      <xdr:nvGraphicFramePr>
        <xdr:cNvPr id="2" name="Gráfico 1">
          <a:extLst>
            <a:ext uri="{FF2B5EF4-FFF2-40B4-BE49-F238E27FC236}">
              <a16:creationId xmlns:a16="http://schemas.microsoft.com/office/drawing/2014/main" id="{9F01EC49-3DEE-463B-A7EC-36FEF5F00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xdr:col>
      <xdr:colOff>2333624</xdr:colOff>
      <xdr:row>409</xdr:row>
      <xdr:rowOff>0</xdr:rowOff>
    </xdr:from>
    <xdr:to>
      <xdr:col>5</xdr:col>
      <xdr:colOff>372749</xdr:colOff>
      <xdr:row>430</xdr:row>
      <xdr:rowOff>19350</xdr:rowOff>
    </xdr:to>
    <xdr:graphicFrame macro="">
      <xdr:nvGraphicFramePr>
        <xdr:cNvPr id="4" name="Gráfico 3">
          <a:extLst>
            <a:ext uri="{FF2B5EF4-FFF2-40B4-BE49-F238E27FC236}">
              <a16:creationId xmlns:a16="http://schemas.microsoft.com/office/drawing/2014/main" id="{478064DD-5096-4002-8F88-D9A3B7EE18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0</xdr:col>
      <xdr:colOff>0</xdr:colOff>
      <xdr:row>0</xdr:row>
      <xdr:rowOff>0</xdr:rowOff>
    </xdr:from>
    <xdr:to>
      <xdr:col>2</xdr:col>
      <xdr:colOff>1950624</xdr:colOff>
      <xdr:row>0</xdr:row>
      <xdr:rowOff>1620000</xdr:rowOff>
    </xdr:to>
    <xdr:pic>
      <xdr:nvPicPr>
        <xdr:cNvPr id="7" name="Imagem 6">
          <a:extLst>
            <a:ext uri="{FF2B5EF4-FFF2-40B4-BE49-F238E27FC236}">
              <a16:creationId xmlns:a16="http://schemas.microsoft.com/office/drawing/2014/main" id="{C2EBBCE3-2BB9-05A2-F5DA-1F2044FD929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0" y="0"/>
          <a:ext cx="6617874" cy="1620000"/>
        </a:xfrm>
        <a:prstGeom prst="rect">
          <a:avLst/>
        </a:prstGeom>
      </xdr:spPr>
    </xdr:pic>
    <xdr:clientData/>
  </xdr:twoCellAnchor>
  <xdr:twoCellAnchor editAs="oneCell">
    <xdr:from>
      <xdr:col>6</xdr:col>
      <xdr:colOff>0</xdr:colOff>
      <xdr:row>271</xdr:row>
      <xdr:rowOff>0</xdr:rowOff>
    </xdr:from>
    <xdr:to>
      <xdr:col>8</xdr:col>
      <xdr:colOff>732750</xdr:colOff>
      <xdr:row>292</xdr:row>
      <xdr:rowOff>199350</xdr:rowOff>
    </xdr:to>
    <xdr:graphicFrame macro="">
      <xdr:nvGraphicFramePr>
        <xdr:cNvPr id="11" name="Gráfico 10">
          <a:extLst>
            <a:ext uri="{FF2B5EF4-FFF2-40B4-BE49-F238E27FC236}">
              <a16:creationId xmlns:a16="http://schemas.microsoft.com/office/drawing/2014/main" id="{F5A2DA5F-C44C-4E6F-B31E-8FE1B08EBA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6</xdr:col>
      <xdr:colOff>0</xdr:colOff>
      <xdr:row>248</xdr:row>
      <xdr:rowOff>0</xdr:rowOff>
    </xdr:from>
    <xdr:to>
      <xdr:col>8</xdr:col>
      <xdr:colOff>732750</xdr:colOff>
      <xdr:row>268</xdr:row>
      <xdr:rowOff>189825</xdr:rowOff>
    </xdr:to>
    <xdr:graphicFrame macro="">
      <xdr:nvGraphicFramePr>
        <xdr:cNvPr id="12" name="Gráfico 11">
          <a:extLst>
            <a:ext uri="{FF2B5EF4-FFF2-40B4-BE49-F238E27FC236}">
              <a16:creationId xmlns:a16="http://schemas.microsoft.com/office/drawing/2014/main" id="{3FED76EB-7901-428A-9F32-A138C51DC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0</xdr:colOff>
      <xdr:row>38</xdr:row>
      <xdr:rowOff>0</xdr:rowOff>
    </xdr:from>
    <xdr:to>
      <xdr:col>15</xdr:col>
      <xdr:colOff>459706</xdr:colOff>
      <xdr:row>55</xdr:row>
      <xdr:rowOff>129000</xdr:rowOff>
    </xdr:to>
    <xdr:graphicFrame macro="">
      <xdr:nvGraphicFramePr>
        <xdr:cNvPr id="14" name="Gráfico 13">
          <a:extLst>
            <a:ext uri="{FF2B5EF4-FFF2-40B4-BE49-F238E27FC236}">
              <a16:creationId xmlns:a16="http://schemas.microsoft.com/office/drawing/2014/main" id="{35A01F9E-3233-4D1E-A879-F8E169638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3</xdr:col>
      <xdr:colOff>836199</xdr:colOff>
      <xdr:row>0</xdr:row>
      <xdr:rowOff>1696200</xdr:rowOff>
    </xdr:to>
    <xdr:pic>
      <xdr:nvPicPr>
        <xdr:cNvPr id="4" name="Imagem 3">
          <a:extLst>
            <a:ext uri="{FF2B5EF4-FFF2-40B4-BE49-F238E27FC236}">
              <a16:creationId xmlns:a16="http://schemas.microsoft.com/office/drawing/2014/main" id="{A9DC51DA-A351-4F5D-BFF6-51393FBCEC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76200"/>
          <a:ext cx="6617874" cy="16200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A3339-6272-475F-A9BE-AC367CACDF3B}">
  <sheetPr codeName="Planilha1">
    <pageSetUpPr fitToPage="1"/>
  </sheetPr>
  <dimension ref="A1:JY1102"/>
  <sheetViews>
    <sheetView tabSelected="1" zoomScaleNormal="100" workbookViewId="0">
      <selection activeCell="E18" sqref="E18"/>
    </sheetView>
  </sheetViews>
  <sheetFormatPr defaultColWidth="15.625" defaultRowHeight="20.100000000000001" customHeight="1" x14ac:dyDescent="0.25"/>
  <cols>
    <col min="1" max="10" width="30.625" style="34" customWidth="1"/>
    <col min="11" max="11" width="30.625" style="140" customWidth="1"/>
    <col min="12" max="14" width="25.625" style="140" customWidth="1"/>
    <col min="15" max="16" width="30.625" style="140" customWidth="1"/>
    <col min="17" max="18" width="25.625" style="140" customWidth="1"/>
    <col min="19" max="20" width="30.625" style="140" customWidth="1"/>
    <col min="21" max="24" width="25.625" style="140" customWidth="1"/>
    <col min="25" max="25" width="15.625" style="140"/>
    <col min="26" max="29" width="15.75" style="140" bestFit="1" customWidth="1"/>
    <col min="30" max="30" width="15.625" style="140"/>
    <col min="31" max="36" width="15.75" style="140" bestFit="1" customWidth="1"/>
    <col min="37" max="37" width="15.75" style="141" bestFit="1" customWidth="1"/>
    <col min="38" max="38" width="15.75" style="140" bestFit="1" customWidth="1"/>
    <col min="39" max="39" width="16.5" style="140" bestFit="1" customWidth="1"/>
    <col min="40" max="40" width="15.875" style="140" bestFit="1" customWidth="1"/>
    <col min="41" max="52" width="15.75" style="140" bestFit="1" customWidth="1"/>
    <col min="53" max="53" width="15.625" style="140"/>
    <col min="54" max="54" width="15.75" style="140" bestFit="1" customWidth="1"/>
    <col min="55" max="55" width="15.625" style="140"/>
    <col min="56" max="59" width="15.75" style="140" bestFit="1" customWidth="1"/>
    <col min="60" max="60" width="15.625" style="140"/>
    <col min="61" max="62" width="15.75" style="140" bestFit="1" customWidth="1"/>
    <col min="63" max="63" width="15.625" style="140"/>
    <col min="64" max="64" width="24.625" style="140" bestFit="1" customWidth="1"/>
    <col min="65" max="65" width="33.375" style="140" bestFit="1" customWidth="1"/>
    <col min="66" max="67" width="15.625" style="140" customWidth="1"/>
    <col min="68" max="68" width="17.5" style="140" bestFit="1" customWidth="1"/>
    <col min="69" max="80" width="15.625" style="140" customWidth="1"/>
    <col min="81" max="82" width="15.75" style="140" bestFit="1" customWidth="1"/>
    <col min="83" max="83" width="15.625" style="140"/>
    <col min="84" max="84" width="15.75" style="140" bestFit="1" customWidth="1"/>
    <col min="85" max="85" width="15.625" style="140"/>
    <col min="86" max="89" width="15.75" style="140" bestFit="1" customWidth="1"/>
    <col min="90" max="90" width="15.625" style="140"/>
    <col min="91" max="92" width="15.75" style="140" bestFit="1" customWidth="1"/>
    <col min="93" max="93" width="15.625" style="140"/>
    <col min="94" max="94" width="15.75" style="140" bestFit="1" customWidth="1"/>
    <col min="95" max="95" width="15.625" style="140"/>
    <col min="96" max="97" width="15.75" style="140" bestFit="1" customWidth="1"/>
    <col min="98" max="98" width="15.625" style="140"/>
    <col min="99" max="99" width="15.75" style="140" bestFit="1" customWidth="1"/>
    <col min="100" max="100" width="15.625" style="140"/>
    <col min="101" max="104" width="15.75" style="140" bestFit="1" customWidth="1"/>
    <col min="105" max="105" width="15.625" style="140"/>
    <col min="106" max="107" width="15.75" style="140" bestFit="1" customWidth="1"/>
    <col min="108" max="108" width="15.625" style="140"/>
    <col min="109" max="109" width="15.75" style="140" bestFit="1" customWidth="1"/>
    <col min="110" max="110" width="15.625" style="140"/>
    <col min="111" max="112" width="15.75" style="140" bestFit="1" customWidth="1"/>
    <col min="113" max="113" width="15.625" style="140"/>
    <col min="114" max="114" width="15.75" style="140" bestFit="1" customWidth="1"/>
    <col min="115" max="133" width="15.625" style="140"/>
    <col min="134" max="134" width="15.625" style="142"/>
    <col min="135" max="135" width="15.625" style="140"/>
    <col min="136" max="142" width="15.625" style="143"/>
    <col min="143" max="143" width="15.625" style="140"/>
    <col min="144" max="144" width="15.625" style="142"/>
    <col min="145" max="150" width="15.625" style="140"/>
    <col min="151" max="157" width="15.625" style="143"/>
    <col min="158" max="16384" width="15.625" style="140"/>
  </cols>
  <sheetData>
    <row r="1" spans="1:144" ht="140.1" customHeight="1" x14ac:dyDescent="0.25">
      <c r="A1" s="184"/>
      <c r="B1" s="184"/>
      <c r="C1" s="184"/>
      <c r="D1" s="184"/>
      <c r="E1" s="184"/>
      <c r="F1" s="184"/>
      <c r="G1" s="184"/>
      <c r="H1" s="184"/>
      <c r="I1" s="184"/>
      <c r="J1" s="184"/>
    </row>
    <row r="2" spans="1:144" ht="5.0999999999999996" customHeight="1" x14ac:dyDescent="0.25"/>
    <row r="3" spans="1:144" ht="5.0999999999999996" customHeight="1" x14ac:dyDescent="0.25">
      <c r="A3" s="184"/>
      <c r="B3" s="184"/>
      <c r="C3" s="184"/>
      <c r="D3" s="184"/>
      <c r="E3" s="184"/>
      <c r="F3" s="184"/>
      <c r="G3" s="184"/>
      <c r="H3" s="184"/>
      <c r="I3" s="184"/>
      <c r="J3" s="184"/>
    </row>
    <row r="5" spans="1:144" ht="20.100000000000001" customHeight="1" x14ac:dyDescent="0.25">
      <c r="A5" s="31" t="s">
        <v>17</v>
      </c>
      <c r="B5" s="31"/>
      <c r="C5" s="31"/>
      <c r="D5" s="31"/>
      <c r="E5" s="31"/>
      <c r="F5" s="31"/>
      <c r="G5" s="31"/>
      <c r="H5" s="31"/>
      <c r="I5" s="31"/>
      <c r="J5" s="31"/>
    </row>
    <row r="6" spans="1:144" ht="20.100000000000001" customHeight="1" x14ac:dyDescent="0.25">
      <c r="B6" s="37"/>
      <c r="C6" s="37"/>
      <c r="D6" s="37"/>
      <c r="E6" s="37"/>
      <c r="H6" s="37"/>
    </row>
    <row r="7" spans="1:144" ht="20.100000000000001" customHeight="1" x14ac:dyDescent="0.25">
      <c r="A7" s="31" t="s">
        <v>75</v>
      </c>
      <c r="B7" s="31"/>
      <c r="C7" s="31"/>
      <c r="D7" s="31"/>
      <c r="E7" s="31"/>
      <c r="F7" s="31"/>
      <c r="G7" s="31"/>
      <c r="H7" s="31"/>
      <c r="I7" s="31"/>
      <c r="J7" s="31"/>
    </row>
    <row r="8" spans="1:144" ht="20.100000000000001" customHeight="1" x14ac:dyDescent="0.25">
      <c r="A8" s="185"/>
      <c r="B8" s="21" t="s">
        <v>83</v>
      </c>
      <c r="C8" s="21"/>
      <c r="D8" s="21"/>
      <c r="E8" s="185"/>
      <c r="F8" s="21" t="s">
        <v>74</v>
      </c>
      <c r="G8" s="21"/>
      <c r="H8" s="21"/>
      <c r="I8" s="21"/>
      <c r="J8" s="185"/>
      <c r="K8" s="34"/>
      <c r="L8" s="38" t="s">
        <v>164</v>
      </c>
      <c r="M8" s="39"/>
      <c r="N8" s="39"/>
      <c r="O8" s="39"/>
      <c r="P8" s="39"/>
      <c r="Q8" s="39"/>
      <c r="R8" s="144"/>
      <c r="S8" s="144"/>
    </row>
    <row r="9" spans="1:144" ht="20.100000000000001" customHeight="1" x14ac:dyDescent="0.25">
      <c r="A9" s="186"/>
      <c r="B9" s="186"/>
      <c r="C9" s="186"/>
      <c r="D9" s="186"/>
      <c r="E9" s="186"/>
      <c r="F9" s="186"/>
      <c r="G9" s="186"/>
      <c r="H9" s="186"/>
      <c r="I9" s="186"/>
      <c r="J9" s="186"/>
      <c r="K9" s="34"/>
      <c r="L9" s="40" t="str">
        <f>A10</f>
        <v>Item</v>
      </c>
      <c r="M9" s="40" t="s">
        <v>183</v>
      </c>
      <c r="N9" s="40" t="s">
        <v>98</v>
      </c>
      <c r="O9" s="40" t="s">
        <v>99</v>
      </c>
      <c r="P9" s="40"/>
      <c r="Q9" s="40" t="s">
        <v>96</v>
      </c>
      <c r="R9" s="145" t="s">
        <v>11</v>
      </c>
      <c r="S9" s="146">
        <v>0.1</v>
      </c>
      <c r="ED9" s="140"/>
      <c r="EN9" s="140"/>
    </row>
    <row r="10" spans="1:144" s="147" customFormat="1" ht="39.950000000000003" customHeight="1" x14ac:dyDescent="0.25">
      <c r="A10" s="19" t="s">
        <v>0</v>
      </c>
      <c r="B10" s="193" t="s">
        <v>274</v>
      </c>
      <c r="C10" s="193" t="s">
        <v>275</v>
      </c>
      <c r="D10" s="193" t="s">
        <v>276</v>
      </c>
      <c r="E10" s="34"/>
      <c r="F10" s="193" t="s">
        <v>208</v>
      </c>
      <c r="G10" s="19" t="s">
        <v>116</v>
      </c>
      <c r="H10" s="19" t="s">
        <v>117</v>
      </c>
      <c r="I10" s="19" t="s">
        <v>100</v>
      </c>
      <c r="J10" s="41"/>
      <c r="K10" s="192" t="s">
        <v>209</v>
      </c>
      <c r="L10" s="42"/>
      <c r="M10" s="42"/>
      <c r="N10" s="42"/>
      <c r="O10" s="42"/>
      <c r="P10" s="42"/>
      <c r="Q10" s="42"/>
      <c r="R10" s="148" t="s">
        <v>8</v>
      </c>
      <c r="S10" s="149">
        <f>_xlfn.CHISQ.INV(S9,C95-1)</f>
        <v>5.5777847897998516</v>
      </c>
      <c r="T10" s="140"/>
      <c r="V10" s="150" t="s">
        <v>119</v>
      </c>
      <c r="W10" s="151" t="s">
        <v>120</v>
      </c>
      <c r="X10" s="151"/>
      <c r="Z10" s="147" t="s">
        <v>144</v>
      </c>
      <c r="AA10" s="147" t="str">
        <f t="shared" ref="AA10:AA22" si="0">D10</f>
        <v>Quartos</v>
      </c>
      <c r="AB10" s="147" t="str">
        <f t="shared" ref="AB10:AB22" si="1">I10</f>
        <v>Valor observado</v>
      </c>
      <c r="AC10" s="152" t="str">
        <f t="shared" ref="AC10:AC22" si="2">B10</f>
        <v>Área do terreno</v>
      </c>
      <c r="AE10" s="147" t="s">
        <v>145</v>
      </c>
      <c r="AF10" s="147" t="s">
        <v>3</v>
      </c>
      <c r="AH10" s="152" t="str">
        <f t="shared" ref="AH10:AH22" si="3">C10</f>
        <v>Área edificada</v>
      </c>
      <c r="AJ10" s="147" t="s">
        <v>145</v>
      </c>
      <c r="AK10" s="153" t="s">
        <v>3</v>
      </c>
      <c r="AM10" s="152" t="s">
        <v>165</v>
      </c>
      <c r="AO10" s="147" t="s">
        <v>144</v>
      </c>
      <c r="AP10" s="147" t="str">
        <f t="shared" ref="AP10:AP22" si="4">C10</f>
        <v>Área edificada</v>
      </c>
      <c r="AQ10" s="147" t="str">
        <f t="shared" ref="AQ10:AQ22" si="5">I10</f>
        <v>Valor observado</v>
      </c>
      <c r="AR10" s="152" t="str">
        <f t="shared" ref="AR10:AR22" si="6">B10</f>
        <v>Área do terreno</v>
      </c>
      <c r="AT10" s="147" t="s">
        <v>145</v>
      </c>
      <c r="AU10" s="147" t="s">
        <v>3</v>
      </c>
      <c r="AW10" s="152" t="str">
        <f t="shared" ref="AW10:AW22" si="7">D10</f>
        <v>Quartos</v>
      </c>
      <c r="AY10" s="147" t="s">
        <v>145</v>
      </c>
      <c r="AZ10" s="147" t="s">
        <v>3</v>
      </c>
      <c r="BB10" s="152" t="s">
        <v>165</v>
      </c>
      <c r="BC10" s="140"/>
      <c r="BD10" s="147" t="s">
        <v>144</v>
      </c>
      <c r="BE10" s="147" t="str">
        <f t="shared" ref="BE10:BE22" si="8">C10</f>
        <v>Área edificada</v>
      </c>
      <c r="BF10" s="147" t="str">
        <f t="shared" ref="BF10:BF22" si="9">D10</f>
        <v>Quartos</v>
      </c>
      <c r="BG10" s="152" t="str">
        <f t="shared" ref="BG10:BG22" si="10">B10</f>
        <v>Área do terreno</v>
      </c>
      <c r="BI10" s="147" t="s">
        <v>145</v>
      </c>
      <c r="BJ10" s="147" t="s">
        <v>3</v>
      </c>
      <c r="BL10" s="152" t="str">
        <f t="shared" ref="BL10:BL22" si="11">I10</f>
        <v>Valor observado</v>
      </c>
      <c r="BN10" s="147" t="s">
        <v>145</v>
      </c>
      <c r="BO10" s="147" t="s">
        <v>3</v>
      </c>
      <c r="BQ10" s="152" t="s">
        <v>165</v>
      </c>
      <c r="BR10" s="140"/>
      <c r="BS10" s="147" t="s">
        <v>144</v>
      </c>
      <c r="BT10" s="147" t="str">
        <f t="shared" ref="BT10:BT22" si="12">B10</f>
        <v>Área do terreno</v>
      </c>
      <c r="BU10" s="147" t="str">
        <f t="shared" ref="BU10:BU22" si="13">I10</f>
        <v>Valor observado</v>
      </c>
      <c r="BV10" s="152" t="str">
        <f t="shared" ref="BV10:BV22" si="14">C10</f>
        <v>Área edificada</v>
      </c>
      <c r="BX10" s="147" t="s">
        <v>145</v>
      </c>
      <c r="BY10" s="147" t="s">
        <v>3</v>
      </c>
      <c r="CA10" s="152" t="str">
        <f t="shared" ref="CA10:CA22" si="15">D10</f>
        <v>Quartos</v>
      </c>
      <c r="CC10" s="147" t="s">
        <v>145</v>
      </c>
      <c r="CD10" s="147" t="s">
        <v>3</v>
      </c>
      <c r="CF10" s="152" t="s">
        <v>165</v>
      </c>
      <c r="CG10" s="140"/>
      <c r="CH10" s="147" t="s">
        <v>144</v>
      </c>
      <c r="CI10" s="147" t="str">
        <f t="shared" ref="CI10:CI22" si="16">B10</f>
        <v>Área do terreno</v>
      </c>
      <c r="CJ10" s="147" t="str">
        <f t="shared" ref="CJ10:CJ22" si="17">D10</f>
        <v>Quartos</v>
      </c>
      <c r="CK10" s="152" t="str">
        <f t="shared" ref="CK10:CK22" si="18">C10</f>
        <v>Área edificada</v>
      </c>
      <c r="CM10" s="147" t="s">
        <v>145</v>
      </c>
      <c r="CN10" s="147" t="s">
        <v>3</v>
      </c>
      <c r="CP10" s="152" t="str">
        <f t="shared" ref="CP10:CP22" si="19">I10</f>
        <v>Valor observado</v>
      </c>
      <c r="CR10" s="147" t="s">
        <v>145</v>
      </c>
      <c r="CS10" s="147" t="s">
        <v>3</v>
      </c>
      <c r="CU10" s="152" t="s">
        <v>165</v>
      </c>
      <c r="CV10" s="140"/>
      <c r="CW10" s="147" t="s">
        <v>144</v>
      </c>
      <c r="CX10" s="147" t="str">
        <f t="shared" ref="CX10:CX22" si="20">B10</f>
        <v>Área do terreno</v>
      </c>
      <c r="CY10" s="147" t="str">
        <f t="shared" ref="CY10:CY22" si="21">C10</f>
        <v>Área edificada</v>
      </c>
      <c r="CZ10" s="152" t="str">
        <f t="shared" ref="CZ10:CZ22" si="22">I10</f>
        <v>Valor observado</v>
      </c>
      <c r="DB10" s="147" t="s">
        <v>145</v>
      </c>
      <c r="DC10" s="147" t="s">
        <v>3</v>
      </c>
      <c r="DE10" s="152" t="str">
        <f t="shared" ref="DE10:DE22" si="23">D10</f>
        <v>Quartos</v>
      </c>
      <c r="DG10" s="147" t="s">
        <v>145</v>
      </c>
      <c r="DH10" s="147" t="s">
        <v>3</v>
      </c>
      <c r="DJ10" s="152" t="s">
        <v>165</v>
      </c>
    </row>
    <row r="11" spans="1:144" ht="20.100000000000001" customHeight="1" x14ac:dyDescent="0.25">
      <c r="A11" s="44">
        <v>1</v>
      </c>
      <c r="B11" s="194">
        <v>300</v>
      </c>
      <c r="C11" s="194">
        <v>150</v>
      </c>
      <c r="D11" s="195">
        <v>3</v>
      </c>
      <c r="F11" s="198">
        <v>795000</v>
      </c>
      <c r="G11" s="45" t="s">
        <v>126</v>
      </c>
      <c r="H11" s="45">
        <f t="shared" ref="H11:H22" si="24">VLOOKUP(G11,$W$12:$X$13,2,0)</f>
        <v>0.9</v>
      </c>
      <c r="I11" s="45">
        <f t="shared" ref="I11:I22" si="25">F11*H11</f>
        <v>715500</v>
      </c>
      <c r="K11" s="6">
        <f t="shared" ref="K11:K22" si="26">B165</f>
        <v>715670.48233972606</v>
      </c>
      <c r="L11" s="46">
        <f t="shared" ref="L11:L22" si="27">A11</f>
        <v>1</v>
      </c>
      <c r="M11" s="45">
        <f t="shared" ref="M11:M22" si="28">F182</f>
        <v>-0.57410567741475804</v>
      </c>
      <c r="N11" s="47">
        <f t="shared" ref="N11:N22" si="29">C250</f>
        <v>0.25698278558363713</v>
      </c>
      <c r="O11" s="48" t="str">
        <f t="shared" ref="O11:O22" si="30">IF(N11=MAX($N$11:$N$22),"Esse é o elemento com maior influência sobre os resultados da regressão","")</f>
        <v/>
      </c>
      <c r="P11" s="48"/>
      <c r="Q11" s="47">
        <f t="shared" ref="Q11:Q22" si="31">D250</f>
        <v>5.3732497848202341</v>
      </c>
      <c r="R11" s="154" t="str">
        <f t="shared" ref="R11:R22" si="32">IF(Q11&gt;$S$10,"O elemento ultrapassou o valor crítico","")</f>
        <v/>
      </c>
      <c r="S11" s="154"/>
      <c r="T11" s="140" t="s">
        <v>267</v>
      </c>
      <c r="V11" s="150" t="s">
        <v>121</v>
      </c>
      <c r="W11" s="150" t="s">
        <v>116</v>
      </c>
      <c r="X11" s="150" t="s">
        <v>122</v>
      </c>
      <c r="Z11" s="140">
        <v>1</v>
      </c>
      <c r="AA11" s="147">
        <f t="shared" si="0"/>
        <v>3</v>
      </c>
      <c r="AB11" s="147">
        <f t="shared" si="1"/>
        <v>715500</v>
      </c>
      <c r="AC11" s="152">
        <f t="shared" si="2"/>
        <v>300</v>
      </c>
      <c r="AE11" s="140" cm="1">
        <f t="array" ref="AE11:AE22">MMULT(Z11:AB22,MMULT((MINVERSE(MMULT(TRANSPOSE(Z11:AB22),Z11:AB22))),MMULT(TRANSPOSE(Z11:AB22),AC11:AC22)))</f>
        <v>344.86126151411622</v>
      </c>
      <c r="AF11" s="140">
        <f>AC11-AE11</f>
        <v>-44.861261514116222</v>
      </c>
      <c r="AH11" s="152">
        <f t="shared" si="3"/>
        <v>150</v>
      </c>
      <c r="AJ11" s="140" cm="1">
        <f t="array" ref="AJ11:AJ22">MMULT(Z11:AB22,MMULT((MINVERSE(MMULT(TRANSPOSE(Z11:AB22),Z11:AB22))),MMULT(TRANSPOSE(Z11:AB22),AH11:AH22)))</f>
        <v>139.17721780184598</v>
      </c>
      <c r="AK11" s="140">
        <f>AH11-AJ11</f>
        <v>10.822782198154016</v>
      </c>
      <c r="AM11" s="140">
        <f>ABS(CORREL(AF11:AF22,AK11:AK22))</f>
        <v>0.99991917352557269</v>
      </c>
      <c r="AO11" s="140">
        <v>1</v>
      </c>
      <c r="AP11" s="147">
        <f t="shared" si="4"/>
        <v>150</v>
      </c>
      <c r="AQ11" s="147">
        <f t="shared" si="5"/>
        <v>715500</v>
      </c>
      <c r="AR11" s="152">
        <f t="shared" si="6"/>
        <v>300</v>
      </c>
      <c r="AT11" s="140" cm="1">
        <f t="array" ref="AT11:AT22">MMULT(AO11:AQ22,MMULT((MINVERSE(MMULT(TRANSPOSE(AO11:AQ22),AO11:AQ22))),MMULT(TRANSPOSE(AO11:AQ22),AR11:AR22)))</f>
        <v>306.4808827701379</v>
      </c>
      <c r="AU11" s="140">
        <f>AR11-AT11</f>
        <v>-6.4808827701378959</v>
      </c>
      <c r="AW11" s="152">
        <f t="shared" si="7"/>
        <v>3</v>
      </c>
      <c r="AY11" s="140" cm="1">
        <f t="array" ref="AY11:AY22">MMULT(AO11:AQ22,MMULT((MINVERSE(MMULT(TRANSPOSE(AO11:AQ22),AO11:AQ22))),MMULT(TRANSPOSE(AO11:AQ22),AW11:AW22)))</f>
        <v>2.796358195329085</v>
      </c>
      <c r="AZ11" s="140">
        <f>AW11-AY11</f>
        <v>0.20364180467091497</v>
      </c>
      <c r="BB11" s="155">
        <f>ABS(CORREL(AU11:AU22,AZ11:AZ22))</f>
        <v>0.99888885930173421</v>
      </c>
      <c r="BD11" s="140">
        <v>1</v>
      </c>
      <c r="BE11" s="147">
        <f t="shared" si="8"/>
        <v>150</v>
      </c>
      <c r="BF11" s="147">
        <f t="shared" si="9"/>
        <v>3</v>
      </c>
      <c r="BG11" s="152">
        <f t="shared" si="10"/>
        <v>300</v>
      </c>
      <c r="BI11" s="140" cm="1">
        <f t="array" ref="BI11:BI22">MMULT(BD11:BF22,MMULT((MINVERSE(MMULT(TRANSPOSE(BD11:BF22),BD11:BF22))),MMULT(TRANSPOSE(BD11:BF22),BG11:BG22)))</f>
        <v>360.82611348383318</v>
      </c>
      <c r="BJ11" s="140">
        <f>BG11-BI11</f>
        <v>-60.826113483833183</v>
      </c>
      <c r="BL11" s="152">
        <f t="shared" si="11"/>
        <v>715500</v>
      </c>
      <c r="BN11" s="140" cm="1">
        <f t="array" ref="BN11:BN22">MMULT(BD11:BF22,MMULT((MINVERSE(MMULT(TRANSPOSE(BD11:BF22),BD11:BF22))),MMULT(TRANSPOSE(BD11:BF22),BL11:BL22)))</f>
        <v>748509.792556423</v>
      </c>
      <c r="BO11" s="140">
        <f>BL11-BN11</f>
        <v>-33009.792556422995</v>
      </c>
      <c r="BQ11" s="155">
        <f>ABS(CORREL(BJ11:BJ22,BO11:BO22))</f>
        <v>0.99991431152714916</v>
      </c>
      <c r="BS11" s="140">
        <v>1</v>
      </c>
      <c r="BT11" s="147">
        <f t="shared" si="12"/>
        <v>300</v>
      </c>
      <c r="BU11" s="147">
        <f t="shared" si="13"/>
        <v>715500</v>
      </c>
      <c r="BV11" s="152">
        <f t="shared" si="14"/>
        <v>150</v>
      </c>
      <c r="BX11" s="140" cm="1">
        <f t="array" ref="BX11:BX22">MMULT(BS11:BU22,MMULT((MINVERSE(MMULT(TRANSPOSE(BS11:BU22),BS11:BU22))),MMULT(TRANSPOSE(BS11:BU22),BV11:BV22)))</f>
        <v>150.97867612153641</v>
      </c>
      <c r="BY11" s="140">
        <f>BV11-BX11</f>
        <v>-0.97867612153640948</v>
      </c>
      <c r="CA11" s="152">
        <f t="shared" si="15"/>
        <v>3</v>
      </c>
      <c r="CC11" s="140" cm="1">
        <f t="array" ref="CC11:CC22">MMULT(BS11:BU22,MMULT((MINVERSE(MMULT(TRANSPOSE(BS11:BU22),BS11:BU22))),MMULT(TRANSPOSE(BS11:BU22),CA11:CA22)))</f>
        <v>2.8680779426785143</v>
      </c>
      <c r="CD11" s="140">
        <f>CA11-CC11</f>
        <v>0.13192205732148565</v>
      </c>
      <c r="CF11" s="155">
        <f>ABS(CORREL(BY11:BY22,CD11:CD22))</f>
        <v>0.99911933783503526</v>
      </c>
      <c r="CH11" s="140">
        <v>1</v>
      </c>
      <c r="CI11" s="147">
        <f t="shared" si="16"/>
        <v>300</v>
      </c>
      <c r="CJ11" s="147">
        <f t="shared" si="17"/>
        <v>3</v>
      </c>
      <c r="CK11" s="152">
        <f t="shared" si="18"/>
        <v>150</v>
      </c>
      <c r="CM11" s="140" cm="1">
        <f t="array" ref="CM11:CM22">MMULT(CH11:CJ22,MMULT((MINVERSE(MMULT(TRANSPOSE(CH11:CJ22),CH11:CJ22))),MMULT(TRANSPOSE(CH11:CJ22),CK11:CK22)))</f>
        <v>175.87283927388071</v>
      </c>
      <c r="CN11" s="140">
        <f>CK11-CM11</f>
        <v>-25.872839273880714</v>
      </c>
      <c r="CP11" s="152">
        <f t="shared" si="19"/>
        <v>715500</v>
      </c>
      <c r="CR11" s="140" cm="1">
        <f t="array" ref="CR11:CR22">MMULT(CH11:CJ22,MMULT((MINVERSE(MMULT(TRANSPOSE(CH11:CJ22),CH11:CJ22))),MMULT(TRANSPOSE(CH11:CJ22),CP11:CP22)))</f>
        <v>773973.63811874972</v>
      </c>
      <c r="CS11" s="140">
        <f>CP11-CR11</f>
        <v>-58473.638118749717</v>
      </c>
      <c r="CU11" s="155">
        <f>ABS(CORREL(CN11:CN22,CS11:CS22))</f>
        <v>0.99998532522449657</v>
      </c>
      <c r="CW11" s="140">
        <v>1</v>
      </c>
      <c r="CX11" s="147">
        <f t="shared" si="20"/>
        <v>300</v>
      </c>
      <c r="CY11" s="147">
        <f t="shared" si="21"/>
        <v>150</v>
      </c>
      <c r="CZ11" s="152">
        <f t="shared" si="22"/>
        <v>715500</v>
      </c>
      <c r="DB11" s="140" cm="1">
        <f t="array" ref="DB11:DB22">MMULT(CW11:CY22,MMULT((MINVERSE(MMULT(TRANSPOSE(CW11:CY22),CW11:CY22))),MMULT(TRANSPOSE(CW11:CY22),CZ11:CZ22)))</f>
        <v>714042.71803103446</v>
      </c>
      <c r="DC11" s="140">
        <f>CZ11-DB11</f>
        <v>1457.2819689655444</v>
      </c>
      <c r="DE11" s="152">
        <f t="shared" si="23"/>
        <v>3</v>
      </c>
      <c r="DG11" s="140" cm="1">
        <f t="array" ref="DG11:DG22">MMULT(CW11:CY22,MMULT((MINVERSE(MMULT(TRANSPOSE(CW11:CY22),CW11:CY22))),MMULT(TRANSPOSE(CW11:CY22),DE11:DE22)))</f>
        <v>2.9095651215579657</v>
      </c>
      <c r="DH11" s="140">
        <f>DE11-DG11</f>
        <v>9.043487844203435E-2</v>
      </c>
      <c r="DJ11" s="155">
        <f>ABS(CORREL(DC11:DC22,DH11:DH22))</f>
        <v>0.99924787452745512</v>
      </c>
    </row>
    <row r="12" spans="1:144" ht="20.100000000000001" customHeight="1" x14ac:dyDescent="0.25">
      <c r="A12" s="50">
        <v>2</v>
      </c>
      <c r="B12" s="196">
        <v>330</v>
      </c>
      <c r="C12" s="196">
        <v>155</v>
      </c>
      <c r="D12" s="197">
        <v>3</v>
      </c>
      <c r="F12" s="16">
        <v>826000</v>
      </c>
      <c r="G12" s="52" t="s">
        <v>126</v>
      </c>
      <c r="H12" s="52">
        <f t="shared" si="24"/>
        <v>0.9</v>
      </c>
      <c r="I12" s="45">
        <f t="shared" si="25"/>
        <v>743400</v>
      </c>
      <c r="K12" s="2">
        <f t="shared" si="26"/>
        <v>743134.38410627353</v>
      </c>
      <c r="L12" s="53">
        <f t="shared" si="27"/>
        <v>2</v>
      </c>
      <c r="M12" s="52">
        <f t="shared" si="28"/>
        <v>0.89447149097666478</v>
      </c>
      <c r="N12" s="54">
        <f t="shared" si="29"/>
        <v>0.1540980212446503</v>
      </c>
      <c r="O12" s="48" t="str">
        <f t="shared" si="30"/>
        <v/>
      </c>
      <c r="P12" s="48"/>
      <c r="Q12" s="54">
        <f t="shared" si="31"/>
        <v>2.7993144061556956</v>
      </c>
      <c r="R12" s="154" t="str">
        <f t="shared" si="32"/>
        <v/>
      </c>
      <c r="S12" s="154"/>
      <c r="T12" s="140" t="s">
        <v>268</v>
      </c>
      <c r="V12" s="150" t="s">
        <v>123</v>
      </c>
      <c r="W12" s="150" t="s">
        <v>124</v>
      </c>
      <c r="X12" s="150">
        <v>1</v>
      </c>
      <c r="Z12" s="140">
        <v>1</v>
      </c>
      <c r="AA12" s="147">
        <f t="shared" si="0"/>
        <v>3</v>
      </c>
      <c r="AB12" s="147">
        <f t="shared" si="1"/>
        <v>743400</v>
      </c>
      <c r="AC12" s="152">
        <f t="shared" si="2"/>
        <v>330</v>
      </c>
      <c r="AE12" s="140">
        <v>347.99769718383214</v>
      </c>
      <c r="AF12" s="140">
        <f t="shared" ref="AF12:AF22" si="33">AC12-AE12</f>
        <v>-17.997697183832145</v>
      </c>
      <c r="AH12" s="152">
        <f t="shared" si="3"/>
        <v>155</v>
      </c>
      <c r="AJ12" s="140">
        <v>150.80643963155342</v>
      </c>
      <c r="AK12" s="140">
        <f t="shared" ref="AK12:AK22" si="34">AH12-AJ12</f>
        <v>4.1935603684465832</v>
      </c>
      <c r="AO12" s="140">
        <v>1</v>
      </c>
      <c r="AP12" s="147">
        <f t="shared" si="4"/>
        <v>155</v>
      </c>
      <c r="AQ12" s="147">
        <f t="shared" si="5"/>
        <v>743400</v>
      </c>
      <c r="AR12" s="152">
        <f t="shared" si="6"/>
        <v>330</v>
      </c>
      <c r="AT12" s="140">
        <v>329.87138580113856</v>
      </c>
      <c r="AU12" s="140">
        <f t="shared" ref="AU12:AU22" si="35">AR12-AT12</f>
        <v>0.12861419886144176</v>
      </c>
      <c r="AW12" s="152">
        <f t="shared" si="7"/>
        <v>3</v>
      </c>
      <c r="AY12" s="140">
        <v>3.0187668393678457</v>
      </c>
      <c r="AZ12" s="140">
        <f t="shared" ref="AZ12:AZ22" si="36">AW12-AY12</f>
        <v>-1.8766839367845733E-2</v>
      </c>
      <c r="BD12" s="140">
        <v>1</v>
      </c>
      <c r="BE12" s="147">
        <f t="shared" si="8"/>
        <v>155</v>
      </c>
      <c r="BF12" s="147">
        <f t="shared" si="9"/>
        <v>3</v>
      </c>
      <c r="BG12" s="152">
        <f t="shared" si="10"/>
        <v>330</v>
      </c>
      <c r="BI12" s="140">
        <v>358.44722391702413</v>
      </c>
      <c r="BJ12" s="140">
        <f t="shared" ref="BJ12:BJ22" si="37">BG12-BI12</f>
        <v>-28.447223917024132</v>
      </c>
      <c r="BL12" s="152">
        <f t="shared" si="11"/>
        <v>743400</v>
      </c>
      <c r="BN12" s="140">
        <v>758492.70896886953</v>
      </c>
      <c r="BO12" s="140">
        <f t="shared" ref="BO12:BO22" si="38">BL12-BN12</f>
        <v>-15092.708968869527</v>
      </c>
      <c r="BS12" s="140">
        <v>1</v>
      </c>
      <c r="BT12" s="147">
        <f t="shared" si="12"/>
        <v>330</v>
      </c>
      <c r="BU12" s="147">
        <f t="shared" si="13"/>
        <v>743400</v>
      </c>
      <c r="BV12" s="152">
        <f t="shared" si="14"/>
        <v>155</v>
      </c>
      <c r="BX12" s="140">
        <v>154.55501505124997</v>
      </c>
      <c r="BY12" s="140">
        <f t="shared" ref="BY12:BY22" si="39">BV12-BX12</f>
        <v>0.44498494875003303</v>
      </c>
      <c r="CA12" s="152">
        <f t="shared" si="15"/>
        <v>3</v>
      </c>
      <c r="CC12" s="140">
        <v>3.0705363916280706</v>
      </c>
      <c r="CD12" s="140">
        <f t="shared" ref="CD12:CD22" si="40">CA12-CC12</f>
        <v>-7.0536391628070572E-2</v>
      </c>
      <c r="CH12" s="140">
        <v>1</v>
      </c>
      <c r="CI12" s="147">
        <f t="shared" si="16"/>
        <v>330</v>
      </c>
      <c r="CJ12" s="147">
        <f t="shared" si="17"/>
        <v>3</v>
      </c>
      <c r="CK12" s="152">
        <f t="shared" si="18"/>
        <v>155</v>
      </c>
      <c r="CM12" s="140">
        <v>171.0883596888055</v>
      </c>
      <c r="CN12" s="140">
        <f t="shared" ref="CN12:CN22" si="41">CK12-CM12</f>
        <v>-16.088359688805497</v>
      </c>
      <c r="CP12" s="152">
        <f t="shared" si="19"/>
        <v>743400</v>
      </c>
      <c r="CR12" s="140">
        <v>779388.70205088181</v>
      </c>
      <c r="CS12" s="140">
        <f t="shared" ref="CS12:CS22" si="42">CP12-CR12</f>
        <v>-35988.70205088181</v>
      </c>
      <c r="CW12" s="140">
        <v>1</v>
      </c>
      <c r="CX12" s="147">
        <f t="shared" si="20"/>
        <v>330</v>
      </c>
      <c r="CY12" s="147">
        <f t="shared" si="21"/>
        <v>155</v>
      </c>
      <c r="CZ12" s="152">
        <f t="shared" si="22"/>
        <v>743400</v>
      </c>
      <c r="DB12" s="140">
        <v>745302.06800750177</v>
      </c>
      <c r="DC12" s="140">
        <f t="shared" ref="DC12:DC22" si="43">CZ12-DB12</f>
        <v>-1902.0680075017735</v>
      </c>
      <c r="DE12" s="152">
        <f t="shared" si="23"/>
        <v>3</v>
      </c>
      <c r="DG12" s="140">
        <v>3.1204315815653856</v>
      </c>
      <c r="DH12" s="140">
        <f t="shared" ref="DH12:DH22" si="44">DE12-DG12</f>
        <v>-0.12043158156538558</v>
      </c>
    </row>
    <row r="13" spans="1:144" ht="20.100000000000001" customHeight="1" x14ac:dyDescent="0.25">
      <c r="A13" s="50">
        <v>3</v>
      </c>
      <c r="B13" s="196">
        <v>390</v>
      </c>
      <c r="C13" s="196">
        <v>180</v>
      </c>
      <c r="D13" s="197">
        <v>3</v>
      </c>
      <c r="F13" s="16">
        <v>924000</v>
      </c>
      <c r="G13" s="52" t="s">
        <v>126</v>
      </c>
      <c r="H13" s="52">
        <f t="shared" si="24"/>
        <v>0.9</v>
      </c>
      <c r="I13" s="45">
        <f t="shared" si="25"/>
        <v>831600</v>
      </c>
      <c r="K13" s="2">
        <f t="shared" si="26"/>
        <v>831863.94118594611</v>
      </c>
      <c r="L13" s="53">
        <f t="shared" si="27"/>
        <v>3</v>
      </c>
      <c r="M13" s="52">
        <f t="shared" si="28"/>
        <v>-0.88883184967270412</v>
      </c>
      <c r="N13" s="54">
        <f t="shared" si="29"/>
        <v>0.2383762210490698</v>
      </c>
      <c r="O13" s="48" t="str">
        <f t="shared" si="30"/>
        <v/>
      </c>
      <c r="P13" s="48"/>
      <c r="Q13" s="54">
        <f t="shared" si="31"/>
        <v>3.6394131555205265</v>
      </c>
      <c r="R13" s="154" t="str">
        <f t="shared" si="32"/>
        <v/>
      </c>
      <c r="S13" s="154"/>
      <c r="T13" s="140" t="s">
        <v>269</v>
      </c>
      <c r="V13" s="150" t="s">
        <v>125</v>
      </c>
      <c r="W13" s="150" t="s">
        <v>126</v>
      </c>
      <c r="X13" s="150">
        <v>0.9</v>
      </c>
      <c r="Z13" s="140">
        <v>1</v>
      </c>
      <c r="AA13" s="147">
        <f t="shared" si="0"/>
        <v>3</v>
      </c>
      <c r="AB13" s="147">
        <f t="shared" si="1"/>
        <v>831600</v>
      </c>
      <c r="AC13" s="152">
        <f t="shared" si="2"/>
        <v>390</v>
      </c>
      <c r="AE13" s="140">
        <v>357.9128809139018</v>
      </c>
      <c r="AF13" s="140">
        <f t="shared" si="33"/>
        <v>32.087119086098198</v>
      </c>
      <c r="AH13" s="152">
        <f t="shared" si="3"/>
        <v>180</v>
      </c>
      <c r="AJ13" s="140">
        <v>187.56978606095123</v>
      </c>
      <c r="AK13" s="140">
        <f t="shared" si="34"/>
        <v>-7.5697860609512304</v>
      </c>
      <c r="AO13" s="140">
        <v>1</v>
      </c>
      <c r="AP13" s="147">
        <f t="shared" si="4"/>
        <v>180</v>
      </c>
      <c r="AQ13" s="147">
        <f t="shared" si="5"/>
        <v>831600</v>
      </c>
      <c r="AR13" s="152">
        <f t="shared" si="6"/>
        <v>390</v>
      </c>
      <c r="AT13" s="140">
        <v>370.81878033672319</v>
      </c>
      <c r="AU13" s="140">
        <f t="shared" si="35"/>
        <v>19.181219663276806</v>
      </c>
      <c r="AW13" s="152">
        <f t="shared" si="7"/>
        <v>3</v>
      </c>
      <c r="AY13" s="140">
        <v>3.5607047555557223</v>
      </c>
      <c r="AZ13" s="140">
        <f t="shared" si="36"/>
        <v>-0.5607047555557223</v>
      </c>
      <c r="BD13" s="140">
        <v>1</v>
      </c>
      <c r="BE13" s="147">
        <f t="shared" si="8"/>
        <v>180</v>
      </c>
      <c r="BF13" s="147">
        <f t="shared" si="9"/>
        <v>3</v>
      </c>
      <c r="BG13" s="152">
        <f t="shared" si="10"/>
        <v>390</v>
      </c>
      <c r="BI13" s="140">
        <v>346.55277608297888</v>
      </c>
      <c r="BJ13" s="140">
        <f t="shared" si="37"/>
        <v>43.44722391702112</v>
      </c>
      <c r="BL13" s="152">
        <f t="shared" si="11"/>
        <v>831600</v>
      </c>
      <c r="BN13" s="140">
        <v>808407.29103110207</v>
      </c>
      <c r="BO13" s="140">
        <f t="shared" si="38"/>
        <v>23192.708968897932</v>
      </c>
      <c r="BS13" s="140">
        <v>1</v>
      </c>
      <c r="BT13" s="147">
        <f t="shared" si="12"/>
        <v>390</v>
      </c>
      <c r="BU13" s="147">
        <f t="shared" si="13"/>
        <v>831600</v>
      </c>
      <c r="BV13" s="152">
        <f t="shared" si="14"/>
        <v>180</v>
      </c>
      <c r="BX13" s="140">
        <v>174.91680431971625</v>
      </c>
      <c r="BY13" s="140">
        <f t="shared" si="39"/>
        <v>5.083195680283751</v>
      </c>
      <c r="CA13" s="152">
        <f t="shared" si="15"/>
        <v>3</v>
      </c>
      <c r="CC13" s="140">
        <v>3.6217562874936782</v>
      </c>
      <c r="CD13" s="140">
        <f t="shared" si="40"/>
        <v>-0.62175628749367817</v>
      </c>
      <c r="CH13" s="140">
        <v>1</v>
      </c>
      <c r="CI13" s="147">
        <f t="shared" si="16"/>
        <v>390</v>
      </c>
      <c r="CJ13" s="147">
        <f t="shared" si="17"/>
        <v>3</v>
      </c>
      <c r="CK13" s="152">
        <f t="shared" si="18"/>
        <v>180</v>
      </c>
      <c r="CM13" s="140">
        <v>161.519400518655</v>
      </c>
      <c r="CN13" s="140">
        <f t="shared" si="41"/>
        <v>18.480599481344996</v>
      </c>
      <c r="CP13" s="152">
        <f t="shared" si="19"/>
        <v>831600</v>
      </c>
      <c r="CR13" s="140">
        <v>790218.82991514623</v>
      </c>
      <c r="CS13" s="140">
        <f t="shared" si="42"/>
        <v>41381.170084853773</v>
      </c>
      <c r="CW13" s="140">
        <v>1</v>
      </c>
      <c r="CX13" s="147">
        <f t="shared" si="20"/>
        <v>390</v>
      </c>
      <c r="CY13" s="147">
        <f t="shared" si="21"/>
        <v>180</v>
      </c>
      <c r="CZ13" s="152">
        <f t="shared" si="22"/>
        <v>831600</v>
      </c>
      <c r="DB13" s="140">
        <v>844180.4151618483</v>
      </c>
      <c r="DC13" s="140">
        <f t="shared" si="43"/>
        <v>-12580.415161848301</v>
      </c>
      <c r="DE13" s="152">
        <f t="shared" si="23"/>
        <v>3</v>
      </c>
      <c r="DG13" s="140">
        <v>3.6842752485167414</v>
      </c>
      <c r="DH13" s="140">
        <f t="shared" si="44"/>
        <v>-0.68427524851674137</v>
      </c>
    </row>
    <row r="14" spans="1:144" ht="20.100000000000001" customHeight="1" x14ac:dyDescent="0.25">
      <c r="A14" s="50">
        <v>4</v>
      </c>
      <c r="B14" s="196">
        <v>390</v>
      </c>
      <c r="C14" s="196">
        <v>185</v>
      </c>
      <c r="D14" s="197">
        <v>3</v>
      </c>
      <c r="F14" s="16">
        <v>937000</v>
      </c>
      <c r="G14" s="52" t="s">
        <v>126</v>
      </c>
      <c r="H14" s="52">
        <f t="shared" si="24"/>
        <v>0.9</v>
      </c>
      <c r="I14" s="45">
        <f t="shared" si="25"/>
        <v>843300</v>
      </c>
      <c r="K14" s="2">
        <f t="shared" si="26"/>
        <v>843131.19236813881</v>
      </c>
      <c r="L14" s="53">
        <f t="shared" si="27"/>
        <v>4</v>
      </c>
      <c r="M14" s="52">
        <f t="shared" si="28"/>
        <v>0.56846603582618149</v>
      </c>
      <c r="N14" s="54">
        <f t="shared" si="29"/>
        <v>0.12633690913949633</v>
      </c>
      <c r="O14" s="48" t="str">
        <f t="shared" si="30"/>
        <v/>
      </c>
      <c r="P14" s="48"/>
      <c r="Q14" s="54">
        <f t="shared" si="31"/>
        <v>4.127000523690513</v>
      </c>
      <c r="R14" s="154" t="str">
        <f t="shared" si="32"/>
        <v/>
      </c>
      <c r="S14" s="154"/>
      <c r="T14" s="140" t="s">
        <v>270</v>
      </c>
      <c r="V14" s="150" t="s">
        <v>127</v>
      </c>
      <c r="W14" s="150"/>
      <c r="X14" s="150"/>
      <c r="Z14" s="140">
        <v>1</v>
      </c>
      <c r="AA14" s="147">
        <f t="shared" si="0"/>
        <v>3</v>
      </c>
      <c r="AB14" s="147">
        <f t="shared" si="1"/>
        <v>843300</v>
      </c>
      <c r="AC14" s="152">
        <f t="shared" si="2"/>
        <v>390</v>
      </c>
      <c r="AE14" s="140">
        <v>359.22816038829876</v>
      </c>
      <c r="AF14" s="140">
        <f t="shared" si="33"/>
        <v>30.771839611701239</v>
      </c>
      <c r="AH14" s="152">
        <f t="shared" si="3"/>
        <v>185</v>
      </c>
      <c r="AJ14" s="140">
        <v>192.44655650566722</v>
      </c>
      <c r="AK14" s="140">
        <f t="shared" si="34"/>
        <v>-7.4465565056672176</v>
      </c>
      <c r="AO14" s="140">
        <v>1</v>
      </c>
      <c r="AP14" s="147">
        <f t="shared" si="4"/>
        <v>185</v>
      </c>
      <c r="AQ14" s="147">
        <f t="shared" si="5"/>
        <v>843300</v>
      </c>
      <c r="AR14" s="152">
        <f t="shared" si="6"/>
        <v>390</v>
      </c>
      <c r="AT14" s="140">
        <v>370.2076663300129</v>
      </c>
      <c r="AU14" s="140">
        <f t="shared" si="35"/>
        <v>19.792333669987102</v>
      </c>
      <c r="AW14" s="152">
        <f t="shared" si="7"/>
        <v>3</v>
      </c>
      <c r="AY14" s="140">
        <v>3.6030801456978754</v>
      </c>
      <c r="AZ14" s="140">
        <f t="shared" si="36"/>
        <v>-0.60308014569787538</v>
      </c>
      <c r="BD14" s="140">
        <v>1</v>
      </c>
      <c r="BE14" s="147">
        <f t="shared" si="8"/>
        <v>185</v>
      </c>
      <c r="BF14" s="147">
        <f t="shared" si="9"/>
        <v>3</v>
      </c>
      <c r="BG14" s="152">
        <f t="shared" si="10"/>
        <v>390</v>
      </c>
      <c r="BI14" s="140">
        <v>344.17388651616983</v>
      </c>
      <c r="BJ14" s="140">
        <f t="shared" si="37"/>
        <v>45.82611348383017</v>
      </c>
      <c r="BL14" s="152">
        <f t="shared" si="11"/>
        <v>843300</v>
      </c>
      <c r="BN14" s="140">
        <v>818390.2074435486</v>
      </c>
      <c r="BO14" s="140">
        <f t="shared" si="38"/>
        <v>24909.792556451401</v>
      </c>
      <c r="BS14" s="140">
        <v>1</v>
      </c>
      <c r="BT14" s="147">
        <f t="shared" si="12"/>
        <v>390</v>
      </c>
      <c r="BU14" s="147">
        <f t="shared" si="13"/>
        <v>843300</v>
      </c>
      <c r="BV14" s="152">
        <f t="shared" si="14"/>
        <v>185</v>
      </c>
      <c r="BX14" s="140">
        <v>179.68676121742479</v>
      </c>
      <c r="BY14" s="140">
        <f t="shared" si="39"/>
        <v>5.3132387825752119</v>
      </c>
      <c r="CA14" s="152">
        <f t="shared" si="15"/>
        <v>3</v>
      </c>
      <c r="CC14" s="140">
        <v>3.6745879256482454</v>
      </c>
      <c r="CD14" s="140">
        <f t="shared" si="40"/>
        <v>-0.67458792564824543</v>
      </c>
      <c r="CH14" s="140">
        <v>1</v>
      </c>
      <c r="CI14" s="147">
        <f t="shared" si="16"/>
        <v>390</v>
      </c>
      <c r="CJ14" s="147">
        <f t="shared" si="17"/>
        <v>3</v>
      </c>
      <c r="CK14" s="152">
        <f t="shared" si="18"/>
        <v>185</v>
      </c>
      <c r="CM14" s="140">
        <v>161.519400518655</v>
      </c>
      <c r="CN14" s="140">
        <f t="shared" si="41"/>
        <v>23.480599481344996</v>
      </c>
      <c r="CP14" s="152">
        <f t="shared" si="19"/>
        <v>843300</v>
      </c>
      <c r="CR14" s="140">
        <v>790218.82991514623</v>
      </c>
      <c r="CS14" s="140">
        <f t="shared" si="42"/>
        <v>53081.170084853773</v>
      </c>
      <c r="CW14" s="140">
        <v>1</v>
      </c>
      <c r="CX14" s="147">
        <f t="shared" si="20"/>
        <v>390</v>
      </c>
      <c r="CY14" s="147">
        <f t="shared" si="21"/>
        <v>185</v>
      </c>
      <c r="CZ14" s="152">
        <f t="shared" si="22"/>
        <v>843300</v>
      </c>
      <c r="DB14" s="140">
        <v>856300.29756231885</v>
      </c>
      <c r="DC14" s="140">
        <f t="shared" si="43"/>
        <v>-13000.297562318854</v>
      </c>
      <c r="DE14" s="152">
        <f t="shared" si="23"/>
        <v>3</v>
      </c>
      <c r="DG14" s="140">
        <v>3.7316454974955802</v>
      </c>
      <c r="DH14" s="140">
        <f t="shared" si="44"/>
        <v>-0.73164549749558017</v>
      </c>
    </row>
    <row r="15" spans="1:144" ht="20.100000000000001" customHeight="1" x14ac:dyDescent="0.25">
      <c r="A15" s="50">
        <v>5</v>
      </c>
      <c r="B15" s="196">
        <v>432</v>
      </c>
      <c r="C15" s="196">
        <v>170</v>
      </c>
      <c r="D15" s="197">
        <v>4</v>
      </c>
      <c r="F15" s="16">
        <v>945000</v>
      </c>
      <c r="G15" s="52" t="s">
        <v>126</v>
      </c>
      <c r="H15" s="52">
        <f t="shared" si="24"/>
        <v>0.9</v>
      </c>
      <c r="I15" s="45">
        <f t="shared" si="25"/>
        <v>850500</v>
      </c>
      <c r="K15" s="2">
        <f t="shared" si="26"/>
        <v>850004.04744067951</v>
      </c>
      <c r="L15" s="53">
        <f t="shared" si="27"/>
        <v>5</v>
      </c>
      <c r="M15" s="52">
        <f t="shared" si="28"/>
        <v>1.670138857149579</v>
      </c>
      <c r="N15" s="54">
        <f t="shared" si="29"/>
        <v>0.35756010508787672</v>
      </c>
      <c r="O15" s="48" t="str">
        <f t="shared" si="30"/>
        <v>Esse é o elemento com maior influência sobre os resultados da regressão</v>
      </c>
      <c r="P15" s="48"/>
      <c r="Q15" s="54">
        <f t="shared" si="31"/>
        <v>2.0737474204353377</v>
      </c>
      <c r="R15" s="154" t="str">
        <f t="shared" si="32"/>
        <v/>
      </c>
      <c r="S15" s="154"/>
      <c r="T15" s="140" t="s">
        <v>271</v>
      </c>
      <c r="V15" s="150" t="s">
        <v>128</v>
      </c>
      <c r="W15" s="150"/>
      <c r="X15" s="150"/>
      <c r="Z15" s="140">
        <v>1</v>
      </c>
      <c r="AA15" s="147">
        <f t="shared" si="0"/>
        <v>4</v>
      </c>
      <c r="AB15" s="147">
        <f t="shared" si="1"/>
        <v>850500</v>
      </c>
      <c r="AC15" s="152">
        <f t="shared" si="2"/>
        <v>432</v>
      </c>
      <c r="AE15" s="140">
        <v>390.93797665823706</v>
      </c>
      <c r="AF15" s="140">
        <f t="shared" si="33"/>
        <v>41.062023341762938</v>
      </c>
      <c r="AH15" s="152">
        <f t="shared" si="3"/>
        <v>170</v>
      </c>
      <c r="AJ15" s="140">
        <v>180.0582100762723</v>
      </c>
      <c r="AK15" s="140">
        <f t="shared" si="34"/>
        <v>-10.058210076272303</v>
      </c>
      <c r="AO15" s="140">
        <v>1</v>
      </c>
      <c r="AP15" s="147">
        <f t="shared" si="4"/>
        <v>170</v>
      </c>
      <c r="AQ15" s="147">
        <f t="shared" si="5"/>
        <v>850500</v>
      </c>
      <c r="AR15" s="152">
        <f t="shared" si="6"/>
        <v>432</v>
      </c>
      <c r="AT15" s="140">
        <v>434.71189728194486</v>
      </c>
      <c r="AU15" s="140">
        <f t="shared" si="35"/>
        <v>-2.7118972819448572</v>
      </c>
      <c r="AW15" s="152">
        <f t="shared" si="7"/>
        <v>4</v>
      </c>
      <c r="AY15" s="140">
        <v>3.9460408048903357</v>
      </c>
      <c r="AZ15" s="140">
        <f t="shared" si="36"/>
        <v>5.3959195109664293E-2</v>
      </c>
      <c r="BD15" s="140">
        <v>1</v>
      </c>
      <c r="BE15" s="147">
        <f t="shared" si="8"/>
        <v>170</v>
      </c>
      <c r="BF15" s="147">
        <f t="shared" si="9"/>
        <v>4</v>
      </c>
      <c r="BG15" s="152">
        <f t="shared" si="10"/>
        <v>432</v>
      </c>
      <c r="BI15" s="140">
        <v>404.532641854791</v>
      </c>
      <c r="BJ15" s="140">
        <f t="shared" si="37"/>
        <v>27.467358145209005</v>
      </c>
      <c r="BL15" s="152">
        <f t="shared" si="11"/>
        <v>850500</v>
      </c>
      <c r="BN15" s="140">
        <v>835174.74069553125</v>
      </c>
      <c r="BO15" s="140">
        <f t="shared" si="38"/>
        <v>15325.259304468753</v>
      </c>
      <c r="BS15" s="140">
        <v>1</v>
      </c>
      <c r="BT15" s="147">
        <f t="shared" si="12"/>
        <v>432</v>
      </c>
      <c r="BU15" s="147">
        <f t="shared" si="13"/>
        <v>850500</v>
      </c>
      <c r="BV15" s="152">
        <f t="shared" si="14"/>
        <v>170</v>
      </c>
      <c r="BX15" s="140">
        <v>171.70467616680202</v>
      </c>
      <c r="BY15" s="140">
        <f t="shared" si="39"/>
        <v>-1.7046761668020167</v>
      </c>
      <c r="CA15" s="152">
        <f t="shared" si="15"/>
        <v>4</v>
      </c>
      <c r="CC15" s="140">
        <v>3.8141651395105711</v>
      </c>
      <c r="CD15" s="140">
        <f t="shared" si="40"/>
        <v>0.18583486048942888</v>
      </c>
      <c r="CH15" s="140">
        <v>1</v>
      </c>
      <c r="CI15" s="147">
        <f t="shared" si="16"/>
        <v>432</v>
      </c>
      <c r="CJ15" s="147">
        <f t="shared" si="17"/>
        <v>4</v>
      </c>
      <c r="CK15" s="152">
        <f t="shared" si="18"/>
        <v>170</v>
      </c>
      <c r="CM15" s="140">
        <v>185.83459452384125</v>
      </c>
      <c r="CN15" s="140">
        <f t="shared" si="41"/>
        <v>-15.834594523841247</v>
      </c>
      <c r="CP15" s="152">
        <f t="shared" si="19"/>
        <v>850500</v>
      </c>
      <c r="CR15" s="140">
        <v>885686.51821429352</v>
      </c>
      <c r="CS15" s="140">
        <f t="shared" si="42"/>
        <v>-35186.518214293523</v>
      </c>
      <c r="CW15" s="140">
        <v>1</v>
      </c>
      <c r="CX15" s="147">
        <f t="shared" si="20"/>
        <v>432</v>
      </c>
      <c r="CY15" s="147">
        <f t="shared" si="21"/>
        <v>170</v>
      </c>
      <c r="CZ15" s="152">
        <f t="shared" si="22"/>
        <v>850500</v>
      </c>
      <c r="DB15" s="140">
        <v>846735.90496730222</v>
      </c>
      <c r="DC15" s="140">
        <f t="shared" si="43"/>
        <v>3764.0950326977763</v>
      </c>
      <c r="DE15" s="152">
        <f t="shared" si="23"/>
        <v>4</v>
      </c>
      <c r="DG15" s="140">
        <v>3.8184294459990782</v>
      </c>
      <c r="DH15" s="140">
        <f t="shared" si="44"/>
        <v>0.18157055400092181</v>
      </c>
    </row>
    <row r="16" spans="1:144" ht="20.100000000000001" customHeight="1" x14ac:dyDescent="0.25">
      <c r="A16" s="50">
        <v>6</v>
      </c>
      <c r="B16" s="196">
        <v>440</v>
      </c>
      <c r="C16" s="196">
        <v>170</v>
      </c>
      <c r="D16" s="197">
        <v>4</v>
      </c>
      <c r="F16" s="16">
        <v>949000</v>
      </c>
      <c r="G16" s="52" t="s">
        <v>126</v>
      </c>
      <c r="H16" s="52">
        <f t="shared" si="24"/>
        <v>0.9</v>
      </c>
      <c r="I16" s="45">
        <f t="shared" si="25"/>
        <v>854100</v>
      </c>
      <c r="K16" s="2">
        <f t="shared" si="26"/>
        <v>854323.15426317416</v>
      </c>
      <c r="L16" s="53">
        <f t="shared" si="27"/>
        <v>6</v>
      </c>
      <c r="M16" s="52">
        <f t="shared" si="28"/>
        <v>-0.75148035646068523</v>
      </c>
      <c r="N16" s="54">
        <f t="shared" si="29"/>
        <v>9.053407872660045E-2</v>
      </c>
      <c r="O16" s="48" t="str">
        <f t="shared" si="30"/>
        <v/>
      </c>
      <c r="P16" s="48"/>
      <c r="Q16" s="54">
        <f t="shared" si="31"/>
        <v>2.4659622337906555</v>
      </c>
      <c r="R16" s="154" t="str">
        <f t="shared" si="32"/>
        <v/>
      </c>
      <c r="S16" s="154"/>
      <c r="V16" s="150" t="s">
        <v>129</v>
      </c>
      <c r="W16" s="150"/>
      <c r="X16" s="150"/>
      <c r="Z16" s="140">
        <v>1</v>
      </c>
      <c r="AA16" s="147">
        <f t="shared" si="0"/>
        <v>4</v>
      </c>
      <c r="AB16" s="147">
        <f t="shared" si="1"/>
        <v>854100</v>
      </c>
      <c r="AC16" s="152">
        <f t="shared" si="2"/>
        <v>440</v>
      </c>
      <c r="AE16" s="140">
        <v>391.3426780349746</v>
      </c>
      <c r="AF16" s="140">
        <f t="shared" si="33"/>
        <v>48.657321965025403</v>
      </c>
      <c r="AH16" s="152">
        <f t="shared" si="3"/>
        <v>170</v>
      </c>
      <c r="AJ16" s="140">
        <v>181.55875482849262</v>
      </c>
      <c r="AK16" s="140">
        <f t="shared" si="34"/>
        <v>-11.558754828492624</v>
      </c>
      <c r="AO16" s="140">
        <v>1</v>
      </c>
      <c r="AP16" s="147">
        <f t="shared" si="4"/>
        <v>170</v>
      </c>
      <c r="AQ16" s="147">
        <f t="shared" si="5"/>
        <v>854100</v>
      </c>
      <c r="AR16" s="152">
        <f t="shared" si="6"/>
        <v>440</v>
      </c>
      <c r="AT16" s="140">
        <v>440.04558995699176</v>
      </c>
      <c r="AU16" s="140">
        <f t="shared" si="35"/>
        <v>-4.5589956991761937E-2</v>
      </c>
      <c r="AW16" s="152">
        <f t="shared" si="7"/>
        <v>4</v>
      </c>
      <c r="AY16" s="140">
        <v>3.9860481946451376</v>
      </c>
      <c r="AZ16" s="140">
        <f t="shared" si="36"/>
        <v>1.3951805354862401E-2</v>
      </c>
      <c r="BD16" s="140">
        <v>1</v>
      </c>
      <c r="BE16" s="147">
        <f t="shared" si="8"/>
        <v>170</v>
      </c>
      <c r="BF16" s="147">
        <f t="shared" si="9"/>
        <v>4</v>
      </c>
      <c r="BG16" s="152">
        <f t="shared" si="10"/>
        <v>440</v>
      </c>
      <c r="BI16" s="140">
        <v>404.532641854791</v>
      </c>
      <c r="BJ16" s="140">
        <f t="shared" si="37"/>
        <v>35.467358145209005</v>
      </c>
      <c r="BL16" s="152">
        <f t="shared" si="11"/>
        <v>854100</v>
      </c>
      <c r="BN16" s="140">
        <v>835174.74069553125</v>
      </c>
      <c r="BO16" s="140">
        <f t="shared" si="38"/>
        <v>18925.259304468753</v>
      </c>
      <c r="BS16" s="140">
        <v>1</v>
      </c>
      <c r="BT16" s="147">
        <f t="shared" si="12"/>
        <v>440</v>
      </c>
      <c r="BU16" s="147">
        <f t="shared" si="13"/>
        <v>854100</v>
      </c>
      <c r="BV16" s="152">
        <f t="shared" si="14"/>
        <v>170</v>
      </c>
      <c r="BX16" s="140">
        <v>171.0928422329136</v>
      </c>
      <c r="BY16" s="140">
        <f t="shared" si="39"/>
        <v>-1.0928422329135969</v>
      </c>
      <c r="CA16" s="152">
        <f t="shared" si="15"/>
        <v>4</v>
      </c>
      <c r="CC16" s="140">
        <v>3.8508144446566459</v>
      </c>
      <c r="CD16" s="140">
        <f t="shared" si="40"/>
        <v>0.14918555534335409</v>
      </c>
      <c r="CH16" s="140">
        <v>1</v>
      </c>
      <c r="CI16" s="147">
        <f t="shared" si="16"/>
        <v>440</v>
      </c>
      <c r="CJ16" s="147">
        <f t="shared" si="17"/>
        <v>4</v>
      </c>
      <c r="CK16" s="152">
        <f t="shared" si="18"/>
        <v>170</v>
      </c>
      <c r="CM16" s="140">
        <v>184.55873330115452</v>
      </c>
      <c r="CN16" s="140">
        <f t="shared" si="41"/>
        <v>-14.558733301154518</v>
      </c>
      <c r="CP16" s="152">
        <f t="shared" si="19"/>
        <v>854100</v>
      </c>
      <c r="CR16" s="140">
        <v>887130.5352628621</v>
      </c>
      <c r="CS16" s="140">
        <f t="shared" si="42"/>
        <v>-33030.535262862104</v>
      </c>
      <c r="CW16" s="140">
        <v>1</v>
      </c>
      <c r="CX16" s="147">
        <f t="shared" si="20"/>
        <v>440</v>
      </c>
      <c r="CY16" s="147">
        <f t="shared" si="21"/>
        <v>170</v>
      </c>
      <c r="CZ16" s="152">
        <f t="shared" si="22"/>
        <v>854100</v>
      </c>
      <c r="DB16" s="140">
        <v>851839.76298756793</v>
      </c>
      <c r="DC16" s="140">
        <f t="shared" si="43"/>
        <v>2260.2370124320732</v>
      </c>
      <c r="DE16" s="152">
        <f t="shared" si="23"/>
        <v>4</v>
      </c>
      <c r="DG16" s="140">
        <v>3.8620284356066996</v>
      </c>
      <c r="DH16" s="140">
        <f t="shared" si="44"/>
        <v>0.13797156439330038</v>
      </c>
    </row>
    <row r="17" spans="1:112" ht="20.100000000000001" customHeight="1" x14ac:dyDescent="0.25">
      <c r="A17" s="50">
        <v>7</v>
      </c>
      <c r="B17" s="196">
        <v>390</v>
      </c>
      <c r="C17" s="196">
        <v>180</v>
      </c>
      <c r="D17" s="197">
        <v>4</v>
      </c>
      <c r="F17" s="16">
        <v>944000</v>
      </c>
      <c r="G17" s="52" t="s">
        <v>126</v>
      </c>
      <c r="H17" s="52">
        <f t="shared" si="24"/>
        <v>0.9</v>
      </c>
      <c r="I17" s="45">
        <f t="shared" si="25"/>
        <v>849600</v>
      </c>
      <c r="K17" s="2">
        <f t="shared" si="26"/>
        <v>849863.2389869676</v>
      </c>
      <c r="L17" s="53">
        <f t="shared" si="27"/>
        <v>7</v>
      </c>
      <c r="M17" s="52">
        <f t="shared" si="28"/>
        <v>-0.88646716825827021</v>
      </c>
      <c r="N17" s="54">
        <f t="shared" si="29"/>
        <v>4.427860868898538E-2</v>
      </c>
      <c r="O17" s="48" t="str">
        <f t="shared" si="30"/>
        <v/>
      </c>
      <c r="P17" s="48"/>
      <c r="Q17" s="54">
        <f t="shared" si="31"/>
        <v>0.83561860293888979</v>
      </c>
      <c r="R17" s="154" t="str">
        <f t="shared" si="32"/>
        <v/>
      </c>
      <c r="S17" s="154"/>
      <c r="Z17" s="140">
        <v>1</v>
      </c>
      <c r="AA17" s="147">
        <f t="shared" si="0"/>
        <v>4</v>
      </c>
      <c r="AB17" s="147">
        <f t="shared" si="1"/>
        <v>849600</v>
      </c>
      <c r="AC17" s="152">
        <f t="shared" si="2"/>
        <v>390</v>
      </c>
      <c r="AE17" s="140">
        <v>390.83680131405271</v>
      </c>
      <c r="AF17" s="140">
        <f t="shared" si="33"/>
        <v>-0.83680131405270686</v>
      </c>
      <c r="AH17" s="152">
        <f t="shared" si="3"/>
        <v>180</v>
      </c>
      <c r="AJ17" s="140">
        <v>179.68307388821722</v>
      </c>
      <c r="AK17" s="140">
        <f t="shared" si="34"/>
        <v>0.3169261117827773</v>
      </c>
      <c r="AO17" s="140">
        <v>1</v>
      </c>
      <c r="AP17" s="147">
        <f t="shared" si="4"/>
        <v>180</v>
      </c>
      <c r="AQ17" s="147">
        <f t="shared" si="5"/>
        <v>849600</v>
      </c>
      <c r="AR17" s="152">
        <f t="shared" si="6"/>
        <v>390</v>
      </c>
      <c r="AT17" s="140">
        <v>397.48724371195772</v>
      </c>
      <c r="AU17" s="140">
        <f t="shared" si="35"/>
        <v>-7.4872437119577171</v>
      </c>
      <c r="AW17" s="152">
        <f t="shared" si="7"/>
        <v>4</v>
      </c>
      <c r="AY17" s="140">
        <v>3.76074170432973</v>
      </c>
      <c r="AZ17" s="140">
        <f t="shared" si="36"/>
        <v>0.23925829567027002</v>
      </c>
      <c r="BD17" s="140">
        <v>1</v>
      </c>
      <c r="BE17" s="147">
        <f t="shared" si="8"/>
        <v>180</v>
      </c>
      <c r="BF17" s="147">
        <f t="shared" si="9"/>
        <v>4</v>
      </c>
      <c r="BG17" s="152">
        <f t="shared" si="10"/>
        <v>390</v>
      </c>
      <c r="BI17" s="140">
        <v>399.77486272117289</v>
      </c>
      <c r="BJ17" s="140">
        <f t="shared" si="37"/>
        <v>-9.7748627211728945</v>
      </c>
      <c r="BL17" s="152">
        <f t="shared" si="11"/>
        <v>849600</v>
      </c>
      <c r="BN17" s="140">
        <v>855140.57352042419</v>
      </c>
      <c r="BO17" s="140">
        <f t="shared" si="38"/>
        <v>-5540.5735204241937</v>
      </c>
      <c r="BS17" s="140">
        <v>1</v>
      </c>
      <c r="BT17" s="147">
        <f t="shared" si="12"/>
        <v>390</v>
      </c>
      <c r="BU17" s="147">
        <f t="shared" si="13"/>
        <v>849600</v>
      </c>
      <c r="BV17" s="152">
        <f t="shared" si="14"/>
        <v>180</v>
      </c>
      <c r="BX17" s="140">
        <v>182.25519954696014</v>
      </c>
      <c r="BY17" s="140">
        <f t="shared" si="39"/>
        <v>-2.2551995469601422</v>
      </c>
      <c r="CA17" s="152">
        <f t="shared" si="15"/>
        <v>4</v>
      </c>
      <c r="CC17" s="140">
        <v>3.7030357308083972</v>
      </c>
      <c r="CD17" s="140">
        <f t="shared" si="40"/>
        <v>0.29696426919160279</v>
      </c>
      <c r="CH17" s="140">
        <v>1</v>
      </c>
      <c r="CI17" s="147">
        <f t="shared" si="16"/>
        <v>390</v>
      </c>
      <c r="CJ17" s="147">
        <f t="shared" si="17"/>
        <v>4</v>
      </c>
      <c r="CK17" s="152">
        <f t="shared" si="18"/>
        <v>180</v>
      </c>
      <c r="CM17" s="140">
        <v>192.53286594294656</v>
      </c>
      <c r="CN17" s="140">
        <f t="shared" si="41"/>
        <v>-12.532865942946557</v>
      </c>
      <c r="CP17" s="152">
        <f t="shared" si="19"/>
        <v>849600</v>
      </c>
      <c r="CR17" s="140">
        <v>878105.4287093085</v>
      </c>
      <c r="CS17" s="140">
        <f t="shared" si="42"/>
        <v>-28505.4287093085</v>
      </c>
      <c r="CW17" s="140">
        <v>1</v>
      </c>
      <c r="CX17" s="147">
        <f t="shared" si="20"/>
        <v>390</v>
      </c>
      <c r="CY17" s="147">
        <f t="shared" si="21"/>
        <v>180</v>
      </c>
      <c r="CZ17" s="152">
        <f t="shared" si="22"/>
        <v>849600</v>
      </c>
      <c r="DB17" s="140">
        <v>844180.4151618483</v>
      </c>
      <c r="DC17" s="140">
        <f t="shared" si="43"/>
        <v>5419.5848381516989</v>
      </c>
      <c r="DE17" s="152">
        <f t="shared" si="23"/>
        <v>4</v>
      </c>
      <c r="DG17" s="140">
        <v>3.6842752485167414</v>
      </c>
      <c r="DH17" s="140">
        <f t="shared" si="44"/>
        <v>0.31572475148325863</v>
      </c>
    </row>
    <row r="18" spans="1:112" ht="20.100000000000001" customHeight="1" x14ac:dyDescent="0.25">
      <c r="A18" s="50">
        <v>8</v>
      </c>
      <c r="B18" s="196">
        <v>362</v>
      </c>
      <c r="C18" s="196">
        <v>185</v>
      </c>
      <c r="D18" s="197">
        <v>4</v>
      </c>
      <c r="F18" s="16">
        <v>940000</v>
      </c>
      <c r="G18" s="52" t="s">
        <v>126</v>
      </c>
      <c r="H18" s="52">
        <f t="shared" si="24"/>
        <v>0.9</v>
      </c>
      <c r="I18" s="45">
        <f t="shared" si="25"/>
        <v>846000</v>
      </c>
      <c r="K18" s="2">
        <f t="shared" si="26"/>
        <v>846013.61629042891</v>
      </c>
      <c r="L18" s="53">
        <f t="shared" si="27"/>
        <v>8</v>
      </c>
      <c r="M18" s="52">
        <f t="shared" si="28"/>
        <v>-4.5853369053507724E-2</v>
      </c>
      <c r="N18" s="54">
        <f t="shared" si="29"/>
        <v>1.9409297404352697E-4</v>
      </c>
      <c r="O18" s="48" t="str">
        <f t="shared" si="30"/>
        <v/>
      </c>
      <c r="P18" s="48"/>
      <c r="Q18" s="54">
        <f t="shared" si="31"/>
        <v>1.5358470478027477</v>
      </c>
      <c r="R18" s="154" t="str">
        <f t="shared" si="32"/>
        <v/>
      </c>
      <c r="S18" s="154"/>
      <c r="Z18" s="140">
        <v>1</v>
      </c>
      <c r="AA18" s="147">
        <f t="shared" si="0"/>
        <v>4</v>
      </c>
      <c r="AB18" s="147">
        <f t="shared" si="1"/>
        <v>846000</v>
      </c>
      <c r="AC18" s="152">
        <f t="shared" si="2"/>
        <v>362</v>
      </c>
      <c r="AE18" s="140">
        <v>390.43209993731517</v>
      </c>
      <c r="AF18" s="140">
        <f t="shared" si="33"/>
        <v>-28.432099937315172</v>
      </c>
      <c r="AH18" s="152">
        <f t="shared" si="3"/>
        <v>185</v>
      </c>
      <c r="AJ18" s="140">
        <v>178.1825291359969</v>
      </c>
      <c r="AK18" s="140">
        <f t="shared" si="34"/>
        <v>6.8174708640030985</v>
      </c>
      <c r="AO18" s="140">
        <v>1</v>
      </c>
      <c r="AP18" s="147">
        <f t="shared" si="4"/>
        <v>185</v>
      </c>
      <c r="AQ18" s="147">
        <f t="shared" si="5"/>
        <v>846000</v>
      </c>
      <c r="AR18" s="152">
        <f t="shared" si="6"/>
        <v>362</v>
      </c>
      <c r="AT18" s="140">
        <v>374.20793583629802</v>
      </c>
      <c r="AU18" s="140">
        <f t="shared" si="35"/>
        <v>-12.20793583629802</v>
      </c>
      <c r="AW18" s="152">
        <f t="shared" si="7"/>
        <v>4</v>
      </c>
      <c r="AY18" s="140">
        <v>3.6330856880139777</v>
      </c>
      <c r="AZ18" s="140">
        <f t="shared" si="36"/>
        <v>0.36691431198602231</v>
      </c>
      <c r="BD18" s="140">
        <v>1</v>
      </c>
      <c r="BE18" s="147">
        <f t="shared" si="8"/>
        <v>185</v>
      </c>
      <c r="BF18" s="147">
        <f t="shared" si="9"/>
        <v>4</v>
      </c>
      <c r="BG18" s="152">
        <f t="shared" si="10"/>
        <v>362</v>
      </c>
      <c r="BI18" s="140">
        <v>397.39597315436384</v>
      </c>
      <c r="BJ18" s="140">
        <f t="shared" si="37"/>
        <v>-35.395973154363844</v>
      </c>
      <c r="BL18" s="152">
        <f t="shared" si="11"/>
        <v>846000</v>
      </c>
      <c r="BN18" s="140">
        <v>865123.48993287073</v>
      </c>
      <c r="BO18" s="140">
        <f t="shared" si="38"/>
        <v>-19123.489932870725</v>
      </c>
      <c r="BS18" s="140">
        <v>1</v>
      </c>
      <c r="BT18" s="147">
        <f t="shared" si="12"/>
        <v>362</v>
      </c>
      <c r="BU18" s="147">
        <f t="shared" si="13"/>
        <v>846000</v>
      </c>
      <c r="BV18" s="152">
        <f t="shared" si="14"/>
        <v>185</v>
      </c>
      <c r="BX18" s="140">
        <v>188.06581592919159</v>
      </c>
      <c r="BY18" s="140">
        <f t="shared" si="39"/>
        <v>-3.0658159291915865</v>
      </c>
      <c r="CA18" s="152">
        <f t="shared" si="15"/>
        <v>4</v>
      </c>
      <c r="CC18" s="140">
        <v>3.615402884454495</v>
      </c>
      <c r="CD18" s="140">
        <f t="shared" si="40"/>
        <v>0.38459711554550502</v>
      </c>
      <c r="CH18" s="140">
        <v>1</v>
      </c>
      <c r="CI18" s="147">
        <f t="shared" si="16"/>
        <v>362</v>
      </c>
      <c r="CJ18" s="147">
        <f t="shared" si="17"/>
        <v>4</v>
      </c>
      <c r="CK18" s="152">
        <f t="shared" si="18"/>
        <v>185</v>
      </c>
      <c r="CM18" s="140">
        <v>196.99838022235014</v>
      </c>
      <c r="CN18" s="140">
        <f t="shared" si="41"/>
        <v>-11.998380222350136</v>
      </c>
      <c r="CP18" s="152">
        <f t="shared" si="19"/>
        <v>846000</v>
      </c>
      <c r="CR18" s="140">
        <v>873051.36903931841</v>
      </c>
      <c r="CS18" s="140">
        <f t="shared" si="42"/>
        <v>-27051.369039318408</v>
      </c>
      <c r="CW18" s="140">
        <v>1</v>
      </c>
      <c r="CX18" s="147">
        <f t="shared" si="20"/>
        <v>362</v>
      </c>
      <c r="CY18" s="147">
        <f t="shared" si="21"/>
        <v>185</v>
      </c>
      <c r="CZ18" s="152">
        <f t="shared" si="22"/>
        <v>846000</v>
      </c>
      <c r="DB18" s="140">
        <v>838436.79449138884</v>
      </c>
      <c r="DC18" s="140">
        <f t="shared" si="43"/>
        <v>7563.205508611165</v>
      </c>
      <c r="DE18" s="152">
        <f t="shared" si="23"/>
        <v>4</v>
      </c>
      <c r="DG18" s="140">
        <v>3.5790490338689036</v>
      </c>
      <c r="DH18" s="140">
        <f t="shared" si="44"/>
        <v>0.42095096613109639</v>
      </c>
    </row>
    <row r="19" spans="1:112" ht="20.100000000000001" customHeight="1" x14ac:dyDescent="0.25">
      <c r="A19" s="50">
        <v>9</v>
      </c>
      <c r="B19" s="196">
        <v>430</v>
      </c>
      <c r="C19" s="196">
        <v>180</v>
      </c>
      <c r="D19" s="197">
        <v>4</v>
      </c>
      <c r="F19" s="16">
        <v>968000</v>
      </c>
      <c r="G19" s="52" t="s">
        <v>126</v>
      </c>
      <c r="H19" s="52">
        <f t="shared" si="24"/>
        <v>0.9</v>
      </c>
      <c r="I19" s="45">
        <f t="shared" si="25"/>
        <v>871200</v>
      </c>
      <c r="K19" s="2">
        <f t="shared" si="26"/>
        <v>871458.77309944085</v>
      </c>
      <c r="L19" s="53">
        <f t="shared" si="27"/>
        <v>9</v>
      </c>
      <c r="M19" s="52">
        <f t="shared" si="28"/>
        <v>-0.87142812440233808</v>
      </c>
      <c r="N19" s="54">
        <f t="shared" si="29"/>
        <v>6.730591041622995E-2</v>
      </c>
      <c r="O19" s="48" t="str">
        <f t="shared" si="30"/>
        <v/>
      </c>
      <c r="P19" s="48"/>
      <c r="Q19" s="54">
        <f t="shared" si="31"/>
        <v>1.4728583564068267</v>
      </c>
      <c r="R19" s="154" t="str">
        <f t="shared" si="32"/>
        <v/>
      </c>
      <c r="S19" s="154"/>
      <c r="Z19" s="140">
        <v>1</v>
      </c>
      <c r="AA19" s="147">
        <f t="shared" si="0"/>
        <v>4</v>
      </c>
      <c r="AB19" s="147">
        <f t="shared" si="1"/>
        <v>871200</v>
      </c>
      <c r="AC19" s="152">
        <f t="shared" si="2"/>
        <v>430</v>
      </c>
      <c r="AE19" s="140">
        <v>393.26500957447792</v>
      </c>
      <c r="AF19" s="140">
        <f t="shared" si="33"/>
        <v>36.734990425522085</v>
      </c>
      <c r="AH19" s="152">
        <f t="shared" si="3"/>
        <v>180</v>
      </c>
      <c r="AJ19" s="140">
        <v>188.68634240153915</v>
      </c>
      <c r="AK19" s="140">
        <f t="shared" si="34"/>
        <v>-8.6863424015391502</v>
      </c>
      <c r="AO19" s="140">
        <v>1</v>
      </c>
      <c r="AP19" s="147">
        <f t="shared" si="4"/>
        <v>180</v>
      </c>
      <c r="AQ19" s="147">
        <f t="shared" si="5"/>
        <v>871200</v>
      </c>
      <c r="AR19" s="152">
        <f t="shared" si="6"/>
        <v>430</v>
      </c>
      <c r="AT19" s="140">
        <v>429.48939976223892</v>
      </c>
      <c r="AU19" s="140">
        <f t="shared" si="35"/>
        <v>0.5106002377610821</v>
      </c>
      <c r="AW19" s="152">
        <f t="shared" si="7"/>
        <v>4</v>
      </c>
      <c r="AY19" s="140">
        <v>4.0007860428585396</v>
      </c>
      <c r="AZ19" s="140">
        <f t="shared" si="36"/>
        <v>-7.8604285853955957E-4</v>
      </c>
      <c r="BD19" s="140">
        <v>1</v>
      </c>
      <c r="BE19" s="147">
        <f t="shared" si="8"/>
        <v>180</v>
      </c>
      <c r="BF19" s="147">
        <f t="shared" si="9"/>
        <v>4</v>
      </c>
      <c r="BG19" s="152">
        <f t="shared" si="10"/>
        <v>430</v>
      </c>
      <c r="BI19" s="140">
        <v>399.77486272117289</v>
      </c>
      <c r="BJ19" s="140">
        <f t="shared" si="37"/>
        <v>30.225137278827106</v>
      </c>
      <c r="BL19" s="152">
        <f t="shared" si="11"/>
        <v>871200</v>
      </c>
      <c r="BN19" s="140">
        <v>855140.57352042419</v>
      </c>
      <c r="BO19" s="140">
        <f t="shared" si="38"/>
        <v>16059.426479575806</v>
      </c>
      <c r="BS19" s="140">
        <v>1</v>
      </c>
      <c r="BT19" s="147">
        <f t="shared" si="12"/>
        <v>430</v>
      </c>
      <c r="BU19" s="147">
        <f t="shared" si="13"/>
        <v>871200</v>
      </c>
      <c r="BV19" s="152">
        <f t="shared" si="14"/>
        <v>180</v>
      </c>
      <c r="BX19" s="140">
        <v>180.66370892296683</v>
      </c>
      <c r="BY19" s="140">
        <f t="shared" si="39"/>
        <v>-0.66370892296683337</v>
      </c>
      <c r="CA19" s="152">
        <f t="shared" si="15"/>
        <v>4</v>
      </c>
      <c r="CC19" s="140">
        <v>3.9025381452017158</v>
      </c>
      <c r="CD19" s="140">
        <f t="shared" si="40"/>
        <v>9.7461854798284175E-2</v>
      </c>
      <c r="CH19" s="140">
        <v>1</v>
      </c>
      <c r="CI19" s="147">
        <f t="shared" si="16"/>
        <v>430</v>
      </c>
      <c r="CJ19" s="147">
        <f t="shared" si="17"/>
        <v>4</v>
      </c>
      <c r="CK19" s="152">
        <f t="shared" si="18"/>
        <v>180</v>
      </c>
      <c r="CM19" s="140">
        <v>186.15355982951291</v>
      </c>
      <c r="CN19" s="140">
        <f t="shared" si="41"/>
        <v>-6.1535598295129148</v>
      </c>
      <c r="CP19" s="152">
        <f t="shared" si="19"/>
        <v>871200</v>
      </c>
      <c r="CR19" s="140">
        <v>885325.51395215141</v>
      </c>
      <c r="CS19" s="140">
        <f t="shared" si="42"/>
        <v>-14125.513952151407</v>
      </c>
      <c r="CW19" s="140">
        <v>1</v>
      </c>
      <c r="CX19" s="147">
        <f t="shared" si="20"/>
        <v>430</v>
      </c>
      <c r="CY19" s="147">
        <f t="shared" si="21"/>
        <v>180</v>
      </c>
      <c r="CZ19" s="152">
        <f t="shared" si="22"/>
        <v>871200</v>
      </c>
      <c r="DB19" s="140">
        <v>869699.70526317705</v>
      </c>
      <c r="DC19" s="140">
        <f t="shared" si="43"/>
        <v>1500.2947368229507</v>
      </c>
      <c r="DE19" s="152">
        <f t="shared" si="23"/>
        <v>4</v>
      </c>
      <c r="DG19" s="140">
        <v>3.9022701965548499</v>
      </c>
      <c r="DH19" s="140">
        <f t="shared" si="44"/>
        <v>9.7729803445150143E-2</v>
      </c>
    </row>
    <row r="20" spans="1:112" ht="20.100000000000001" customHeight="1" x14ac:dyDescent="0.25">
      <c r="A20" s="50">
        <v>10</v>
      </c>
      <c r="B20" s="196">
        <v>384</v>
      </c>
      <c r="C20" s="196">
        <v>190</v>
      </c>
      <c r="D20" s="197">
        <v>4</v>
      </c>
      <c r="F20" s="16">
        <v>966000</v>
      </c>
      <c r="G20" s="52" t="s">
        <v>126</v>
      </c>
      <c r="H20" s="52">
        <f t="shared" si="24"/>
        <v>0.9</v>
      </c>
      <c r="I20" s="45">
        <f t="shared" si="25"/>
        <v>869400</v>
      </c>
      <c r="K20" s="2">
        <f t="shared" si="26"/>
        <v>869158.41123448173</v>
      </c>
      <c r="L20" s="53">
        <f t="shared" si="27"/>
        <v>10</v>
      </c>
      <c r="M20" s="52">
        <f t="shared" si="28"/>
        <v>0.81355923497136606</v>
      </c>
      <c r="N20" s="54">
        <f t="shared" si="29"/>
        <v>2.9647216893305975E-2</v>
      </c>
      <c r="O20" s="48" t="str">
        <f t="shared" si="30"/>
        <v/>
      </c>
      <c r="P20" s="48"/>
      <c r="Q20" s="54">
        <f t="shared" si="31"/>
        <v>0.56043703961036107</v>
      </c>
      <c r="R20" s="154" t="str">
        <f t="shared" si="32"/>
        <v/>
      </c>
      <c r="S20" s="154"/>
      <c r="Z20" s="140">
        <v>1</v>
      </c>
      <c r="AA20" s="147">
        <f t="shared" si="0"/>
        <v>4</v>
      </c>
      <c r="AB20" s="147">
        <f t="shared" si="1"/>
        <v>869400</v>
      </c>
      <c r="AC20" s="152">
        <f t="shared" si="2"/>
        <v>384</v>
      </c>
      <c r="AE20" s="140">
        <v>393.06265888610915</v>
      </c>
      <c r="AF20" s="140">
        <f t="shared" si="33"/>
        <v>-9.0626588861091477</v>
      </c>
      <c r="AH20" s="152">
        <f t="shared" si="3"/>
        <v>190</v>
      </c>
      <c r="AJ20" s="140">
        <v>187.93607002542899</v>
      </c>
      <c r="AK20" s="140">
        <f t="shared" si="34"/>
        <v>2.0639299745710105</v>
      </c>
      <c r="AO20" s="140">
        <v>1</v>
      </c>
      <c r="AP20" s="147">
        <f t="shared" si="4"/>
        <v>190</v>
      </c>
      <c r="AQ20" s="147">
        <f t="shared" si="5"/>
        <v>869400</v>
      </c>
      <c r="AR20" s="152">
        <f t="shared" si="6"/>
        <v>384</v>
      </c>
      <c r="AT20" s="140">
        <v>390.93132302348999</v>
      </c>
      <c r="AU20" s="140">
        <f t="shared" si="35"/>
        <v>-6.9313230234899947</v>
      </c>
      <c r="AW20" s="152">
        <f t="shared" si="7"/>
        <v>4</v>
      </c>
      <c r="AY20" s="140">
        <v>3.8054850948592343</v>
      </c>
      <c r="AZ20" s="140">
        <f t="shared" si="36"/>
        <v>0.19451490514076575</v>
      </c>
      <c r="BD20" s="140">
        <v>1</v>
      </c>
      <c r="BE20" s="147">
        <f t="shared" si="8"/>
        <v>190</v>
      </c>
      <c r="BF20" s="147">
        <f t="shared" si="9"/>
        <v>4</v>
      </c>
      <c r="BG20" s="152">
        <f t="shared" si="10"/>
        <v>384</v>
      </c>
      <c r="BI20" s="140">
        <v>395.01708358755479</v>
      </c>
      <c r="BJ20" s="140">
        <f t="shared" si="37"/>
        <v>-11.017083587554794</v>
      </c>
      <c r="BL20" s="152">
        <f t="shared" si="11"/>
        <v>869400</v>
      </c>
      <c r="BN20" s="140">
        <v>875106.40634531714</v>
      </c>
      <c r="BO20" s="140">
        <f t="shared" si="38"/>
        <v>-5706.4063453171402</v>
      </c>
      <c r="BS20" s="140">
        <v>1</v>
      </c>
      <c r="BT20" s="147">
        <f t="shared" si="12"/>
        <v>384</v>
      </c>
      <c r="BU20" s="147">
        <f t="shared" si="13"/>
        <v>869400</v>
      </c>
      <c r="BV20" s="152">
        <f t="shared" si="14"/>
        <v>190</v>
      </c>
      <c r="BX20" s="140">
        <v>191.88706903143139</v>
      </c>
      <c r="BY20" s="140">
        <f t="shared" si="39"/>
        <v>-1.8870690314313947</v>
      </c>
      <c r="CA20" s="152">
        <f t="shared" si="15"/>
        <v>4</v>
      </c>
      <c r="CC20" s="140">
        <v>3.7771480560922406</v>
      </c>
      <c r="CD20" s="140">
        <f t="shared" si="40"/>
        <v>0.22285194390775942</v>
      </c>
      <c r="CH20" s="140">
        <v>1</v>
      </c>
      <c r="CI20" s="147">
        <f t="shared" si="16"/>
        <v>384</v>
      </c>
      <c r="CJ20" s="147">
        <f t="shared" si="17"/>
        <v>4</v>
      </c>
      <c r="CK20" s="152">
        <f t="shared" si="18"/>
        <v>190</v>
      </c>
      <c r="CM20" s="140">
        <v>193.48976185996162</v>
      </c>
      <c r="CN20" s="140">
        <f t="shared" si="41"/>
        <v>-3.489761859961618</v>
      </c>
      <c r="CP20" s="152">
        <f t="shared" si="19"/>
        <v>869400</v>
      </c>
      <c r="CR20" s="140">
        <v>877022.41592288204</v>
      </c>
      <c r="CS20" s="140">
        <f t="shared" si="42"/>
        <v>-7622.4159228820354</v>
      </c>
      <c r="CW20" s="140">
        <v>1</v>
      </c>
      <c r="CX20" s="147">
        <f t="shared" si="20"/>
        <v>384</v>
      </c>
      <c r="CY20" s="147">
        <f t="shared" si="21"/>
        <v>190</v>
      </c>
      <c r="CZ20" s="152">
        <f t="shared" si="22"/>
        <v>869400</v>
      </c>
      <c r="DB20" s="140">
        <v>864592.28644759022</v>
      </c>
      <c r="DC20" s="140">
        <f t="shared" si="43"/>
        <v>4807.713552409783</v>
      </c>
      <c r="DE20" s="152">
        <f t="shared" si="23"/>
        <v>4</v>
      </c>
      <c r="DG20" s="140">
        <v>3.7463165042687021</v>
      </c>
      <c r="DH20" s="140">
        <f t="shared" si="44"/>
        <v>0.25368349573129789</v>
      </c>
    </row>
    <row r="21" spans="1:112" ht="20.100000000000001" customHeight="1" x14ac:dyDescent="0.25">
      <c r="A21" s="50">
        <v>11</v>
      </c>
      <c r="B21" s="196">
        <v>341</v>
      </c>
      <c r="C21" s="196">
        <v>230</v>
      </c>
      <c r="D21" s="197">
        <v>4</v>
      </c>
      <c r="F21" s="16">
        <v>1040000</v>
      </c>
      <c r="G21" s="52" t="s">
        <v>126</v>
      </c>
      <c r="H21" s="52">
        <f t="shared" si="24"/>
        <v>0.9</v>
      </c>
      <c r="I21" s="45">
        <f t="shared" si="25"/>
        <v>936000</v>
      </c>
      <c r="K21" s="2">
        <f t="shared" si="26"/>
        <v>936081.22152111353</v>
      </c>
      <c r="L21" s="53">
        <f t="shared" si="27"/>
        <v>11</v>
      </c>
      <c r="M21" s="52">
        <f t="shared" si="28"/>
        <v>-0.27351652068166515</v>
      </c>
      <c r="N21" s="54">
        <f t="shared" si="29"/>
        <v>3.6404077939457116E-2</v>
      </c>
      <c r="O21" s="48" t="str">
        <f t="shared" si="30"/>
        <v/>
      </c>
      <c r="P21" s="48"/>
      <c r="Q21" s="54">
        <f t="shared" si="31"/>
        <v>4.5335013291023296</v>
      </c>
      <c r="R21" s="154" t="str">
        <f t="shared" si="32"/>
        <v/>
      </c>
      <c r="S21" s="154"/>
      <c r="Z21" s="140">
        <v>1</v>
      </c>
      <c r="AA21" s="147">
        <f t="shared" si="0"/>
        <v>4</v>
      </c>
      <c r="AB21" s="147">
        <f t="shared" si="1"/>
        <v>936000</v>
      </c>
      <c r="AC21" s="152">
        <f t="shared" si="2"/>
        <v>341</v>
      </c>
      <c r="AE21" s="140">
        <v>400.5496343557536</v>
      </c>
      <c r="AF21" s="140">
        <f t="shared" si="33"/>
        <v>-59.549634355753597</v>
      </c>
      <c r="AH21" s="152">
        <f t="shared" si="3"/>
        <v>230</v>
      </c>
      <c r="AJ21" s="140">
        <v>215.69614794150488</v>
      </c>
      <c r="AK21" s="140">
        <f t="shared" si="34"/>
        <v>14.303852058495124</v>
      </c>
      <c r="AO21" s="140">
        <v>1</v>
      </c>
      <c r="AP21" s="147">
        <f t="shared" si="4"/>
        <v>230</v>
      </c>
      <c r="AQ21" s="147">
        <f t="shared" si="5"/>
        <v>936000</v>
      </c>
      <c r="AR21" s="152">
        <f t="shared" si="6"/>
        <v>341</v>
      </c>
      <c r="AT21" s="140">
        <v>346.03971590695505</v>
      </c>
      <c r="AU21" s="140">
        <f t="shared" si="35"/>
        <v>-5.0397159069550526</v>
      </c>
      <c r="AW21" s="152">
        <f t="shared" si="7"/>
        <v>4</v>
      </c>
      <c r="AY21" s="140">
        <v>3.8444327928354465</v>
      </c>
      <c r="AZ21" s="140">
        <f t="shared" si="36"/>
        <v>0.15556720716455352</v>
      </c>
      <c r="BD21" s="140">
        <v>1</v>
      </c>
      <c r="BE21" s="147">
        <f t="shared" si="8"/>
        <v>230</v>
      </c>
      <c r="BF21" s="147">
        <f t="shared" si="9"/>
        <v>4</v>
      </c>
      <c r="BG21" s="152">
        <f t="shared" si="10"/>
        <v>341</v>
      </c>
      <c r="BI21" s="140">
        <v>375.98596705308239</v>
      </c>
      <c r="BJ21" s="140">
        <f t="shared" si="37"/>
        <v>-34.985967053082391</v>
      </c>
      <c r="BL21" s="152">
        <f t="shared" si="11"/>
        <v>936000</v>
      </c>
      <c r="BN21" s="140">
        <v>954969.73764488916</v>
      </c>
      <c r="BO21" s="140">
        <f t="shared" si="38"/>
        <v>-18969.737644889159</v>
      </c>
      <c r="BS21" s="140">
        <v>1</v>
      </c>
      <c r="BT21" s="147">
        <f t="shared" si="12"/>
        <v>341</v>
      </c>
      <c r="BU21" s="147">
        <f t="shared" si="13"/>
        <v>936000</v>
      </c>
      <c r="BV21" s="152">
        <f t="shared" si="14"/>
        <v>230</v>
      </c>
      <c r="BX21" s="140">
        <v>230.2165136361715</v>
      </c>
      <c r="BY21" s="140">
        <f t="shared" si="39"/>
        <v>-0.21651363617149855</v>
      </c>
      <c r="CA21" s="152">
        <f t="shared" si="15"/>
        <v>4</v>
      </c>
      <c r="CC21" s="140">
        <v>3.9682673827598736</v>
      </c>
      <c r="CD21" s="140">
        <f t="shared" si="40"/>
        <v>3.1732617240126437E-2</v>
      </c>
      <c r="CH21" s="140">
        <v>1</v>
      </c>
      <c r="CI21" s="147">
        <f t="shared" si="16"/>
        <v>341</v>
      </c>
      <c r="CJ21" s="147">
        <f t="shared" si="17"/>
        <v>4</v>
      </c>
      <c r="CK21" s="152">
        <f t="shared" si="18"/>
        <v>230</v>
      </c>
      <c r="CM21" s="140">
        <v>200.34751593190279</v>
      </c>
      <c r="CN21" s="140">
        <f t="shared" si="41"/>
        <v>29.652484068097209</v>
      </c>
      <c r="CP21" s="152">
        <f t="shared" si="19"/>
        <v>936000</v>
      </c>
      <c r="CR21" s="140">
        <v>869260.82428682595</v>
      </c>
      <c r="CS21" s="140">
        <f t="shared" si="42"/>
        <v>66739.175713174045</v>
      </c>
      <c r="CW21" s="140">
        <v>1</v>
      </c>
      <c r="CX21" s="147">
        <f t="shared" si="20"/>
        <v>341</v>
      </c>
      <c r="CY21" s="147">
        <f t="shared" si="21"/>
        <v>230</v>
      </c>
      <c r="CZ21" s="152">
        <f t="shared" si="22"/>
        <v>936000</v>
      </c>
      <c r="DB21" s="140">
        <v>934118.10879242723</v>
      </c>
      <c r="DC21" s="140">
        <f t="shared" si="43"/>
        <v>1881.8912075727712</v>
      </c>
      <c r="DE21" s="152">
        <f t="shared" si="23"/>
        <v>4</v>
      </c>
      <c r="DG21" s="140">
        <v>3.8909339269584438</v>
      </c>
      <c r="DH21" s="140">
        <f t="shared" si="44"/>
        <v>0.10906607304155624</v>
      </c>
    </row>
    <row r="22" spans="1:112" ht="20.100000000000001" customHeight="1" x14ac:dyDescent="0.25">
      <c r="A22" s="50">
        <v>12</v>
      </c>
      <c r="B22" s="196">
        <v>374</v>
      </c>
      <c r="C22" s="196">
        <v>230</v>
      </c>
      <c r="D22" s="197">
        <v>4</v>
      </c>
      <c r="F22" s="16">
        <v>1060000</v>
      </c>
      <c r="G22" s="52" t="s">
        <v>126</v>
      </c>
      <c r="H22" s="52">
        <f t="shared" si="24"/>
        <v>0.9</v>
      </c>
      <c r="I22" s="45">
        <f t="shared" si="25"/>
        <v>954000</v>
      </c>
      <c r="K22" s="2">
        <f t="shared" si="26"/>
        <v>953897.53716390394</v>
      </c>
      <c r="L22" s="53">
        <f t="shared" si="27"/>
        <v>12</v>
      </c>
      <c r="M22" s="52">
        <f t="shared" si="28"/>
        <v>0.34504744609493954</v>
      </c>
      <c r="N22" s="54">
        <f t="shared" si="29"/>
        <v>3.4866708088211212E-2</v>
      </c>
      <c r="O22" s="48" t="str">
        <f t="shared" si="30"/>
        <v/>
      </c>
      <c r="P22" s="48"/>
      <c r="Q22" s="54">
        <f t="shared" si="31"/>
        <v>3.5830500997258827</v>
      </c>
      <c r="R22" s="154" t="str">
        <f t="shared" si="32"/>
        <v/>
      </c>
      <c r="S22" s="154"/>
      <c r="Z22" s="140">
        <v>1</v>
      </c>
      <c r="AA22" s="147">
        <f t="shared" si="0"/>
        <v>4</v>
      </c>
      <c r="AB22" s="147">
        <f t="shared" si="1"/>
        <v>954000</v>
      </c>
      <c r="AC22" s="152">
        <f t="shared" si="2"/>
        <v>374</v>
      </c>
      <c r="AE22" s="140">
        <v>402.57314123944127</v>
      </c>
      <c r="AF22" s="140">
        <f t="shared" si="33"/>
        <v>-28.57314123944127</v>
      </c>
      <c r="AH22" s="152">
        <f t="shared" si="3"/>
        <v>230</v>
      </c>
      <c r="AJ22" s="140">
        <v>223.19887170260643</v>
      </c>
      <c r="AK22" s="140">
        <f t="shared" si="34"/>
        <v>6.8011282973935749</v>
      </c>
      <c r="AO22" s="140">
        <v>1</v>
      </c>
      <c r="AP22" s="147">
        <f t="shared" si="4"/>
        <v>230</v>
      </c>
      <c r="AQ22" s="147">
        <f t="shared" si="5"/>
        <v>954000</v>
      </c>
      <c r="AR22" s="152">
        <f t="shared" si="6"/>
        <v>374</v>
      </c>
      <c r="AT22" s="140">
        <v>372.70817928218935</v>
      </c>
      <c r="AU22" s="140">
        <f t="shared" si="35"/>
        <v>1.2918207178106513</v>
      </c>
      <c r="AW22" s="152">
        <f t="shared" si="7"/>
        <v>4</v>
      </c>
      <c r="AY22" s="140">
        <v>4.0444697416094542</v>
      </c>
      <c r="AZ22" s="140">
        <f t="shared" si="36"/>
        <v>-4.4469741609454161E-2</v>
      </c>
      <c r="BD22" s="140">
        <v>1</v>
      </c>
      <c r="BE22" s="147">
        <f t="shared" si="8"/>
        <v>230</v>
      </c>
      <c r="BF22" s="147">
        <f t="shared" si="9"/>
        <v>4</v>
      </c>
      <c r="BG22" s="152">
        <f t="shared" si="10"/>
        <v>374</v>
      </c>
      <c r="BI22" s="140">
        <v>375.98596705308239</v>
      </c>
      <c r="BJ22" s="140">
        <f t="shared" si="37"/>
        <v>-1.9859670530823905</v>
      </c>
      <c r="BL22" s="152">
        <f t="shared" si="11"/>
        <v>954000</v>
      </c>
      <c r="BN22" s="140">
        <v>954969.73764488916</v>
      </c>
      <c r="BO22" s="140">
        <f t="shared" si="38"/>
        <v>-969.73764488915913</v>
      </c>
      <c r="BS22" s="140">
        <v>1</v>
      </c>
      <c r="BT22" s="147">
        <f t="shared" si="12"/>
        <v>374</v>
      </c>
      <c r="BU22" s="147">
        <f t="shared" si="13"/>
        <v>954000</v>
      </c>
      <c r="BV22" s="152">
        <f t="shared" si="14"/>
        <v>230</v>
      </c>
      <c r="BX22" s="140">
        <v>228.97691782364947</v>
      </c>
      <c r="BY22" s="140">
        <f t="shared" si="39"/>
        <v>1.0230821763505276</v>
      </c>
      <c r="CA22" s="152">
        <f t="shared" si="15"/>
        <v>4</v>
      </c>
      <c r="CC22" s="140">
        <v>4.1336696690675083</v>
      </c>
      <c r="CD22" s="140">
        <f t="shared" si="40"/>
        <v>-0.13366966906750832</v>
      </c>
      <c r="CH22" s="140">
        <v>1</v>
      </c>
      <c r="CI22" s="147">
        <f t="shared" si="16"/>
        <v>374</v>
      </c>
      <c r="CJ22" s="147">
        <f t="shared" si="17"/>
        <v>4</v>
      </c>
      <c r="CK22" s="152">
        <f t="shared" si="18"/>
        <v>230</v>
      </c>
      <c r="CM22" s="140">
        <v>195.08458838832001</v>
      </c>
      <c r="CN22" s="140">
        <f t="shared" si="41"/>
        <v>34.915411611679986</v>
      </c>
      <c r="CP22" s="152">
        <f t="shared" si="19"/>
        <v>954000</v>
      </c>
      <c r="CR22" s="140">
        <v>875217.39461217134</v>
      </c>
      <c r="CS22" s="140">
        <f t="shared" si="42"/>
        <v>78782.605387828662</v>
      </c>
      <c r="CW22" s="140">
        <v>1</v>
      </c>
      <c r="CX22" s="147">
        <f t="shared" si="20"/>
        <v>374</v>
      </c>
      <c r="CY22" s="147">
        <f t="shared" si="21"/>
        <v>230</v>
      </c>
      <c r="CZ22" s="152">
        <f t="shared" si="22"/>
        <v>954000</v>
      </c>
      <c r="DB22" s="140">
        <v>955171.52312602347</v>
      </c>
      <c r="DC22" s="140">
        <f t="shared" si="43"/>
        <v>-1171.5231260234723</v>
      </c>
      <c r="DE22" s="152">
        <f t="shared" si="23"/>
        <v>4</v>
      </c>
      <c r="DG22" s="140">
        <v>4.0707797590898833</v>
      </c>
      <c r="DH22" s="140">
        <f t="shared" si="44"/>
        <v>-7.0779759089883321E-2</v>
      </c>
    </row>
    <row r="23" spans="1:112" ht="20.100000000000001" customHeight="1" x14ac:dyDescent="0.25">
      <c r="K23" s="34"/>
      <c r="L23" s="34"/>
      <c r="M23" s="34"/>
      <c r="N23" s="34"/>
      <c r="O23" s="34"/>
      <c r="P23" s="34"/>
      <c r="Q23" s="34"/>
      <c r="AA23" s="147"/>
      <c r="AB23" s="147"/>
      <c r="AC23" s="147"/>
    </row>
    <row r="24" spans="1:112" ht="20.100000000000001" customHeight="1" x14ac:dyDescent="0.25">
      <c r="A24" s="45" t="s">
        <v>37</v>
      </c>
      <c r="B24" s="45">
        <f>AVERAGE(B11:B22)</f>
        <v>380.25</v>
      </c>
      <c r="C24" s="45">
        <f>AVERAGE(C11:C22)</f>
        <v>183.75</v>
      </c>
      <c r="D24" s="45">
        <f>AVERAGE(D11:D22)</f>
        <v>3.6666666666666665</v>
      </c>
      <c r="K24" s="34"/>
      <c r="L24" s="55" t="s">
        <v>89</v>
      </c>
      <c r="M24" s="55"/>
      <c r="N24" s="55"/>
      <c r="O24" s="55"/>
      <c r="P24" s="55"/>
      <c r="Q24" s="34"/>
      <c r="S24" s="140" t="str">
        <f t="shared" ref="S24:S36" si="45">I10</f>
        <v>Valor observado</v>
      </c>
      <c r="T24" s="140" t="str">
        <f t="shared" ref="T24:T36" si="46">K10</f>
        <v>Valor estimado</v>
      </c>
      <c r="U24" s="140" t="s">
        <v>55</v>
      </c>
      <c r="V24" s="140" t="s">
        <v>190</v>
      </c>
      <c r="W24" s="140" t="s">
        <v>212</v>
      </c>
    </row>
    <row r="25" spans="1:112" ht="20.100000000000001" customHeight="1" x14ac:dyDescent="0.25">
      <c r="A25" s="52" t="s">
        <v>38</v>
      </c>
      <c r="B25" s="52">
        <f>STDEVA(B11:B22)</f>
        <v>42.533676497143254</v>
      </c>
      <c r="C25" s="52">
        <f>STDEVA(C11:C22)</f>
        <v>24.691275603117205</v>
      </c>
      <c r="D25" s="52">
        <f>STDEVA(D11:D22)</f>
        <v>0.49236596391733006</v>
      </c>
      <c r="H25" s="45" t="s">
        <v>37</v>
      </c>
      <c r="I25" s="45">
        <f>AVERAGE(I11:I22)</f>
        <v>847050</v>
      </c>
      <c r="K25" s="45">
        <f>AVERAGE(K11:K22)</f>
        <v>847050.00000002293</v>
      </c>
      <c r="L25" s="56" t="s">
        <v>90</v>
      </c>
      <c r="M25" s="56"/>
      <c r="N25" s="56"/>
      <c r="O25" s="57" t="s">
        <v>91</v>
      </c>
      <c r="P25" s="57" t="s">
        <v>92</v>
      </c>
      <c r="Q25" s="34"/>
      <c r="S25" s="140">
        <f t="shared" si="45"/>
        <v>715500</v>
      </c>
      <c r="T25" s="140">
        <f t="shared" si="46"/>
        <v>715670.48233972606</v>
      </c>
      <c r="U25" s="140">
        <f t="shared" ref="U25:U36" si="47">$I$25</f>
        <v>847050</v>
      </c>
      <c r="V25" s="140">
        <f t="shared" ref="V25:V36" si="48">$E$485</f>
        <v>751138.71799281298</v>
      </c>
      <c r="W25" s="140">
        <f t="shared" ref="W25:W36" si="49">AVERAGE(S25:T25)</f>
        <v>715585.24116986303</v>
      </c>
    </row>
    <row r="26" spans="1:112" ht="20.100000000000001" customHeight="1" x14ac:dyDescent="0.25">
      <c r="A26" s="52" t="s">
        <v>76</v>
      </c>
      <c r="B26" s="58">
        <f>B25/B24</f>
        <v>0.11185713740208614</v>
      </c>
      <c r="C26" s="58">
        <f t="shared" ref="C26:D26" si="50">C25/C24</f>
        <v>0.13437428899655621</v>
      </c>
      <c r="D26" s="58">
        <f t="shared" si="50"/>
        <v>0.1342816265229082</v>
      </c>
      <c r="H26" s="52" t="s">
        <v>38</v>
      </c>
      <c r="I26" s="52">
        <f>STDEVA(I11:I22)</f>
        <v>66608.660370582715</v>
      </c>
      <c r="K26" s="52">
        <f>STDEVA(K11:K22)</f>
        <v>66608.178962601538</v>
      </c>
      <c r="L26" s="59" t="s">
        <v>101</v>
      </c>
      <c r="M26" s="59"/>
      <c r="N26" s="59"/>
      <c r="O26" s="28">
        <f>C118</f>
        <v>1.0743409494054988E-19</v>
      </c>
      <c r="P26" s="60" t="str">
        <f>IF(O26&lt;=0.05,"Aprovado","Revisar os elementos da amostra")</f>
        <v>Aprovado</v>
      </c>
      <c r="Q26" s="34"/>
      <c r="S26" s="140">
        <f t="shared" si="45"/>
        <v>743400</v>
      </c>
      <c r="T26" s="140">
        <f t="shared" si="46"/>
        <v>743134.38410627353</v>
      </c>
      <c r="U26" s="140">
        <f t="shared" si="47"/>
        <v>847050</v>
      </c>
      <c r="V26" s="140">
        <f t="shared" si="48"/>
        <v>751138.71799281298</v>
      </c>
      <c r="W26" s="140">
        <f t="shared" si="49"/>
        <v>743267.19205313677</v>
      </c>
    </row>
    <row r="27" spans="1:112" ht="20.100000000000001" customHeight="1" x14ac:dyDescent="0.25">
      <c r="H27" s="52" t="s">
        <v>76</v>
      </c>
      <c r="I27" s="58">
        <f>I26/I25</f>
        <v>7.8636043174054329E-2</v>
      </c>
      <c r="K27" s="58">
        <f>K26/K25</f>
        <v>7.8635474839265376E-2</v>
      </c>
      <c r="L27" s="61"/>
      <c r="M27" s="61"/>
      <c r="N27" s="61"/>
      <c r="O27" s="29"/>
      <c r="P27" s="62"/>
      <c r="Q27" s="34"/>
      <c r="S27" s="140">
        <f t="shared" si="45"/>
        <v>831600</v>
      </c>
      <c r="T27" s="140">
        <f t="shared" si="46"/>
        <v>831863.94118594611</v>
      </c>
      <c r="U27" s="140">
        <f t="shared" si="47"/>
        <v>847050</v>
      </c>
      <c r="V27" s="140">
        <f t="shared" si="48"/>
        <v>751138.71799281298</v>
      </c>
      <c r="W27" s="140">
        <f t="shared" si="49"/>
        <v>831731.97059297306</v>
      </c>
    </row>
    <row r="28" spans="1:112" ht="20.100000000000001" customHeight="1" x14ac:dyDescent="0.25">
      <c r="A28" s="45" t="s">
        <v>47</v>
      </c>
      <c r="B28" s="45">
        <f>MIN(B11:B22)</f>
        <v>300</v>
      </c>
      <c r="C28" s="45">
        <f>MIN(C11:C22)</f>
        <v>150</v>
      </c>
      <c r="D28" s="46">
        <f>MIN(D11:D22)</f>
        <v>3</v>
      </c>
      <c r="K28" s="34"/>
      <c r="L28" s="59" t="s">
        <v>261</v>
      </c>
      <c r="M28" s="59"/>
      <c r="N28" s="63"/>
      <c r="O28" s="28">
        <f>E133</f>
        <v>2.3584301122175296E-16</v>
      </c>
      <c r="P28" s="60" t="str">
        <f>IF(O28&lt;=0.3,"Aprovado","Revisar os elementos da amostra")</f>
        <v>Aprovado</v>
      </c>
      <c r="Q28" s="34"/>
      <c r="S28" s="140">
        <f t="shared" si="45"/>
        <v>843300</v>
      </c>
      <c r="T28" s="140">
        <f t="shared" si="46"/>
        <v>843131.19236813881</v>
      </c>
      <c r="U28" s="140">
        <f t="shared" si="47"/>
        <v>847050</v>
      </c>
      <c r="V28" s="140">
        <f t="shared" si="48"/>
        <v>751138.71799281298</v>
      </c>
      <c r="W28" s="140">
        <f t="shared" si="49"/>
        <v>843215.59618406941</v>
      </c>
    </row>
    <row r="29" spans="1:112" ht="20.100000000000001" customHeight="1" x14ac:dyDescent="0.25">
      <c r="A29" s="52" t="s">
        <v>48</v>
      </c>
      <c r="B29" s="52">
        <f>MAX(B11:B22)</f>
        <v>440</v>
      </c>
      <c r="C29" s="52">
        <f>MAX(C11:C22)</f>
        <v>230</v>
      </c>
      <c r="D29" s="53">
        <f>MAX(D11:D22)</f>
        <v>4</v>
      </c>
      <c r="H29" s="45" t="s">
        <v>47</v>
      </c>
      <c r="I29" s="45">
        <f>MIN(I11:I22)</f>
        <v>715500</v>
      </c>
      <c r="K29" s="45">
        <f>MIN(K11:K22)</f>
        <v>715670.48233972606</v>
      </c>
      <c r="L29" s="61"/>
      <c r="M29" s="61"/>
      <c r="N29" s="64" t="str">
        <f>B10</f>
        <v>Área do terreno</v>
      </c>
      <c r="O29" s="29"/>
      <c r="P29" s="62"/>
      <c r="Q29" s="34"/>
      <c r="S29" s="140">
        <f t="shared" si="45"/>
        <v>850500</v>
      </c>
      <c r="T29" s="140">
        <f t="shared" si="46"/>
        <v>850004.04744067951</v>
      </c>
      <c r="U29" s="140">
        <f t="shared" si="47"/>
        <v>847050</v>
      </c>
      <c r="V29" s="140">
        <f t="shared" si="48"/>
        <v>751138.71799281298</v>
      </c>
      <c r="W29" s="140">
        <f t="shared" si="49"/>
        <v>850252.02372033976</v>
      </c>
    </row>
    <row r="30" spans="1:112" ht="20.100000000000001" customHeight="1" x14ac:dyDescent="0.25">
      <c r="A30" s="52" t="s">
        <v>39</v>
      </c>
      <c r="B30" s="52">
        <f>B29-B28</f>
        <v>140</v>
      </c>
      <c r="C30" s="52">
        <f t="shared" ref="C30:D30" si="51">C29-C28</f>
        <v>80</v>
      </c>
      <c r="D30" s="53">
        <f t="shared" si="51"/>
        <v>1</v>
      </c>
      <c r="H30" s="52" t="s">
        <v>48</v>
      </c>
      <c r="I30" s="52">
        <f>MAX(I11:I22)</f>
        <v>954000</v>
      </c>
      <c r="K30" s="52">
        <f>MAX(K11:K22)</f>
        <v>953897.53716390394</v>
      </c>
      <c r="L30" s="59" t="s">
        <v>102</v>
      </c>
      <c r="M30" s="59"/>
      <c r="N30" s="63"/>
      <c r="O30" s="28">
        <f>E134</f>
        <v>2.0288795926154756E-19</v>
      </c>
      <c r="P30" s="60" t="str">
        <f>IF(O30&lt;=0.3,"Aprovado","Revisar os elementos da amostra")</f>
        <v>Aprovado</v>
      </c>
      <c r="Q30" s="34"/>
      <c r="S30" s="140">
        <f t="shared" si="45"/>
        <v>854100</v>
      </c>
      <c r="T30" s="140">
        <f t="shared" si="46"/>
        <v>854323.15426317416</v>
      </c>
      <c r="U30" s="140">
        <f t="shared" si="47"/>
        <v>847050</v>
      </c>
      <c r="V30" s="140">
        <f t="shared" si="48"/>
        <v>751138.71799281298</v>
      </c>
      <c r="W30" s="140">
        <f t="shared" si="49"/>
        <v>854211.57713158708</v>
      </c>
    </row>
    <row r="31" spans="1:112" ht="20.100000000000001" customHeight="1" x14ac:dyDescent="0.25">
      <c r="H31" s="52" t="s">
        <v>39</v>
      </c>
      <c r="I31" s="52">
        <f>I30-I29</f>
        <v>238500</v>
      </c>
      <c r="K31" s="52">
        <f>K30-K29</f>
        <v>238227.05482417787</v>
      </c>
      <c r="L31" s="61"/>
      <c r="M31" s="61"/>
      <c r="N31" s="64" t="str">
        <f>C10</f>
        <v>Área edificada</v>
      </c>
      <c r="O31" s="29"/>
      <c r="P31" s="62"/>
      <c r="Q31" s="34"/>
      <c r="S31" s="140">
        <f t="shared" si="45"/>
        <v>849600</v>
      </c>
      <c r="T31" s="140">
        <f t="shared" si="46"/>
        <v>849863.2389869676</v>
      </c>
      <c r="U31" s="140">
        <f t="shared" si="47"/>
        <v>847050</v>
      </c>
      <c r="V31" s="140">
        <f t="shared" si="48"/>
        <v>751138.71799281298</v>
      </c>
      <c r="W31" s="140">
        <f t="shared" si="49"/>
        <v>849731.6194934838</v>
      </c>
    </row>
    <row r="32" spans="1:112" ht="20.100000000000001" customHeight="1" x14ac:dyDescent="0.25">
      <c r="K32" s="34"/>
      <c r="L32" s="59" t="s">
        <v>103</v>
      </c>
      <c r="M32" s="59"/>
      <c r="N32" s="63"/>
      <c r="O32" s="28">
        <f>E135</f>
        <v>1.3987729333599303E-12</v>
      </c>
      <c r="P32" s="60" t="str">
        <f>IF(O32&lt;=0.3,"Aprovado","Revisar os elementos da amostra")</f>
        <v>Aprovado</v>
      </c>
      <c r="Q32" s="65"/>
      <c r="R32" s="156"/>
      <c r="S32" s="140">
        <f t="shared" si="45"/>
        <v>846000</v>
      </c>
      <c r="T32" s="140">
        <f t="shared" si="46"/>
        <v>846013.61629042891</v>
      </c>
      <c r="U32" s="140">
        <f t="shared" si="47"/>
        <v>847050</v>
      </c>
      <c r="V32" s="140">
        <f t="shared" si="48"/>
        <v>751138.71799281298</v>
      </c>
      <c r="W32" s="140">
        <f t="shared" si="49"/>
        <v>846006.80814521445</v>
      </c>
    </row>
    <row r="33" spans="1:23" ht="20.100000000000001" customHeight="1" x14ac:dyDescent="0.25">
      <c r="A33" s="22" t="s">
        <v>242</v>
      </c>
      <c r="B33" s="22"/>
      <c r="C33" s="22"/>
      <c r="D33" s="187"/>
      <c r="E33" s="187"/>
      <c r="F33" s="22" t="s">
        <v>241</v>
      </c>
      <c r="G33" s="22"/>
      <c r="H33" s="22"/>
      <c r="I33" s="187"/>
      <c r="J33" s="187"/>
      <c r="K33" s="34"/>
      <c r="L33" s="61"/>
      <c r="M33" s="61"/>
      <c r="N33" s="64" t="str">
        <f>D10</f>
        <v>Quartos</v>
      </c>
      <c r="O33" s="29"/>
      <c r="P33" s="62"/>
      <c r="Q33" s="65"/>
      <c r="R33" s="156"/>
      <c r="S33" s="140">
        <f t="shared" si="45"/>
        <v>871200</v>
      </c>
      <c r="T33" s="140">
        <f t="shared" si="46"/>
        <v>871458.77309944085</v>
      </c>
      <c r="U33" s="140">
        <f t="shared" si="47"/>
        <v>847050</v>
      </c>
      <c r="V33" s="140">
        <f t="shared" si="48"/>
        <v>751138.71799281298</v>
      </c>
      <c r="W33" s="140">
        <f t="shared" si="49"/>
        <v>871329.38654972042</v>
      </c>
    </row>
    <row r="34" spans="1:23" ht="20.100000000000001" customHeight="1" x14ac:dyDescent="0.25">
      <c r="K34" s="34"/>
      <c r="L34" s="59" t="s">
        <v>93</v>
      </c>
      <c r="M34" s="59"/>
      <c r="N34" s="59"/>
      <c r="O34" s="28">
        <f>B520</f>
        <v>1.2445352527332501E-3</v>
      </c>
      <c r="P34" s="60" t="str">
        <f>IF(O34&lt;=0.5,"Aprovado","Revisar os elementos da amostra")</f>
        <v>Aprovado</v>
      </c>
      <c r="Q34" s="65"/>
      <c r="S34" s="140">
        <f t="shared" si="45"/>
        <v>869400</v>
      </c>
      <c r="T34" s="140">
        <f t="shared" si="46"/>
        <v>869158.41123448173</v>
      </c>
      <c r="U34" s="140">
        <f t="shared" si="47"/>
        <v>847050</v>
      </c>
      <c r="V34" s="140">
        <f t="shared" si="48"/>
        <v>751138.71799281298</v>
      </c>
      <c r="W34" s="140">
        <f t="shared" si="49"/>
        <v>869279.20561724086</v>
      </c>
    </row>
    <row r="35" spans="1:23" ht="20.100000000000001" customHeight="1" x14ac:dyDescent="0.25">
      <c r="A35" s="103" t="s">
        <v>22</v>
      </c>
      <c r="B35" s="103" t="s">
        <v>235</v>
      </c>
      <c r="C35" s="103" t="s">
        <v>31</v>
      </c>
      <c r="F35" s="45" t="s">
        <v>21</v>
      </c>
      <c r="G35" s="45">
        <f>E485</f>
        <v>751138.71799281298</v>
      </c>
      <c r="K35" s="34"/>
      <c r="L35" s="61"/>
      <c r="M35" s="61"/>
      <c r="N35" s="61"/>
      <c r="O35" s="29"/>
      <c r="P35" s="62"/>
      <c r="Q35" s="34"/>
      <c r="S35" s="140">
        <f t="shared" si="45"/>
        <v>936000</v>
      </c>
      <c r="T35" s="140">
        <f t="shared" si="46"/>
        <v>936081.22152111353</v>
      </c>
      <c r="U35" s="140">
        <f t="shared" si="47"/>
        <v>847050</v>
      </c>
      <c r="V35" s="140">
        <f t="shared" si="48"/>
        <v>751138.71799281298</v>
      </c>
      <c r="W35" s="140">
        <f t="shared" si="49"/>
        <v>936040.61076055677</v>
      </c>
    </row>
    <row r="36" spans="1:23" ht="20.100000000000001" customHeight="1" x14ac:dyDescent="0.25">
      <c r="S36" s="140">
        <f t="shared" si="45"/>
        <v>954000</v>
      </c>
      <c r="T36" s="140">
        <f t="shared" si="46"/>
        <v>953897.53716390394</v>
      </c>
      <c r="U36" s="140">
        <f t="shared" si="47"/>
        <v>847050</v>
      </c>
      <c r="V36" s="140">
        <f t="shared" si="48"/>
        <v>751138.71799281298</v>
      </c>
      <c r="W36" s="140">
        <f t="shared" si="49"/>
        <v>953948.76858195197</v>
      </c>
    </row>
    <row r="37" spans="1:23" ht="20.100000000000001" customHeight="1" x14ac:dyDescent="0.25">
      <c r="A37" s="66" t="str">
        <f>B10</f>
        <v>Área do terreno</v>
      </c>
      <c r="B37" s="6">
        <v>295</v>
      </c>
      <c r="C37" s="66" t="str">
        <f>C471</f>
        <v>Extrapolação admissível</v>
      </c>
    </row>
    <row r="38" spans="1:23" ht="20.100000000000001" customHeight="1" x14ac:dyDescent="0.25">
      <c r="A38" s="66" t="str">
        <f>C10</f>
        <v>Área edificada</v>
      </c>
      <c r="B38" s="6">
        <v>158.94999999999999</v>
      </c>
      <c r="C38" s="66" t="str">
        <f>D471</f>
        <v>Não extrapolou</v>
      </c>
      <c r="F38" s="67" t="s">
        <v>31</v>
      </c>
      <c r="G38" s="67"/>
    </row>
    <row r="39" spans="1:23" ht="20.100000000000001" customHeight="1" x14ac:dyDescent="0.25">
      <c r="A39" s="68" t="str">
        <f>D10</f>
        <v>Quartos</v>
      </c>
      <c r="B39" s="3">
        <v>4</v>
      </c>
      <c r="C39" s="68" t="str">
        <f>E471</f>
        <v>Não extrapolou</v>
      </c>
      <c r="F39" s="34" t="s">
        <v>191</v>
      </c>
      <c r="G39" s="34" t="str">
        <f>E495</f>
        <v>Não extrapolou</v>
      </c>
    </row>
    <row r="40" spans="1:23" ht="20.100000000000001" customHeight="1" x14ac:dyDescent="0.25">
      <c r="F40" s="52" t="s">
        <v>192</v>
      </c>
      <c r="G40" s="52" t="str">
        <f>D495</f>
        <v>Não extrapolou</v>
      </c>
    </row>
    <row r="41" spans="1:23" ht="20.100000000000001" customHeight="1" x14ac:dyDescent="0.25">
      <c r="F41" s="52" t="s">
        <v>193</v>
      </c>
      <c r="G41" s="52" t="str">
        <f>C495</f>
        <v>Não extrapolou</v>
      </c>
    </row>
    <row r="44" spans="1:23" ht="20.100000000000001" customHeight="1" x14ac:dyDescent="0.25">
      <c r="A44" s="22" t="s">
        <v>243</v>
      </c>
      <c r="B44" s="22"/>
      <c r="C44" s="22"/>
      <c r="D44" s="22"/>
      <c r="E44" s="22"/>
      <c r="F44" s="187"/>
      <c r="G44" s="187"/>
      <c r="H44" s="187"/>
      <c r="I44" s="187"/>
      <c r="J44" s="187"/>
    </row>
    <row r="46" spans="1:23" ht="20.100000000000001" customHeight="1" thickBot="1" x14ac:dyDescent="0.3">
      <c r="A46" s="69"/>
      <c r="B46" s="69" t="str">
        <f>B10</f>
        <v>Área do terreno</v>
      </c>
      <c r="C46" s="69" t="str">
        <f>C10</f>
        <v>Área edificada</v>
      </c>
      <c r="D46" s="69" t="str">
        <f>D10</f>
        <v>Quartos</v>
      </c>
      <c r="E46" s="69" t="str">
        <f>I10</f>
        <v>Valor observado</v>
      </c>
    </row>
    <row r="47" spans="1:23" ht="20.100000000000001" customHeight="1" x14ac:dyDescent="0.25">
      <c r="A47" s="70" t="str">
        <f>B10</f>
        <v>Área do terreno</v>
      </c>
      <c r="B47" s="71" t="s">
        <v>143</v>
      </c>
      <c r="C47" s="72">
        <f>B48</f>
        <v>2.3263729375173261E-2</v>
      </c>
      <c r="D47" s="73">
        <f>B49</f>
        <v>0.48184720757528243</v>
      </c>
      <c r="E47" s="73">
        <f>B50</f>
        <v>0.42829400422677083</v>
      </c>
    </row>
    <row r="48" spans="1:23" ht="20.100000000000001" customHeight="1" x14ac:dyDescent="0.25">
      <c r="A48" s="52" t="str">
        <f>C10</f>
        <v>Área edificada</v>
      </c>
      <c r="B48" s="74">
        <f>CORREL(B11:B22,C11:C22)</f>
        <v>2.3263729375173261E-2</v>
      </c>
      <c r="C48" s="75" t="str">
        <f>B47</f>
        <v>- - -</v>
      </c>
      <c r="D48" s="74">
        <f>C49</f>
        <v>0.48605914750592294</v>
      </c>
      <c r="E48" s="74">
        <f>C50</f>
        <v>0.90802531210383219</v>
      </c>
    </row>
    <row r="49" spans="1:10" ht="20.100000000000001" customHeight="1" x14ac:dyDescent="0.25">
      <c r="A49" s="68" t="str">
        <f>D10</f>
        <v>Quartos</v>
      </c>
      <c r="B49" s="76">
        <f>CORREL(B11:B22,D11:D22)</f>
        <v>0.48184720757528243</v>
      </c>
      <c r="C49" s="76">
        <f>CORREL(C11:C22,D11:D22)</f>
        <v>0.48605914750592294</v>
      </c>
      <c r="D49" s="75" t="str">
        <f>B47</f>
        <v>- - -</v>
      </c>
      <c r="E49" s="76">
        <f>D50</f>
        <v>0.70518927563446576</v>
      </c>
    </row>
    <row r="50" spans="1:10" ht="20.100000000000001" customHeight="1" thickBot="1" x14ac:dyDescent="0.3">
      <c r="A50" s="77" t="str">
        <f>I10</f>
        <v>Valor observado</v>
      </c>
      <c r="B50" s="78">
        <f>CORREL(B11:B22,$I$11:$I$22)</f>
        <v>0.42829400422677083</v>
      </c>
      <c r="C50" s="78">
        <f>CORREL(C11:C22,$I$11:$I$22)</f>
        <v>0.90802531210383219</v>
      </c>
      <c r="D50" s="78">
        <f>CORREL(D11:D22,$I$11:$I$22)</f>
        <v>0.70518927563446576</v>
      </c>
      <c r="E50" s="79" t="str">
        <f>B47</f>
        <v>- - -</v>
      </c>
    </row>
    <row r="52" spans="1:10" ht="20.100000000000001" customHeight="1" x14ac:dyDescent="0.25">
      <c r="A52" s="33" t="s">
        <v>142</v>
      </c>
      <c r="B52" s="33"/>
      <c r="C52" s="33"/>
      <c r="D52" s="33"/>
      <c r="E52" s="33"/>
      <c r="F52" s="33"/>
      <c r="G52" s="33"/>
      <c r="H52" s="33"/>
      <c r="I52" s="33"/>
      <c r="J52" s="32"/>
    </row>
    <row r="53" spans="1:10" ht="20.100000000000001" customHeight="1" x14ac:dyDescent="0.25">
      <c r="A53" s="33"/>
      <c r="B53" s="33"/>
      <c r="C53" s="33"/>
      <c r="D53" s="33"/>
      <c r="E53" s="33"/>
      <c r="F53" s="33"/>
      <c r="G53" s="33"/>
      <c r="H53" s="33"/>
      <c r="I53" s="33"/>
      <c r="J53" s="32"/>
    </row>
    <row r="54" spans="1:10" ht="20.100000000000001" customHeight="1" x14ac:dyDescent="0.25">
      <c r="A54" s="32"/>
      <c r="B54" s="32"/>
      <c r="C54" s="32"/>
      <c r="D54" s="32"/>
      <c r="E54" s="32"/>
      <c r="F54" s="32"/>
      <c r="G54" s="32"/>
      <c r="H54" s="32"/>
      <c r="I54" s="32"/>
      <c r="J54" s="32"/>
    </row>
    <row r="55" spans="1:10" ht="20.100000000000001" customHeight="1" x14ac:dyDescent="0.25">
      <c r="A55" s="32"/>
      <c r="B55" s="32"/>
      <c r="C55" s="32"/>
      <c r="D55" s="32"/>
      <c r="E55" s="32"/>
      <c r="F55" s="32"/>
      <c r="G55" s="32"/>
      <c r="H55" s="32"/>
      <c r="I55" s="32"/>
      <c r="J55" s="32"/>
    </row>
    <row r="56" spans="1:10" ht="20.100000000000001" customHeight="1" x14ac:dyDescent="0.25">
      <c r="A56" s="22" t="s">
        <v>205</v>
      </c>
      <c r="B56" s="22"/>
      <c r="C56" s="22"/>
      <c r="D56" s="22"/>
      <c r="E56" s="22"/>
      <c r="F56" s="187"/>
      <c r="G56" s="187"/>
      <c r="H56" s="187"/>
      <c r="I56" s="187"/>
      <c r="J56" s="187"/>
    </row>
    <row r="57" spans="1:10" ht="20.100000000000001" customHeight="1" x14ac:dyDescent="0.25">
      <c r="A57" s="32"/>
      <c r="B57" s="32"/>
      <c r="C57" s="32"/>
      <c r="D57" s="32"/>
      <c r="E57" s="32"/>
      <c r="F57" s="32"/>
      <c r="G57" s="32"/>
      <c r="H57" s="32"/>
      <c r="I57" s="32"/>
      <c r="J57" s="32"/>
    </row>
    <row r="58" spans="1:10" ht="20.100000000000001" customHeight="1" x14ac:dyDescent="0.25">
      <c r="A58" s="80" t="s">
        <v>12</v>
      </c>
      <c r="B58" s="80"/>
      <c r="C58" s="81">
        <f>C98</f>
        <v>8</v>
      </c>
      <c r="D58" s="41"/>
      <c r="E58" s="32"/>
      <c r="F58" s="32"/>
      <c r="G58" s="32"/>
      <c r="H58" s="32"/>
      <c r="I58" s="32"/>
      <c r="J58" s="32"/>
    </row>
    <row r="59" spans="1:10" ht="20.100000000000001" customHeight="1" x14ac:dyDescent="0.25">
      <c r="A59" s="80" t="s">
        <v>11</v>
      </c>
      <c r="B59" s="80"/>
      <c r="C59" s="15">
        <v>0.1</v>
      </c>
      <c r="D59" s="41"/>
      <c r="E59" s="32"/>
      <c r="F59" s="32"/>
      <c r="G59" s="32"/>
      <c r="H59" s="32"/>
      <c r="I59" s="32"/>
      <c r="J59" s="32"/>
    </row>
    <row r="60" spans="1:10" ht="20.100000000000001" customHeight="1" x14ac:dyDescent="0.25">
      <c r="A60" s="80" t="s">
        <v>239</v>
      </c>
      <c r="B60" s="80"/>
      <c r="C60" s="82">
        <f>ABS(_xlfn.T.INV.2T(C59,C58))</f>
        <v>1.8595480375308981</v>
      </c>
      <c r="D60" s="41"/>
      <c r="E60" s="32"/>
      <c r="F60" s="32"/>
      <c r="G60" s="32"/>
      <c r="H60" s="32"/>
      <c r="I60" s="32"/>
      <c r="J60" s="32"/>
    </row>
    <row r="61" spans="1:10" ht="20.100000000000001" customHeight="1" x14ac:dyDescent="0.25">
      <c r="A61" s="41"/>
      <c r="B61" s="41"/>
      <c r="C61" s="41"/>
      <c r="D61" s="41"/>
      <c r="E61" s="32"/>
      <c r="F61" s="32"/>
      <c r="G61" s="32"/>
      <c r="H61" s="32"/>
      <c r="I61" s="32"/>
      <c r="J61" s="32"/>
    </row>
    <row r="62" spans="1:10" ht="20.100000000000001" customHeight="1" thickBot="1" x14ac:dyDescent="0.3">
      <c r="A62" s="69"/>
      <c r="B62" s="69" t="str">
        <f>B10</f>
        <v>Área do terreno</v>
      </c>
      <c r="C62" s="69" t="str">
        <f t="shared" ref="C62:D62" si="52">C10</f>
        <v>Área edificada</v>
      </c>
      <c r="D62" s="69" t="str">
        <f t="shared" si="52"/>
        <v>Quartos</v>
      </c>
      <c r="E62" s="69" t="str">
        <f>I10</f>
        <v>Valor observado</v>
      </c>
      <c r="F62" s="32"/>
      <c r="G62" s="32"/>
      <c r="H62" s="32"/>
      <c r="I62" s="32"/>
      <c r="J62" s="32"/>
    </row>
    <row r="63" spans="1:10" ht="20.100000000000001" customHeight="1" x14ac:dyDescent="0.25">
      <c r="A63" s="70" t="str">
        <f>B10</f>
        <v>Área do terreno</v>
      </c>
      <c r="B63" s="71" t="s">
        <v>143</v>
      </c>
      <c r="C63" s="72">
        <f>B64</f>
        <v>6.5817575870258174E-2</v>
      </c>
      <c r="D63" s="73">
        <f>B65</f>
        <v>1.555334141618302</v>
      </c>
      <c r="E63" s="73">
        <f>C65</f>
        <v>1.5731114654509941</v>
      </c>
      <c r="F63" s="32"/>
      <c r="G63" s="32"/>
      <c r="H63" s="32"/>
      <c r="I63" s="32"/>
      <c r="J63" s="32"/>
    </row>
    <row r="64" spans="1:10" ht="20.100000000000001" customHeight="1" x14ac:dyDescent="0.25">
      <c r="A64" s="52" t="str">
        <f>C10</f>
        <v>Área edificada</v>
      </c>
      <c r="B64" s="74">
        <f>B48*(SQRT(($C$58)/(1-B48^2)))</f>
        <v>6.5817575870258174E-2</v>
      </c>
      <c r="C64" s="75" t="str">
        <f>B63</f>
        <v>- - -</v>
      </c>
      <c r="D64" s="74">
        <f>D48*(SQRT(($C$58)/(1-D48^2)))</f>
        <v>1.5731114654509941</v>
      </c>
      <c r="E64" s="74">
        <f>E48*(SQRT(($C$58)/(1-E48^2)))</f>
        <v>6.130793965765255</v>
      </c>
      <c r="F64" s="32"/>
      <c r="G64" s="32"/>
      <c r="H64" s="32"/>
      <c r="I64" s="32"/>
      <c r="J64" s="32"/>
    </row>
    <row r="65" spans="1:10" ht="20.100000000000001" customHeight="1" x14ac:dyDescent="0.25">
      <c r="A65" s="68" t="str">
        <f>D10</f>
        <v>Quartos</v>
      </c>
      <c r="B65" s="76">
        <f>B49*(SQRT(($C$58)/(1-B49^2)))</f>
        <v>1.555334141618302</v>
      </c>
      <c r="C65" s="76">
        <f>C49*(SQRT(($C$58)/(1-C49^2)))</f>
        <v>1.5731114654509941</v>
      </c>
      <c r="D65" s="75" t="str">
        <f>B63</f>
        <v>- - -</v>
      </c>
      <c r="E65" s="76">
        <f>E49*(SQRT(($C$58)/(1-E49^2)))</f>
        <v>2.8131491416466221</v>
      </c>
      <c r="F65" s="32"/>
      <c r="G65" s="32"/>
      <c r="H65" s="32"/>
      <c r="I65" s="32"/>
      <c r="J65" s="32"/>
    </row>
    <row r="66" spans="1:10" ht="20.100000000000001" customHeight="1" thickBot="1" x14ac:dyDescent="0.3">
      <c r="A66" s="77" t="str">
        <f>I10</f>
        <v>Valor observado</v>
      </c>
      <c r="B66" s="78">
        <f>B50*(SQRT(($C$58)/(1-B50^2)))</f>
        <v>1.3405771362475918</v>
      </c>
      <c r="C66" s="78">
        <f>C50*(SQRT(($C$58)/(1-C50^2)))</f>
        <v>6.130793965765255</v>
      </c>
      <c r="D66" s="78">
        <f>D50*(SQRT(($C$58)/(1-D50^2)))</f>
        <v>2.8131491416466221</v>
      </c>
      <c r="E66" s="79" t="str">
        <f>B63</f>
        <v>- - -</v>
      </c>
      <c r="F66" s="32"/>
      <c r="G66" s="32"/>
      <c r="H66" s="32"/>
      <c r="I66" s="32"/>
      <c r="J66" s="32"/>
    </row>
    <row r="67" spans="1:10" ht="20.100000000000001" customHeight="1" x14ac:dyDescent="0.25">
      <c r="A67" s="32"/>
      <c r="B67" s="32"/>
      <c r="C67" s="32"/>
      <c r="D67" s="32"/>
      <c r="E67" s="32"/>
      <c r="F67" s="32"/>
      <c r="G67" s="32"/>
      <c r="H67" s="32"/>
      <c r="I67" s="32"/>
      <c r="J67" s="32"/>
    </row>
    <row r="68" spans="1:10" ht="20.100000000000001" customHeight="1" x14ac:dyDescent="0.25">
      <c r="A68" s="41"/>
      <c r="B68" s="41"/>
      <c r="C68" s="41"/>
      <c r="D68" s="41"/>
      <c r="E68" s="41"/>
      <c r="F68" s="41"/>
      <c r="G68" s="41"/>
      <c r="H68" s="41"/>
      <c r="I68" s="41"/>
      <c r="J68" s="41"/>
    </row>
    <row r="69" spans="1:10" ht="20.100000000000001" customHeight="1" x14ac:dyDescent="0.25">
      <c r="A69" s="22" t="s">
        <v>272</v>
      </c>
      <c r="B69" s="22"/>
      <c r="C69" s="22"/>
      <c r="D69" s="22"/>
      <c r="E69" s="22"/>
      <c r="F69" s="187"/>
      <c r="G69" s="187"/>
      <c r="H69" s="187"/>
      <c r="I69" s="187"/>
      <c r="J69" s="187"/>
    </row>
    <row r="70" spans="1:10" ht="20.100000000000001" customHeight="1" x14ac:dyDescent="0.25">
      <c r="A70" s="41"/>
      <c r="B70" s="41"/>
      <c r="C70" s="41"/>
      <c r="D70" s="41"/>
      <c r="E70" s="41"/>
      <c r="F70" s="41"/>
      <c r="G70" s="41"/>
      <c r="H70" s="41"/>
      <c r="I70" s="41"/>
      <c r="J70" s="41"/>
    </row>
    <row r="71" spans="1:10" ht="20.100000000000001" customHeight="1" thickBot="1" x14ac:dyDescent="0.3">
      <c r="A71" s="69"/>
      <c r="B71" s="69" t="str">
        <f>B10</f>
        <v>Área do terreno</v>
      </c>
      <c r="C71" s="69" t="str">
        <f>C10</f>
        <v>Área edificada</v>
      </c>
      <c r="D71" s="69" t="str">
        <f>D10</f>
        <v>Quartos</v>
      </c>
      <c r="E71" s="69" t="str">
        <f>I10</f>
        <v>Valor observado</v>
      </c>
      <c r="F71" s="41"/>
      <c r="G71" s="41"/>
      <c r="H71" s="41"/>
      <c r="I71" s="41"/>
      <c r="J71" s="41"/>
    </row>
    <row r="72" spans="1:10" ht="20.100000000000001" customHeight="1" x14ac:dyDescent="0.25">
      <c r="A72" s="70" t="str">
        <f>B10</f>
        <v>Área do terreno</v>
      </c>
      <c r="B72" s="83" t="s">
        <v>143</v>
      </c>
      <c r="C72" s="84">
        <f>B73</f>
        <v>0.99991917352557269</v>
      </c>
      <c r="D72" s="36">
        <f>B74</f>
        <v>0.99888885930173421</v>
      </c>
      <c r="E72" s="36">
        <f>B75</f>
        <v>0.99991431152714916</v>
      </c>
      <c r="F72" s="41"/>
      <c r="G72" s="41"/>
      <c r="H72" s="41"/>
      <c r="I72" s="41"/>
      <c r="J72" s="41"/>
    </row>
    <row r="73" spans="1:10" ht="20.100000000000001" customHeight="1" x14ac:dyDescent="0.25">
      <c r="A73" s="52" t="str">
        <f>C10</f>
        <v>Área edificada</v>
      </c>
      <c r="B73" s="51">
        <f>AM11</f>
        <v>0.99991917352557269</v>
      </c>
      <c r="C73" s="85" t="str">
        <f>B72</f>
        <v>- - -</v>
      </c>
      <c r="D73" s="51">
        <f>C74</f>
        <v>0.99911933783503526</v>
      </c>
      <c r="E73" s="51">
        <f>C75</f>
        <v>0.99998532522449657</v>
      </c>
      <c r="F73" s="41"/>
      <c r="G73" s="41"/>
      <c r="H73" s="41"/>
      <c r="I73" s="41"/>
      <c r="J73" s="41"/>
    </row>
    <row r="74" spans="1:10" ht="20.100000000000001" customHeight="1" x14ac:dyDescent="0.25">
      <c r="A74" s="68" t="str">
        <f>D10</f>
        <v>Quartos</v>
      </c>
      <c r="B74" s="86">
        <f>BB11</f>
        <v>0.99888885930173421</v>
      </c>
      <c r="C74" s="86">
        <f>CF11</f>
        <v>0.99911933783503526</v>
      </c>
      <c r="D74" s="85" t="str">
        <f>C73</f>
        <v>- - -</v>
      </c>
      <c r="E74" s="86">
        <f>D75</f>
        <v>0.99924787452745512</v>
      </c>
      <c r="F74" s="41"/>
      <c r="G74" s="41"/>
      <c r="H74" s="41"/>
      <c r="I74" s="41"/>
      <c r="J74" s="41"/>
    </row>
    <row r="75" spans="1:10" ht="20.100000000000001" customHeight="1" thickBot="1" x14ac:dyDescent="0.3">
      <c r="A75" s="77" t="str">
        <f>I10</f>
        <v>Valor observado</v>
      </c>
      <c r="B75" s="87">
        <f>BQ11</f>
        <v>0.99991431152714916</v>
      </c>
      <c r="C75" s="87">
        <f>CU11</f>
        <v>0.99998532522449657</v>
      </c>
      <c r="D75" s="87">
        <f>DJ11</f>
        <v>0.99924787452745512</v>
      </c>
      <c r="E75" s="69" t="str">
        <f>B72</f>
        <v>- - -</v>
      </c>
      <c r="F75" s="41"/>
      <c r="G75" s="41"/>
      <c r="H75" s="41"/>
      <c r="I75" s="41"/>
      <c r="J75" s="41"/>
    </row>
    <row r="76" spans="1:10" ht="20.100000000000001" customHeight="1" x14ac:dyDescent="0.25">
      <c r="B76" s="73"/>
      <c r="C76" s="73"/>
      <c r="D76" s="73"/>
      <c r="E76" s="41"/>
      <c r="F76" s="41"/>
      <c r="G76" s="41"/>
      <c r="H76" s="41"/>
      <c r="I76" s="41"/>
      <c r="J76" s="41"/>
    </row>
    <row r="77" spans="1:10" ht="20.100000000000001" customHeight="1" x14ac:dyDescent="0.25">
      <c r="A77" s="41"/>
      <c r="B77" s="41"/>
      <c r="E77" s="41"/>
      <c r="F77" s="41"/>
      <c r="G77" s="41"/>
      <c r="H77" s="41"/>
      <c r="I77" s="41"/>
      <c r="J77" s="41"/>
    </row>
    <row r="78" spans="1:10" ht="20.100000000000001" customHeight="1" x14ac:dyDescent="0.25">
      <c r="A78" s="80" t="s">
        <v>236</v>
      </c>
      <c r="B78" s="80"/>
      <c r="C78" s="88"/>
      <c r="F78" s="41"/>
      <c r="G78" s="41"/>
      <c r="H78" s="41"/>
      <c r="I78" s="41"/>
      <c r="J78" s="41"/>
    </row>
    <row r="79" spans="1:10" ht="20.100000000000001" customHeight="1" x14ac:dyDescent="0.25">
      <c r="A79" s="80" t="s">
        <v>237</v>
      </c>
      <c r="B79" s="80"/>
      <c r="C79" s="89">
        <v>0.8</v>
      </c>
      <c r="F79" s="41"/>
      <c r="G79" s="41"/>
      <c r="H79" s="41"/>
      <c r="I79" s="41"/>
      <c r="J79" s="41"/>
    </row>
    <row r="80" spans="1:10" ht="20.100000000000001" customHeight="1" x14ac:dyDescent="0.25">
      <c r="A80" s="80" t="s">
        <v>238</v>
      </c>
      <c r="B80" s="80"/>
      <c r="C80" s="88">
        <f>1/(1-C79)</f>
        <v>5.0000000000000009</v>
      </c>
      <c r="D80" s="41"/>
      <c r="E80" s="41"/>
      <c r="F80" s="41"/>
      <c r="G80" s="41"/>
      <c r="H80" s="41"/>
      <c r="I80" s="41"/>
      <c r="J80" s="41"/>
    </row>
    <row r="81" spans="1:21" ht="20.100000000000001" customHeight="1" x14ac:dyDescent="0.25">
      <c r="A81" s="41"/>
      <c r="B81" s="41"/>
      <c r="C81" s="41"/>
      <c r="D81" s="41"/>
      <c r="E81" s="41"/>
      <c r="F81" s="41"/>
      <c r="G81" s="41"/>
      <c r="H81" s="41"/>
      <c r="I81" s="41"/>
      <c r="J81" s="41"/>
    </row>
    <row r="82" spans="1:21" ht="20.100000000000001" customHeight="1" thickBot="1" x14ac:dyDescent="0.3">
      <c r="A82" s="69"/>
      <c r="B82" s="69" t="str">
        <f>B10</f>
        <v>Área do terreno</v>
      </c>
      <c r="C82" s="69" t="str">
        <f>C10</f>
        <v>Área edificada</v>
      </c>
      <c r="D82" s="69" t="str">
        <f>D10</f>
        <v>Quartos</v>
      </c>
      <c r="E82" s="41"/>
      <c r="F82" s="41"/>
      <c r="G82" s="41"/>
      <c r="H82" s="41"/>
      <c r="I82" s="41"/>
      <c r="J82" s="41"/>
    </row>
    <row r="83" spans="1:21" ht="20.100000000000001" customHeight="1" thickBot="1" x14ac:dyDescent="0.3">
      <c r="A83" s="90" t="s">
        <v>146</v>
      </c>
      <c r="B83" s="91">
        <f>AS659</f>
        <v>1.4093198655861008</v>
      </c>
      <c r="C83" s="91">
        <f>AS698</f>
        <v>1.4168426020505083</v>
      </c>
      <c r="D83" s="91">
        <f>AS737</f>
        <v>1.8442731071957321</v>
      </c>
      <c r="E83" s="41"/>
    </row>
    <row r="84" spans="1:21" ht="20.100000000000001" customHeight="1" x14ac:dyDescent="0.25">
      <c r="E84" s="41"/>
    </row>
    <row r="85" spans="1:21" ht="20.100000000000001" customHeight="1" x14ac:dyDescent="0.25">
      <c r="A85" s="33" t="s">
        <v>142</v>
      </c>
      <c r="B85" s="33"/>
      <c r="C85" s="33"/>
      <c r="D85" s="33"/>
      <c r="E85" s="33"/>
      <c r="F85" s="33"/>
      <c r="G85" s="33"/>
      <c r="H85" s="33"/>
      <c r="I85" s="33"/>
      <c r="J85" s="33"/>
    </row>
    <row r="86" spans="1:21" ht="20.100000000000001" customHeight="1" x14ac:dyDescent="0.25">
      <c r="A86" s="33"/>
      <c r="B86" s="33"/>
      <c r="C86" s="33"/>
      <c r="D86" s="33"/>
      <c r="E86" s="33"/>
      <c r="F86" s="33"/>
      <c r="G86" s="33"/>
      <c r="H86" s="33"/>
      <c r="I86" s="33"/>
      <c r="J86" s="33"/>
    </row>
    <row r="87" spans="1:21" ht="20.100000000000001" customHeight="1" x14ac:dyDescent="0.25">
      <c r="A87" s="32"/>
      <c r="B87" s="32"/>
      <c r="C87" s="32"/>
      <c r="D87" s="32"/>
      <c r="E87" s="32"/>
      <c r="F87" s="32"/>
      <c r="G87" s="32"/>
      <c r="H87" s="32"/>
      <c r="I87" s="32"/>
      <c r="J87" s="32"/>
    </row>
    <row r="88" spans="1:21" ht="20.100000000000001" customHeight="1" x14ac:dyDescent="0.25">
      <c r="K88" s="158"/>
    </row>
    <row r="89" spans="1:21" ht="20.100000000000001" customHeight="1" x14ac:dyDescent="0.25">
      <c r="A89" s="22" t="s">
        <v>9</v>
      </c>
      <c r="B89" s="22"/>
      <c r="C89" s="187"/>
      <c r="D89" s="187"/>
      <c r="E89" s="187"/>
      <c r="F89" s="187"/>
      <c r="G89" s="187"/>
      <c r="H89" s="187"/>
      <c r="I89" s="187"/>
      <c r="J89" s="187"/>
    </row>
    <row r="91" spans="1:21" ht="20.100000000000001" customHeight="1" x14ac:dyDescent="0.25">
      <c r="A91" s="93" t="s">
        <v>211</v>
      </c>
      <c r="B91" s="93"/>
      <c r="C91" s="94">
        <f>C92^(1/2)</f>
        <v>0.99999277259175468</v>
      </c>
      <c r="E91" s="95" t="s">
        <v>85</v>
      </c>
      <c r="F91" s="95"/>
    </row>
    <row r="92" spans="1:21" ht="20.100000000000001" customHeight="1" x14ac:dyDescent="0.25">
      <c r="A92" s="93" t="s">
        <v>213</v>
      </c>
      <c r="B92" s="93"/>
      <c r="C92" s="37">
        <f>C110/C112</f>
        <v>0.99998554523574468</v>
      </c>
      <c r="E92" s="34" t="s">
        <v>45</v>
      </c>
      <c r="F92" s="35">
        <f>3*(C96+1)</f>
        <v>12</v>
      </c>
      <c r="I92" s="43"/>
      <c r="J92" s="43"/>
      <c r="K92" s="150"/>
    </row>
    <row r="93" spans="1:21" ht="20.100000000000001" customHeight="1" x14ac:dyDescent="0.25">
      <c r="A93" s="93" t="s">
        <v>110</v>
      </c>
      <c r="B93" s="93"/>
      <c r="C93" s="58">
        <f>1-(((C95-1)/(C95-C96-1))*(1-C92))</f>
        <v>0.99998012469914888</v>
      </c>
      <c r="E93" s="52" t="s">
        <v>44</v>
      </c>
      <c r="F93" s="53">
        <f>4*(C96+1)</f>
        <v>16</v>
      </c>
      <c r="I93" s="43"/>
      <c r="J93" s="43"/>
      <c r="K93" s="150"/>
    </row>
    <row r="94" spans="1:21" ht="20.100000000000001" customHeight="1" x14ac:dyDescent="0.25">
      <c r="E94" s="52" t="s">
        <v>43</v>
      </c>
      <c r="F94" s="53">
        <f>6*(C96+1)</f>
        <v>24</v>
      </c>
      <c r="I94" s="43"/>
      <c r="J94" s="43"/>
      <c r="K94" s="150"/>
    </row>
    <row r="95" spans="1:21" ht="20.100000000000001" customHeight="1" x14ac:dyDescent="0.25">
      <c r="A95" s="93" t="s">
        <v>104</v>
      </c>
      <c r="B95" s="93"/>
      <c r="C95" s="4">
        <v>12</v>
      </c>
    </row>
    <row r="96" spans="1:21" ht="20.100000000000001" customHeight="1" x14ac:dyDescent="0.25">
      <c r="A96" s="93" t="s">
        <v>244</v>
      </c>
      <c r="B96" s="93"/>
      <c r="C96" s="46">
        <v>3</v>
      </c>
      <c r="E96" s="96" t="s">
        <v>80</v>
      </c>
      <c r="F96" s="45"/>
      <c r="U96" s="150"/>
    </row>
    <row r="97" spans="1:21" ht="20.100000000000001" customHeight="1" x14ac:dyDescent="0.25">
      <c r="A97" s="97" t="s">
        <v>59</v>
      </c>
      <c r="B97" s="97"/>
      <c r="C97" s="53">
        <v>4</v>
      </c>
      <c r="E97" s="66" t="str" cm="1">
        <f t="array" ref="E97">_xlfn.IFS(C95&lt;F92,R97,AND(C95&gt;=F92,C95&lt;F93),R98,AND(C95&gt;=F93,C95&lt;F94),R104,C95&gt;=F94,R105)</f>
        <v>Atende às exigências para o grau I da NBR 14653-2:2011</v>
      </c>
      <c r="F97" s="66"/>
      <c r="R97" s="140" t="s">
        <v>84</v>
      </c>
      <c r="U97" s="150"/>
    </row>
    <row r="98" spans="1:21" ht="20.100000000000001" customHeight="1" x14ac:dyDescent="0.25">
      <c r="A98" s="97" t="s">
        <v>12</v>
      </c>
      <c r="B98" s="97"/>
      <c r="C98" s="53">
        <f>C95-C97</f>
        <v>8</v>
      </c>
      <c r="R98" s="140" t="s">
        <v>86</v>
      </c>
      <c r="U98" s="150"/>
    </row>
    <row r="99" spans="1:21" ht="20.100000000000001" customHeight="1" x14ac:dyDescent="0.25">
      <c r="C99" s="35"/>
      <c r="U99" s="150"/>
    </row>
    <row r="100" spans="1:21" ht="20.100000000000001" customHeight="1" x14ac:dyDescent="0.25">
      <c r="A100" s="93" t="s">
        <v>217</v>
      </c>
      <c r="B100" s="93"/>
      <c r="C100" s="94">
        <v>0.95</v>
      </c>
      <c r="U100" s="150"/>
    </row>
    <row r="101" spans="1:21" ht="20.100000000000001" customHeight="1" x14ac:dyDescent="0.25">
      <c r="A101" s="93" t="s">
        <v>233</v>
      </c>
      <c r="B101" s="93"/>
      <c r="C101" s="98">
        <f>_xlfn.T.INV.2T(1-C100,C95-C96-1)</f>
        <v>2.3060041352041662</v>
      </c>
      <c r="U101" s="150"/>
    </row>
    <row r="102" spans="1:21" ht="20.100000000000001" customHeight="1" x14ac:dyDescent="0.25">
      <c r="A102" s="93" t="s">
        <v>245</v>
      </c>
      <c r="B102" s="93"/>
      <c r="C102" s="99">
        <f>((C101^2)/(C95-2+C101^2))^(1/2)</f>
        <v>0.58920162901278894</v>
      </c>
      <c r="U102" s="150"/>
    </row>
    <row r="103" spans="1:21" ht="20.100000000000001" customHeight="1" x14ac:dyDescent="0.25">
      <c r="C103" s="35"/>
      <c r="U103" s="150"/>
    </row>
    <row r="104" spans="1:21" ht="20.100000000000001" customHeight="1" x14ac:dyDescent="0.25">
      <c r="A104" s="93" t="s">
        <v>1</v>
      </c>
      <c r="B104" s="93"/>
      <c r="C104" s="45">
        <f>((C111/(C95-C96-1))^(1/2))</f>
        <v>296.95288939443617</v>
      </c>
      <c r="R104" s="140" t="s">
        <v>87</v>
      </c>
    </row>
    <row r="105" spans="1:21" ht="20.100000000000001" customHeight="1" x14ac:dyDescent="0.25">
      <c r="D105" s="70"/>
      <c r="E105" s="70"/>
      <c r="R105" s="140" t="s">
        <v>88</v>
      </c>
    </row>
    <row r="106" spans="1:21" ht="20.100000000000001" customHeight="1" x14ac:dyDescent="0.25">
      <c r="B106" s="35"/>
      <c r="U106" s="159"/>
    </row>
    <row r="107" spans="1:21" ht="20.100000000000001" customHeight="1" x14ac:dyDescent="0.25">
      <c r="A107" s="22" t="s">
        <v>15</v>
      </c>
      <c r="B107" s="22"/>
      <c r="C107" s="187"/>
      <c r="D107" s="187"/>
      <c r="E107" s="187"/>
      <c r="F107" s="187"/>
      <c r="G107" s="187"/>
      <c r="H107" s="187"/>
      <c r="I107" s="187"/>
      <c r="J107" s="187"/>
    </row>
    <row r="108" spans="1:21" ht="20.100000000000001" customHeight="1" x14ac:dyDescent="0.25">
      <c r="K108" s="160"/>
      <c r="U108" s="157"/>
    </row>
    <row r="109" spans="1:21" ht="20.100000000000001" customHeight="1" x14ac:dyDescent="0.25">
      <c r="A109" s="102"/>
      <c r="B109" s="103" t="s">
        <v>12</v>
      </c>
      <c r="C109" s="103" t="s">
        <v>13</v>
      </c>
      <c r="D109" s="103" t="s">
        <v>14</v>
      </c>
    </row>
    <row r="110" spans="1:21" ht="20.100000000000001" customHeight="1" x14ac:dyDescent="0.25">
      <c r="A110" s="52" t="s">
        <v>2</v>
      </c>
      <c r="B110" s="53">
        <f>C96</f>
        <v>3</v>
      </c>
      <c r="C110" s="52">
        <f>D178</f>
        <v>48803144551.8535</v>
      </c>
      <c r="D110" s="52">
        <f>C110/B110</f>
        <v>16267714850.617834</v>
      </c>
      <c r="H110" s="100"/>
      <c r="I110" s="100"/>
      <c r="J110" s="100"/>
      <c r="U110" s="157"/>
    </row>
    <row r="111" spans="1:21" ht="20.100000000000001" customHeight="1" x14ac:dyDescent="0.25">
      <c r="A111" s="52" t="s">
        <v>3</v>
      </c>
      <c r="B111" s="53">
        <f>C95-C96-1</f>
        <v>8</v>
      </c>
      <c r="C111" s="52">
        <f>D195</f>
        <v>705448.14815763384</v>
      </c>
      <c r="D111" s="52">
        <f>C111/B111</f>
        <v>88181.01851970423</v>
      </c>
      <c r="U111" s="157"/>
    </row>
    <row r="112" spans="1:21" ht="20.100000000000001" customHeight="1" x14ac:dyDescent="0.25">
      <c r="A112" s="52" t="s">
        <v>4</v>
      </c>
      <c r="B112" s="53">
        <f>B110+B111</f>
        <v>11</v>
      </c>
      <c r="C112" s="52">
        <f>D212</f>
        <v>48803850000</v>
      </c>
      <c r="U112" s="157"/>
    </row>
    <row r="113" spans="1:21" ht="20.100000000000001" customHeight="1" x14ac:dyDescent="0.25">
      <c r="B113" s="35"/>
      <c r="U113" s="157"/>
    </row>
    <row r="114" spans="1:21" ht="20.100000000000001" customHeight="1" x14ac:dyDescent="0.25">
      <c r="B114" s="35"/>
      <c r="U114" s="157"/>
    </row>
    <row r="115" spans="1:21" ht="20.100000000000001" customHeight="1" x14ac:dyDescent="0.25">
      <c r="A115" s="22" t="s">
        <v>197</v>
      </c>
      <c r="B115" s="22"/>
      <c r="C115" s="22"/>
      <c r="D115" s="187"/>
      <c r="E115" s="187"/>
      <c r="F115" s="187"/>
      <c r="G115" s="187"/>
      <c r="H115" s="187"/>
      <c r="I115" s="187"/>
      <c r="J115" s="187"/>
      <c r="U115" s="157"/>
    </row>
    <row r="116" spans="1:21" ht="20.100000000000001" customHeight="1" x14ac:dyDescent="0.25">
      <c r="B116" s="35"/>
      <c r="U116" s="157"/>
    </row>
    <row r="117" spans="1:21" ht="20.100000000000001" customHeight="1" x14ac:dyDescent="0.25">
      <c r="A117" s="93" t="s">
        <v>81</v>
      </c>
      <c r="B117" s="93"/>
      <c r="C117" s="94">
        <v>0.05</v>
      </c>
      <c r="U117" s="157"/>
    </row>
    <row r="118" spans="1:21" ht="20.100000000000001" customHeight="1" x14ac:dyDescent="0.25">
      <c r="A118" s="93" t="s">
        <v>246</v>
      </c>
      <c r="B118" s="93"/>
      <c r="C118" s="94">
        <f>_xlfn.F.DIST.RT(C124,B110,B111)</f>
        <v>1.0743409494054988E-19</v>
      </c>
      <c r="U118" s="157"/>
    </row>
    <row r="119" spans="1:21" ht="20.100000000000001" customHeight="1" x14ac:dyDescent="0.25">
      <c r="A119" s="104"/>
      <c r="B119" s="104"/>
      <c r="U119" s="157"/>
    </row>
    <row r="120" spans="1:21" ht="20.100000000000001" customHeight="1" x14ac:dyDescent="0.25">
      <c r="A120" s="93" t="s">
        <v>58</v>
      </c>
      <c r="B120" s="93"/>
      <c r="C120" s="46">
        <f>C95</f>
        <v>12</v>
      </c>
      <c r="U120" s="157"/>
    </row>
    <row r="121" spans="1:21" ht="20.100000000000001" customHeight="1" x14ac:dyDescent="0.25">
      <c r="A121" s="93" t="s">
        <v>59</v>
      </c>
      <c r="B121" s="93"/>
      <c r="C121" s="46">
        <f>C97</f>
        <v>4</v>
      </c>
      <c r="U121" s="157"/>
    </row>
    <row r="122" spans="1:21" ht="20.100000000000001" customHeight="1" x14ac:dyDescent="0.25">
      <c r="A122" s="93" t="s">
        <v>12</v>
      </c>
      <c r="B122" s="93"/>
      <c r="C122" s="46">
        <f>C98</f>
        <v>8</v>
      </c>
      <c r="U122" s="157"/>
    </row>
    <row r="123" spans="1:21" ht="20.100000000000001" customHeight="1" x14ac:dyDescent="0.25">
      <c r="A123" s="93" t="s">
        <v>247</v>
      </c>
      <c r="B123" s="93"/>
      <c r="C123" s="98">
        <f>_xlfn.F.INV.RT(1-C100,C96,C98)</f>
        <v>4.0661805513511604</v>
      </c>
      <c r="U123" s="157"/>
    </row>
    <row r="124" spans="1:21" ht="20.100000000000001" customHeight="1" x14ac:dyDescent="0.25">
      <c r="A124" s="93" t="s">
        <v>248</v>
      </c>
      <c r="B124" s="93"/>
      <c r="C124" s="52">
        <f>(C110/C96)/(C111/(C95-C96-1))</f>
        <v>184480.91350841883</v>
      </c>
      <c r="U124" s="157"/>
    </row>
    <row r="125" spans="1:21" ht="20.100000000000001" customHeight="1" x14ac:dyDescent="0.25">
      <c r="U125" s="157"/>
    </row>
    <row r="126" spans="1:21" ht="20.100000000000001" customHeight="1" x14ac:dyDescent="0.25">
      <c r="A126" s="45" t="s">
        <v>25</v>
      </c>
      <c r="B126" s="93" t="str">
        <f>IF(C124&gt;=C123,"Rejeita-se a hipótese nula","Não se pode rejeitar a hipótese nula")</f>
        <v>Rejeita-se a hipótese nula</v>
      </c>
      <c r="C126" s="93"/>
      <c r="U126" s="157"/>
    </row>
    <row r="127" spans="1:21" ht="20.100000000000001" customHeight="1" x14ac:dyDescent="0.25">
      <c r="U127" s="157"/>
    </row>
    <row r="128" spans="1:21" ht="20.100000000000001" customHeight="1" x14ac:dyDescent="0.25">
      <c r="U128" s="157"/>
    </row>
    <row r="129" spans="1:37" ht="20.100000000000001" customHeight="1" x14ac:dyDescent="0.25">
      <c r="A129" s="22" t="s">
        <v>249</v>
      </c>
      <c r="B129" s="22"/>
      <c r="C129" s="187"/>
      <c r="D129" s="187"/>
      <c r="E129" s="187"/>
      <c r="F129" s="187"/>
      <c r="G129" s="187"/>
      <c r="H129" s="187"/>
      <c r="I129" s="187"/>
      <c r="J129" s="187"/>
      <c r="U129" s="157"/>
    </row>
    <row r="130" spans="1:37" ht="20.100000000000001" customHeight="1" x14ac:dyDescent="0.25">
      <c r="U130" s="157"/>
    </row>
    <row r="131" spans="1:37" ht="20.100000000000001" customHeight="1" x14ac:dyDescent="0.25">
      <c r="A131" s="103" t="s">
        <v>22</v>
      </c>
      <c r="B131" s="103" t="s">
        <v>23</v>
      </c>
      <c r="C131" s="103" t="s">
        <v>1</v>
      </c>
      <c r="D131" s="103" t="s">
        <v>10</v>
      </c>
      <c r="E131" s="103" t="s">
        <v>11</v>
      </c>
      <c r="U131" s="157"/>
    </row>
    <row r="132" spans="1:37" ht="20.100000000000001" customHeight="1" x14ac:dyDescent="0.25">
      <c r="A132" s="52" t="s">
        <v>5</v>
      </c>
      <c r="B132" s="105">
        <f>AQ592</f>
        <v>161688.54762733541</v>
      </c>
      <c r="C132" s="34">
        <f>$C$104*(AL592^(1/2))</f>
        <v>1033.964818130067</v>
      </c>
      <c r="D132" s="34">
        <f>ABS(B132/C132)</f>
        <v>156.37722366584035</v>
      </c>
      <c r="E132" s="37">
        <f>_xlfn.T.DIST.2T(ABS(D132),$C$95-$C$96-1)</f>
        <v>3.1283737758186176E-15</v>
      </c>
      <c r="U132" s="157"/>
    </row>
    <row r="133" spans="1:37" ht="20.100000000000001" customHeight="1" x14ac:dyDescent="0.25">
      <c r="A133" s="66" t="str">
        <f>B10</f>
        <v>Área do terreno</v>
      </c>
      <c r="B133" s="105">
        <f>AQ593</f>
        <v>539.88835281183128</v>
      </c>
      <c r="C133" s="52">
        <f>$C$104*(AM593^(1/2))</f>
        <v>2.4989817015588582</v>
      </c>
      <c r="D133" s="52">
        <f>ABS(B133/C133)</f>
        <v>216.04333976317247</v>
      </c>
      <c r="E133" s="58">
        <f>_xlfn.T.DIST.2T(ABS(D133),$C$95-$C$96-1)</f>
        <v>2.3584301122175296E-16</v>
      </c>
      <c r="U133" s="157"/>
    </row>
    <row r="134" spans="1:37" ht="20.100000000000001" customHeight="1" x14ac:dyDescent="0.25">
      <c r="A134" s="68" t="str">
        <f>C10</f>
        <v>Área edificada</v>
      </c>
      <c r="B134" s="105">
        <f>AQ594</f>
        <v>2253.4502364385116</v>
      </c>
      <c r="C134" s="52">
        <f>$C$104*(AN594^(1/2))</f>
        <v>4.3162688614574591</v>
      </c>
      <c r="D134" s="52">
        <f>ABS(B134/C134)</f>
        <v>522.08291669708387</v>
      </c>
      <c r="E134" s="58">
        <f>_xlfn.T.DIST.2T(ABS(D134),$C$95-$C$96-1)</f>
        <v>2.0288795926154756E-19</v>
      </c>
    </row>
    <row r="135" spans="1:37" ht="20.100000000000001" customHeight="1" x14ac:dyDescent="0.25">
      <c r="A135" s="68" t="str">
        <f>D10</f>
        <v>Quartos</v>
      </c>
      <c r="B135" s="105">
        <f>AQ595</f>
        <v>17999.297801021487</v>
      </c>
      <c r="C135" s="52">
        <f>$C$104*(AO595^(1/2))</f>
        <v>246.95385273950384</v>
      </c>
      <c r="D135" s="52">
        <f>ABS(B135/C135)</f>
        <v>72.885268244864434</v>
      </c>
      <c r="E135" s="58">
        <f>_xlfn.T.DIST.2T(ABS(D135),$C$95-$C$96-1)</f>
        <v>1.3987729333599303E-12</v>
      </c>
    </row>
    <row r="136" spans="1:37" ht="20.100000000000001" customHeight="1" x14ac:dyDescent="0.25">
      <c r="A136" s="41"/>
      <c r="B136" s="41"/>
      <c r="C136" s="41"/>
      <c r="D136" s="41"/>
      <c r="E136" s="41"/>
    </row>
    <row r="137" spans="1:37" ht="20.100000000000001" customHeight="1" x14ac:dyDescent="0.25">
      <c r="A137" s="41"/>
      <c r="B137" s="41"/>
      <c r="C137" s="41"/>
      <c r="D137" s="41"/>
      <c r="E137" s="41"/>
    </row>
    <row r="138" spans="1:37" s="147" customFormat="1" ht="20.100000000000001" customHeight="1" x14ac:dyDescent="0.25">
      <c r="A138" s="45" t="s">
        <v>51</v>
      </c>
      <c r="B138" s="93" t="str">
        <f>CONCATENATE("Valor previsto = ",TEXT(B132,"0,00")," + [",TEXT(B133,"0,00")," · (",A37,")] + [",TEXT(B134,"0,00")," · (",A38,")] + [",TEXT(B135,"0,00")," · (",A39,")]")</f>
        <v>Valor previsto = 161688,55 + [539,89 · (Área do terreno)] + [2253,45 · (Área edificada)] + [17999,30 · (Quartos)]</v>
      </c>
      <c r="C138" s="93"/>
      <c r="D138" s="93"/>
      <c r="E138" s="93"/>
      <c r="F138" s="34"/>
      <c r="G138" s="34"/>
      <c r="H138" s="34"/>
      <c r="I138" s="34"/>
      <c r="J138" s="34"/>
      <c r="L138" s="140"/>
      <c r="AK138" s="153"/>
    </row>
    <row r="139" spans="1:37" s="147" customFormat="1" ht="20.100000000000001" customHeight="1" x14ac:dyDescent="0.25">
      <c r="A139" s="41"/>
      <c r="B139" s="41"/>
      <c r="C139" s="41"/>
      <c r="D139" s="41"/>
      <c r="E139" s="41"/>
      <c r="F139" s="34"/>
      <c r="G139" s="41"/>
      <c r="H139" s="41"/>
      <c r="I139" s="41"/>
      <c r="J139" s="41"/>
      <c r="L139" s="140"/>
      <c r="AK139" s="153"/>
    </row>
    <row r="140" spans="1:37" s="147" customFormat="1" ht="20.100000000000001" customHeight="1" x14ac:dyDescent="0.25">
      <c r="A140" s="93" t="s">
        <v>196</v>
      </c>
      <c r="B140" s="93"/>
      <c r="C140" s="93"/>
      <c r="D140" s="93"/>
      <c r="E140" s="93"/>
      <c r="F140" s="34"/>
      <c r="G140" s="41"/>
      <c r="H140" s="41"/>
      <c r="I140" s="41"/>
      <c r="J140" s="41"/>
      <c r="L140" s="140"/>
      <c r="AK140" s="153"/>
    </row>
    <row r="141" spans="1:37" s="147" customFormat="1" ht="20.100000000000001" customHeight="1" x14ac:dyDescent="0.25">
      <c r="A141" s="41"/>
      <c r="B141" s="41"/>
      <c r="C141" s="41"/>
      <c r="D141" s="41"/>
      <c r="E141" s="41"/>
      <c r="F141" s="34"/>
      <c r="G141" s="34"/>
      <c r="H141" s="34"/>
      <c r="I141" s="34"/>
      <c r="J141" s="34"/>
      <c r="L141" s="140"/>
      <c r="AK141" s="153"/>
    </row>
    <row r="142" spans="1:37" s="147" customFormat="1" ht="20.100000000000001" customHeight="1" x14ac:dyDescent="0.25">
      <c r="A142" s="66" t="str">
        <f>B10</f>
        <v>Área do terreno</v>
      </c>
      <c r="B142" s="93" t="s">
        <v>108</v>
      </c>
      <c r="C142" s="93"/>
      <c r="D142" s="45">
        <f>B133</f>
        <v>539.88835281183128</v>
      </c>
      <c r="E142" s="45" t="s">
        <v>232</v>
      </c>
      <c r="F142" s="34"/>
      <c r="G142" s="34"/>
      <c r="H142" s="34"/>
      <c r="I142" s="34"/>
      <c r="J142" s="34"/>
      <c r="L142" s="140"/>
      <c r="AK142" s="153"/>
    </row>
    <row r="143" spans="1:37" s="147" customFormat="1" ht="20.100000000000001" customHeight="1" x14ac:dyDescent="0.25">
      <c r="A143" s="66" t="str">
        <f>C10</f>
        <v>Área edificada</v>
      </c>
      <c r="B143" s="93" t="s">
        <v>108</v>
      </c>
      <c r="C143" s="93"/>
      <c r="D143" s="45">
        <f>B134</f>
        <v>2253.4502364385116</v>
      </c>
      <c r="E143" s="52" t="s">
        <v>232</v>
      </c>
      <c r="F143" s="34"/>
      <c r="G143" s="34"/>
      <c r="H143" s="34"/>
      <c r="I143" s="34"/>
      <c r="J143" s="34"/>
      <c r="L143" s="140"/>
      <c r="AK143" s="153"/>
    </row>
    <row r="144" spans="1:37" s="147" customFormat="1" ht="20.100000000000001" customHeight="1" x14ac:dyDescent="0.25">
      <c r="A144" s="66" t="str">
        <f>D10</f>
        <v>Quartos</v>
      </c>
      <c r="B144" s="93" t="s">
        <v>108</v>
      </c>
      <c r="C144" s="93"/>
      <c r="D144" s="45">
        <f>B135</f>
        <v>17999.297801021487</v>
      </c>
      <c r="E144" s="52" t="s">
        <v>232</v>
      </c>
      <c r="F144" s="34"/>
      <c r="G144" s="34"/>
      <c r="H144" s="34"/>
      <c r="I144" s="34"/>
      <c r="J144" s="34"/>
      <c r="L144" s="140"/>
      <c r="AK144" s="153"/>
    </row>
    <row r="145" spans="1:37" s="147" customFormat="1" ht="20.100000000000001" customHeight="1" x14ac:dyDescent="0.25">
      <c r="A145" s="41"/>
      <c r="B145" s="41"/>
      <c r="C145" s="41"/>
      <c r="D145" s="41"/>
      <c r="E145" s="41"/>
      <c r="F145" s="41"/>
      <c r="G145" s="41"/>
      <c r="H145" s="41"/>
      <c r="I145" s="41"/>
      <c r="J145" s="41"/>
      <c r="L145" s="140"/>
      <c r="AK145" s="153"/>
    </row>
    <row r="146" spans="1:37" ht="20.100000000000001" customHeight="1" x14ac:dyDescent="0.25">
      <c r="A146" s="188"/>
      <c r="B146" s="188"/>
      <c r="C146" s="188"/>
      <c r="D146" s="188"/>
      <c r="E146" s="188"/>
      <c r="F146" s="188"/>
      <c r="G146" s="188"/>
      <c r="H146" s="188"/>
      <c r="I146" s="188"/>
      <c r="J146" s="188"/>
    </row>
    <row r="147" spans="1:37" ht="20.100000000000001" customHeight="1" x14ac:dyDescent="0.25">
      <c r="A147" s="22" t="s">
        <v>198</v>
      </c>
      <c r="B147" s="22"/>
      <c r="C147" s="22"/>
      <c r="D147" s="22"/>
      <c r="E147" s="17"/>
      <c r="F147" s="189"/>
      <c r="G147" s="187"/>
      <c r="H147" s="187"/>
      <c r="I147" s="187"/>
      <c r="J147" s="187"/>
    </row>
    <row r="149" spans="1:37" ht="20.100000000000001" customHeight="1" x14ac:dyDescent="0.25">
      <c r="A149" s="93" t="s">
        <v>81</v>
      </c>
      <c r="B149" s="93"/>
      <c r="C149" s="106">
        <v>0.3</v>
      </c>
      <c r="D149" s="107"/>
    </row>
    <row r="150" spans="1:37" ht="20.100000000000001" customHeight="1" x14ac:dyDescent="0.25">
      <c r="A150" s="93" t="s">
        <v>58</v>
      </c>
      <c r="B150" s="93"/>
      <c r="C150" s="46">
        <f>C95</f>
        <v>12</v>
      </c>
      <c r="D150" s="107"/>
    </row>
    <row r="151" spans="1:37" ht="20.100000000000001" customHeight="1" x14ac:dyDescent="0.25">
      <c r="A151" s="93" t="s">
        <v>59</v>
      </c>
      <c r="B151" s="93"/>
      <c r="C151" s="46">
        <f>C97</f>
        <v>4</v>
      </c>
      <c r="D151" s="107"/>
    </row>
    <row r="152" spans="1:37" ht="20.100000000000001" customHeight="1" x14ac:dyDescent="0.25">
      <c r="A152" s="93" t="s">
        <v>12</v>
      </c>
      <c r="B152" s="93"/>
      <c r="C152" s="46">
        <f>C98</f>
        <v>8</v>
      </c>
      <c r="D152" s="107"/>
    </row>
    <row r="153" spans="1:37" ht="20.100000000000001" customHeight="1" x14ac:dyDescent="0.25">
      <c r="A153" s="93" t="s">
        <v>233</v>
      </c>
      <c r="B153" s="93"/>
      <c r="C153" s="108">
        <f>_xlfn.T.INV.2T(C149,C152)</f>
        <v>1.1081454445582559</v>
      </c>
      <c r="D153" s="107"/>
    </row>
    <row r="154" spans="1:37" ht="20.100000000000001" customHeight="1" x14ac:dyDescent="0.25">
      <c r="D154" s="107"/>
    </row>
    <row r="155" spans="1:37" ht="20.100000000000001" customHeight="1" x14ac:dyDescent="0.25">
      <c r="D155" s="107"/>
    </row>
    <row r="156" spans="1:37" ht="20.100000000000001" customHeight="1" x14ac:dyDescent="0.25">
      <c r="A156" s="103" t="s">
        <v>214</v>
      </c>
      <c r="B156" s="103" t="s">
        <v>40</v>
      </c>
      <c r="C156" s="103" t="s">
        <v>1</v>
      </c>
      <c r="D156" s="103" t="s">
        <v>215</v>
      </c>
      <c r="E156" s="109" t="s">
        <v>216</v>
      </c>
      <c r="F156" s="109"/>
    </row>
    <row r="157" spans="1:37" ht="20.100000000000001" customHeight="1" x14ac:dyDescent="0.25">
      <c r="A157" s="52" t="str">
        <f>B10</f>
        <v>Área do terreno</v>
      </c>
      <c r="B157" s="52">
        <f t="shared" ref="B157:D159" si="53">B133</f>
        <v>539.88835281183128</v>
      </c>
      <c r="C157" s="52">
        <f t="shared" si="53"/>
        <v>2.4989817015588582</v>
      </c>
      <c r="D157" s="52">
        <f t="shared" si="53"/>
        <v>216.04333976317247</v>
      </c>
      <c r="E157" s="110" t="str">
        <f>IF(D157&gt;$C$153,"Rejeita-se a hipótese nula","Não se pode rejeitar a hipótese nula")</f>
        <v>Rejeita-se a hipótese nula</v>
      </c>
      <c r="F157" s="110"/>
    </row>
    <row r="158" spans="1:37" ht="20.100000000000001" customHeight="1" x14ac:dyDescent="0.25">
      <c r="A158" s="45" t="str">
        <f>C10</f>
        <v>Área edificada</v>
      </c>
      <c r="B158" s="52">
        <f t="shared" si="53"/>
        <v>2253.4502364385116</v>
      </c>
      <c r="C158" s="52">
        <f t="shared" si="53"/>
        <v>4.3162688614574591</v>
      </c>
      <c r="D158" s="52">
        <f t="shared" si="53"/>
        <v>522.08291669708387</v>
      </c>
      <c r="E158" s="110" t="str">
        <f>IF(D158&gt;$C$153,"Rejeita-se a hipótese nula","Não se pode rejeitar a hipótese nula")</f>
        <v>Rejeita-se a hipótese nula</v>
      </c>
      <c r="F158" s="110"/>
    </row>
    <row r="159" spans="1:37" ht="20.100000000000001" customHeight="1" x14ac:dyDescent="0.25">
      <c r="A159" s="45" t="str">
        <f>D10</f>
        <v>Quartos</v>
      </c>
      <c r="B159" s="52">
        <f t="shared" si="53"/>
        <v>17999.297801021487</v>
      </c>
      <c r="C159" s="52">
        <f t="shared" si="53"/>
        <v>246.95385273950384</v>
      </c>
      <c r="D159" s="52">
        <f t="shared" si="53"/>
        <v>72.885268244864434</v>
      </c>
      <c r="E159" s="110" t="str">
        <f>IF(D159&gt;$C$153,"Rejeita-se a hipótese nula","Não se pode rejeitar a hipótese nula")</f>
        <v>Rejeita-se a hipótese nula</v>
      </c>
      <c r="F159" s="110"/>
    </row>
    <row r="160" spans="1:37" ht="20.100000000000001" customHeight="1" x14ac:dyDescent="0.25">
      <c r="A160" s="107"/>
      <c r="B160" s="107"/>
      <c r="C160" s="107"/>
      <c r="D160" s="107"/>
      <c r="E160" s="70"/>
      <c r="F160" s="70"/>
    </row>
    <row r="162" spans="1:10" ht="20.100000000000001" customHeight="1" x14ac:dyDescent="0.25">
      <c r="A162" s="22" t="s">
        <v>206</v>
      </c>
      <c r="B162" s="22"/>
      <c r="C162" s="22"/>
      <c r="D162" s="22"/>
      <c r="E162" s="22"/>
      <c r="F162" s="22"/>
      <c r="G162" s="187"/>
      <c r="H162" s="187"/>
      <c r="I162" s="187"/>
      <c r="J162" s="187"/>
    </row>
    <row r="163" spans="1:10" ht="20.100000000000001" customHeight="1" x14ac:dyDescent="0.25">
      <c r="A163" s="70"/>
      <c r="B163" s="70"/>
      <c r="C163" s="70"/>
      <c r="D163" s="70"/>
    </row>
    <row r="164" spans="1:10" ht="39.950000000000003" customHeight="1" x14ac:dyDescent="0.25">
      <c r="A164" s="190" t="str">
        <f t="shared" ref="A164:A176" si="54">A10</f>
        <v>Item</v>
      </c>
      <c r="B164" s="190" t="str">
        <f>K10</f>
        <v>Valor estimado</v>
      </c>
      <c r="C164" s="190" t="s">
        <v>55</v>
      </c>
      <c r="D164" s="190" t="s">
        <v>3</v>
      </c>
    </row>
    <row r="165" spans="1:10" ht="20.100000000000001" customHeight="1" x14ac:dyDescent="0.25">
      <c r="A165" s="111">
        <f t="shared" si="54"/>
        <v>1</v>
      </c>
      <c r="B165" s="34">
        <f t="shared" ref="B165:B176" si="55">$B$132+$B11*$B$133+$C11*$B$134+$D11*$B$135</f>
        <v>715670.48233972606</v>
      </c>
      <c r="C165" s="34">
        <f t="shared" ref="C165:C176" si="56">AVERAGE($I$11:$I$22)</f>
        <v>847050</v>
      </c>
      <c r="D165" s="112">
        <f t="shared" ref="D165:D176" si="57">B165-C165</f>
        <v>-131379.51766027394</v>
      </c>
    </row>
    <row r="166" spans="1:10" ht="20.100000000000001" customHeight="1" x14ac:dyDescent="0.25">
      <c r="A166" s="113">
        <f t="shared" si="54"/>
        <v>2</v>
      </c>
      <c r="B166" s="52">
        <f t="shared" si="55"/>
        <v>743134.38410627353</v>
      </c>
      <c r="C166" s="52">
        <f t="shared" si="56"/>
        <v>847050</v>
      </c>
      <c r="D166" s="112">
        <f t="shared" si="57"/>
        <v>-103915.61589372647</v>
      </c>
    </row>
    <row r="167" spans="1:10" ht="20.100000000000001" customHeight="1" x14ac:dyDescent="0.25">
      <c r="A167" s="113">
        <f t="shared" si="54"/>
        <v>3</v>
      </c>
      <c r="B167" s="52">
        <f t="shared" si="55"/>
        <v>831863.94118594611</v>
      </c>
      <c r="C167" s="52">
        <f t="shared" si="56"/>
        <v>847050</v>
      </c>
      <c r="D167" s="112">
        <f t="shared" si="57"/>
        <v>-15186.058814053889</v>
      </c>
    </row>
    <row r="168" spans="1:10" ht="20.100000000000001" customHeight="1" x14ac:dyDescent="0.25">
      <c r="A168" s="113">
        <f t="shared" si="54"/>
        <v>4</v>
      </c>
      <c r="B168" s="52">
        <f t="shared" si="55"/>
        <v>843131.19236813881</v>
      </c>
      <c r="C168" s="52">
        <f t="shared" si="56"/>
        <v>847050</v>
      </c>
      <c r="D168" s="112">
        <f t="shared" si="57"/>
        <v>-3918.8076318611857</v>
      </c>
    </row>
    <row r="169" spans="1:10" ht="20.100000000000001" customHeight="1" x14ac:dyDescent="0.25">
      <c r="A169" s="113">
        <f t="shared" si="54"/>
        <v>5</v>
      </c>
      <c r="B169" s="52">
        <f t="shared" si="55"/>
        <v>850004.04744067951</v>
      </c>
      <c r="C169" s="52">
        <f t="shared" si="56"/>
        <v>847050</v>
      </c>
      <c r="D169" s="112">
        <f t="shared" si="57"/>
        <v>2954.0474406795111</v>
      </c>
    </row>
    <row r="170" spans="1:10" ht="20.100000000000001" customHeight="1" x14ac:dyDescent="0.25">
      <c r="A170" s="113">
        <f t="shared" si="54"/>
        <v>6</v>
      </c>
      <c r="B170" s="52">
        <f t="shared" si="55"/>
        <v>854323.15426317416</v>
      </c>
      <c r="C170" s="52">
        <f t="shared" si="56"/>
        <v>847050</v>
      </c>
      <c r="D170" s="112">
        <f t="shared" si="57"/>
        <v>7273.1542631741613</v>
      </c>
    </row>
    <row r="171" spans="1:10" ht="20.100000000000001" customHeight="1" x14ac:dyDescent="0.25">
      <c r="A171" s="113">
        <f t="shared" si="54"/>
        <v>7</v>
      </c>
      <c r="B171" s="52">
        <f t="shared" si="55"/>
        <v>849863.2389869676</v>
      </c>
      <c r="C171" s="52">
        <f t="shared" si="56"/>
        <v>847050</v>
      </c>
      <c r="D171" s="112">
        <f t="shared" si="57"/>
        <v>2813.2389869675972</v>
      </c>
    </row>
    <row r="172" spans="1:10" ht="20.100000000000001" customHeight="1" x14ac:dyDescent="0.25">
      <c r="A172" s="113">
        <f t="shared" si="54"/>
        <v>8</v>
      </c>
      <c r="B172" s="52">
        <f t="shared" si="55"/>
        <v>846013.61629042891</v>
      </c>
      <c r="C172" s="52">
        <f t="shared" si="56"/>
        <v>847050</v>
      </c>
      <c r="D172" s="112">
        <f t="shared" si="57"/>
        <v>-1036.3837095710915</v>
      </c>
    </row>
    <row r="173" spans="1:10" ht="20.100000000000001" customHeight="1" x14ac:dyDescent="0.25">
      <c r="A173" s="113">
        <f t="shared" si="54"/>
        <v>9</v>
      </c>
      <c r="B173" s="52">
        <f t="shared" si="55"/>
        <v>871458.77309944085</v>
      </c>
      <c r="C173" s="52">
        <f t="shared" si="56"/>
        <v>847050</v>
      </c>
      <c r="D173" s="112">
        <f t="shared" si="57"/>
        <v>24408.773099440848</v>
      </c>
    </row>
    <row r="174" spans="1:10" ht="20.100000000000001" customHeight="1" x14ac:dyDescent="0.25">
      <c r="A174" s="113">
        <f t="shared" si="54"/>
        <v>10</v>
      </c>
      <c r="B174" s="52">
        <f t="shared" si="55"/>
        <v>869158.41123448173</v>
      </c>
      <c r="C174" s="52">
        <f t="shared" si="56"/>
        <v>847050</v>
      </c>
      <c r="D174" s="112">
        <f t="shared" si="57"/>
        <v>22108.411234481726</v>
      </c>
    </row>
    <row r="175" spans="1:10" ht="20.100000000000001" customHeight="1" x14ac:dyDescent="0.25">
      <c r="A175" s="113">
        <f t="shared" si="54"/>
        <v>11</v>
      </c>
      <c r="B175" s="52">
        <f t="shared" si="55"/>
        <v>936081.22152111353</v>
      </c>
      <c r="C175" s="52">
        <f t="shared" si="56"/>
        <v>847050</v>
      </c>
      <c r="D175" s="112">
        <f t="shared" si="57"/>
        <v>89031.221521113534</v>
      </c>
    </row>
    <row r="176" spans="1:10" ht="20.100000000000001" customHeight="1" x14ac:dyDescent="0.25">
      <c r="A176" s="113">
        <f t="shared" si="54"/>
        <v>12</v>
      </c>
      <c r="B176" s="52">
        <f t="shared" si="55"/>
        <v>953897.53716390394</v>
      </c>
      <c r="C176" s="52">
        <f t="shared" si="56"/>
        <v>847050</v>
      </c>
      <c r="D176" s="112">
        <f t="shared" si="57"/>
        <v>106847.53716390394</v>
      </c>
    </row>
    <row r="178" spans="1:6" ht="20.100000000000001" customHeight="1" x14ac:dyDescent="0.25">
      <c r="A178" s="93" t="s">
        <v>265</v>
      </c>
      <c r="B178" s="93"/>
      <c r="C178" s="93"/>
      <c r="D178" s="45">
        <f>SUMSQ(D165:D176)</f>
        <v>48803144551.8535</v>
      </c>
    </row>
    <row r="181" spans="1:6" ht="39.950000000000003" customHeight="1" x14ac:dyDescent="0.25">
      <c r="A181" s="190" t="str">
        <f>A10</f>
        <v>Item</v>
      </c>
      <c r="B181" s="190" t="s">
        <v>100</v>
      </c>
      <c r="C181" s="190" t="str">
        <f>K10</f>
        <v>Valor estimado</v>
      </c>
      <c r="D181" s="190" t="s">
        <v>3</v>
      </c>
      <c r="F181" s="190" t="s">
        <v>94</v>
      </c>
    </row>
    <row r="182" spans="1:6" ht="20.100000000000001" customHeight="1" x14ac:dyDescent="0.25">
      <c r="A182" s="111">
        <f t="shared" ref="A182:A193" si="58">A165</f>
        <v>1</v>
      </c>
      <c r="B182" s="34">
        <f t="shared" ref="B182:B193" si="59">I11</f>
        <v>715500</v>
      </c>
      <c r="C182" s="34">
        <f t="shared" ref="C182:C193" si="60">B165</f>
        <v>715670.48233972606</v>
      </c>
      <c r="D182" s="112">
        <f t="shared" ref="D182:D193" si="61">B182-C182</f>
        <v>-170.48233972606249</v>
      </c>
      <c r="F182" s="112">
        <f t="shared" ref="F182:F193" si="62">D182/$C$104</f>
        <v>-0.57410567741475804</v>
      </c>
    </row>
    <row r="183" spans="1:6" ht="20.100000000000001" customHeight="1" x14ac:dyDescent="0.25">
      <c r="A183" s="113">
        <f t="shared" si="58"/>
        <v>2</v>
      </c>
      <c r="B183" s="52">
        <f t="shared" si="59"/>
        <v>743400</v>
      </c>
      <c r="C183" s="52">
        <f t="shared" si="60"/>
        <v>743134.38410627353</v>
      </c>
      <c r="D183" s="112">
        <f t="shared" si="61"/>
        <v>265.61589372646995</v>
      </c>
      <c r="F183" s="112">
        <f t="shared" si="62"/>
        <v>0.89447149097666478</v>
      </c>
    </row>
    <row r="184" spans="1:6" ht="20.100000000000001" customHeight="1" x14ac:dyDescent="0.25">
      <c r="A184" s="113">
        <f t="shared" si="58"/>
        <v>3</v>
      </c>
      <c r="B184" s="52">
        <f t="shared" si="59"/>
        <v>831600</v>
      </c>
      <c r="C184" s="52">
        <f t="shared" si="60"/>
        <v>831863.94118594611</v>
      </c>
      <c r="D184" s="112">
        <f t="shared" si="61"/>
        <v>-263.94118594611064</v>
      </c>
      <c r="F184" s="112">
        <f t="shared" si="62"/>
        <v>-0.88883184967270412</v>
      </c>
    </row>
    <row r="185" spans="1:6" ht="20.100000000000001" customHeight="1" x14ac:dyDescent="0.25">
      <c r="A185" s="113">
        <f t="shared" si="58"/>
        <v>4</v>
      </c>
      <c r="B185" s="52">
        <f t="shared" si="59"/>
        <v>843300</v>
      </c>
      <c r="C185" s="52">
        <f t="shared" si="60"/>
        <v>843131.19236813881</v>
      </c>
      <c r="D185" s="112">
        <f t="shared" si="61"/>
        <v>168.80763186118565</v>
      </c>
      <c r="F185" s="112">
        <f t="shared" si="62"/>
        <v>0.56846603582618149</v>
      </c>
    </row>
    <row r="186" spans="1:6" ht="20.100000000000001" customHeight="1" x14ac:dyDescent="0.25">
      <c r="A186" s="113">
        <f t="shared" si="58"/>
        <v>5</v>
      </c>
      <c r="B186" s="52">
        <f t="shared" si="59"/>
        <v>850500</v>
      </c>
      <c r="C186" s="52">
        <f t="shared" si="60"/>
        <v>850004.04744067951</v>
      </c>
      <c r="D186" s="112">
        <f t="shared" si="61"/>
        <v>495.95255932048894</v>
      </c>
      <c r="F186" s="112">
        <f t="shared" si="62"/>
        <v>1.670138857149579</v>
      </c>
    </row>
    <row r="187" spans="1:6" ht="20.100000000000001" customHeight="1" x14ac:dyDescent="0.25">
      <c r="A187" s="113">
        <f t="shared" si="58"/>
        <v>6</v>
      </c>
      <c r="B187" s="52">
        <f t="shared" si="59"/>
        <v>854100</v>
      </c>
      <c r="C187" s="52">
        <f t="shared" si="60"/>
        <v>854323.15426317416</v>
      </c>
      <c r="D187" s="112">
        <f t="shared" si="61"/>
        <v>-223.15426317416131</v>
      </c>
      <c r="F187" s="112">
        <f t="shared" si="62"/>
        <v>-0.75148035646068523</v>
      </c>
    </row>
    <row r="188" spans="1:6" ht="20.100000000000001" customHeight="1" x14ac:dyDescent="0.25">
      <c r="A188" s="113">
        <f t="shared" si="58"/>
        <v>7</v>
      </c>
      <c r="B188" s="52">
        <f t="shared" si="59"/>
        <v>849600</v>
      </c>
      <c r="C188" s="52">
        <f t="shared" si="60"/>
        <v>849863.2389869676</v>
      </c>
      <c r="D188" s="112">
        <f t="shared" si="61"/>
        <v>-263.23898696759716</v>
      </c>
      <c r="F188" s="112">
        <f t="shared" si="62"/>
        <v>-0.88646716825827021</v>
      </c>
    </row>
    <row r="189" spans="1:6" ht="20.100000000000001" customHeight="1" x14ac:dyDescent="0.25">
      <c r="A189" s="113">
        <f t="shared" si="58"/>
        <v>8</v>
      </c>
      <c r="B189" s="52">
        <f t="shared" si="59"/>
        <v>846000</v>
      </c>
      <c r="C189" s="52">
        <f t="shared" si="60"/>
        <v>846013.61629042891</v>
      </c>
      <c r="D189" s="112">
        <f t="shared" si="61"/>
        <v>-13.616290428908542</v>
      </c>
      <c r="F189" s="112">
        <f t="shared" si="62"/>
        <v>-4.5853369053507724E-2</v>
      </c>
    </row>
    <row r="190" spans="1:6" ht="20.100000000000001" customHeight="1" x14ac:dyDescent="0.25">
      <c r="A190" s="113">
        <f t="shared" si="58"/>
        <v>9</v>
      </c>
      <c r="B190" s="52">
        <f t="shared" si="59"/>
        <v>871200</v>
      </c>
      <c r="C190" s="52">
        <f t="shared" si="60"/>
        <v>871458.77309944085</v>
      </c>
      <c r="D190" s="112">
        <f t="shared" si="61"/>
        <v>-258.77309944084845</v>
      </c>
      <c r="F190" s="112">
        <f t="shared" si="62"/>
        <v>-0.87142812440233808</v>
      </c>
    </row>
    <row r="191" spans="1:6" ht="20.100000000000001" customHeight="1" x14ac:dyDescent="0.25">
      <c r="A191" s="113">
        <f t="shared" si="58"/>
        <v>10</v>
      </c>
      <c r="B191" s="52">
        <f t="shared" si="59"/>
        <v>869400</v>
      </c>
      <c r="C191" s="52">
        <f t="shared" si="60"/>
        <v>869158.41123448173</v>
      </c>
      <c r="D191" s="112">
        <f t="shared" si="61"/>
        <v>241.58876551827416</v>
      </c>
      <c r="F191" s="112">
        <f t="shared" si="62"/>
        <v>0.81355923497136606</v>
      </c>
    </row>
    <row r="192" spans="1:6" ht="20.100000000000001" customHeight="1" x14ac:dyDescent="0.25">
      <c r="A192" s="113">
        <f t="shared" si="58"/>
        <v>11</v>
      </c>
      <c r="B192" s="52">
        <f t="shared" si="59"/>
        <v>936000</v>
      </c>
      <c r="C192" s="52">
        <f t="shared" si="60"/>
        <v>936081.22152111353</v>
      </c>
      <c r="D192" s="112">
        <f t="shared" si="61"/>
        <v>-81.221521113533527</v>
      </c>
      <c r="F192" s="112">
        <f t="shared" si="62"/>
        <v>-0.27351652068166515</v>
      </c>
    </row>
    <row r="193" spans="1:6" ht="20.100000000000001" customHeight="1" x14ac:dyDescent="0.25">
      <c r="A193" s="113">
        <f t="shared" si="58"/>
        <v>12</v>
      </c>
      <c r="B193" s="52">
        <f t="shared" si="59"/>
        <v>954000</v>
      </c>
      <c r="C193" s="52">
        <f t="shared" si="60"/>
        <v>953897.53716390394</v>
      </c>
      <c r="D193" s="112">
        <f t="shared" si="61"/>
        <v>102.46283609606326</v>
      </c>
      <c r="F193" s="112">
        <f t="shared" si="62"/>
        <v>0.34504744609493954</v>
      </c>
    </row>
    <row r="195" spans="1:6" ht="20.100000000000001" customHeight="1" x14ac:dyDescent="0.25">
      <c r="A195" s="114" t="s">
        <v>162</v>
      </c>
      <c r="B195" s="114"/>
      <c r="C195" s="114"/>
      <c r="D195" s="45">
        <f>SUMSQ(D182:D193)</f>
        <v>705448.14815763384</v>
      </c>
    </row>
    <row r="198" spans="1:6" ht="39.950000000000003" customHeight="1" x14ac:dyDescent="0.25">
      <c r="A198" s="190" t="str">
        <f t="shared" ref="A198:A210" si="63">A10</f>
        <v>Item</v>
      </c>
      <c r="B198" s="190" t="s">
        <v>100</v>
      </c>
      <c r="C198" s="190" t="s">
        <v>55</v>
      </c>
      <c r="D198" s="190" t="s">
        <v>3</v>
      </c>
    </row>
    <row r="199" spans="1:6" ht="20.100000000000001" customHeight="1" x14ac:dyDescent="0.25">
      <c r="A199" s="111">
        <f t="shared" si="63"/>
        <v>1</v>
      </c>
      <c r="B199" s="45">
        <f t="shared" ref="B199:B210" si="64">I11</f>
        <v>715500</v>
      </c>
      <c r="C199" s="45">
        <f t="shared" ref="C199:C210" si="65">AVERAGE($I$11:$I$22)</f>
        <v>847050</v>
      </c>
      <c r="D199" s="112">
        <f t="shared" ref="D199:D210" si="66">B199-C199</f>
        <v>-131550</v>
      </c>
    </row>
    <row r="200" spans="1:6" ht="20.100000000000001" customHeight="1" x14ac:dyDescent="0.25">
      <c r="A200" s="111">
        <f t="shared" si="63"/>
        <v>2</v>
      </c>
      <c r="B200" s="52">
        <f t="shared" si="64"/>
        <v>743400</v>
      </c>
      <c r="C200" s="52">
        <f t="shared" si="65"/>
        <v>847050</v>
      </c>
      <c r="D200" s="112">
        <f t="shared" si="66"/>
        <v>-103650</v>
      </c>
    </row>
    <row r="201" spans="1:6" ht="20.100000000000001" customHeight="1" x14ac:dyDescent="0.25">
      <c r="A201" s="111">
        <f t="shared" si="63"/>
        <v>3</v>
      </c>
      <c r="B201" s="52">
        <f t="shared" si="64"/>
        <v>831600</v>
      </c>
      <c r="C201" s="52">
        <f t="shared" si="65"/>
        <v>847050</v>
      </c>
      <c r="D201" s="112">
        <f t="shared" si="66"/>
        <v>-15450</v>
      </c>
    </row>
    <row r="202" spans="1:6" ht="20.100000000000001" customHeight="1" x14ac:dyDescent="0.25">
      <c r="A202" s="111">
        <f t="shared" si="63"/>
        <v>4</v>
      </c>
      <c r="B202" s="52">
        <f t="shared" si="64"/>
        <v>843300</v>
      </c>
      <c r="C202" s="52">
        <f t="shared" si="65"/>
        <v>847050</v>
      </c>
      <c r="D202" s="112">
        <f t="shared" si="66"/>
        <v>-3750</v>
      </c>
    </row>
    <row r="203" spans="1:6" ht="20.100000000000001" customHeight="1" x14ac:dyDescent="0.25">
      <c r="A203" s="111">
        <f t="shared" si="63"/>
        <v>5</v>
      </c>
      <c r="B203" s="52">
        <f t="shared" si="64"/>
        <v>850500</v>
      </c>
      <c r="C203" s="52">
        <f t="shared" si="65"/>
        <v>847050</v>
      </c>
      <c r="D203" s="112">
        <f t="shared" si="66"/>
        <v>3450</v>
      </c>
    </row>
    <row r="204" spans="1:6" ht="20.100000000000001" customHeight="1" x14ac:dyDescent="0.25">
      <c r="A204" s="111">
        <f t="shared" si="63"/>
        <v>6</v>
      </c>
      <c r="B204" s="52">
        <f t="shared" si="64"/>
        <v>854100</v>
      </c>
      <c r="C204" s="52">
        <f t="shared" si="65"/>
        <v>847050</v>
      </c>
      <c r="D204" s="112">
        <f t="shared" si="66"/>
        <v>7050</v>
      </c>
    </row>
    <row r="205" spans="1:6" ht="20.100000000000001" customHeight="1" x14ac:dyDescent="0.25">
      <c r="A205" s="111">
        <f t="shared" si="63"/>
        <v>7</v>
      </c>
      <c r="B205" s="52">
        <f t="shared" si="64"/>
        <v>849600</v>
      </c>
      <c r="C205" s="52">
        <f t="shared" si="65"/>
        <v>847050</v>
      </c>
      <c r="D205" s="112">
        <f t="shared" si="66"/>
        <v>2550</v>
      </c>
    </row>
    <row r="206" spans="1:6" ht="20.100000000000001" customHeight="1" x14ac:dyDescent="0.25">
      <c r="A206" s="111">
        <f t="shared" si="63"/>
        <v>8</v>
      </c>
      <c r="B206" s="52">
        <f t="shared" si="64"/>
        <v>846000</v>
      </c>
      <c r="C206" s="52">
        <f t="shared" si="65"/>
        <v>847050</v>
      </c>
      <c r="D206" s="112">
        <f t="shared" si="66"/>
        <v>-1050</v>
      </c>
    </row>
    <row r="207" spans="1:6" ht="20.100000000000001" customHeight="1" x14ac:dyDescent="0.25">
      <c r="A207" s="111">
        <f t="shared" si="63"/>
        <v>9</v>
      </c>
      <c r="B207" s="52">
        <f t="shared" si="64"/>
        <v>871200</v>
      </c>
      <c r="C207" s="52">
        <f t="shared" si="65"/>
        <v>847050</v>
      </c>
      <c r="D207" s="112">
        <f t="shared" si="66"/>
        <v>24150</v>
      </c>
    </row>
    <row r="208" spans="1:6" ht="20.100000000000001" customHeight="1" x14ac:dyDescent="0.25">
      <c r="A208" s="111">
        <f t="shared" si="63"/>
        <v>10</v>
      </c>
      <c r="B208" s="52">
        <f t="shared" si="64"/>
        <v>869400</v>
      </c>
      <c r="C208" s="52">
        <f t="shared" si="65"/>
        <v>847050</v>
      </c>
      <c r="D208" s="112">
        <f t="shared" si="66"/>
        <v>22350</v>
      </c>
    </row>
    <row r="209" spans="1:10" ht="20.100000000000001" customHeight="1" x14ac:dyDescent="0.25">
      <c r="A209" s="111">
        <f t="shared" si="63"/>
        <v>11</v>
      </c>
      <c r="B209" s="52">
        <f t="shared" si="64"/>
        <v>936000</v>
      </c>
      <c r="C209" s="52">
        <f t="shared" si="65"/>
        <v>847050</v>
      </c>
      <c r="D209" s="112">
        <f t="shared" si="66"/>
        <v>88950</v>
      </c>
    </row>
    <row r="210" spans="1:10" ht="20.100000000000001" customHeight="1" x14ac:dyDescent="0.25">
      <c r="A210" s="111">
        <f t="shared" si="63"/>
        <v>12</v>
      </c>
      <c r="B210" s="52">
        <f t="shared" si="64"/>
        <v>954000</v>
      </c>
      <c r="C210" s="52">
        <f t="shared" si="65"/>
        <v>847050</v>
      </c>
      <c r="D210" s="112">
        <f t="shared" si="66"/>
        <v>106950</v>
      </c>
    </row>
    <row r="212" spans="1:10" ht="20.100000000000001" customHeight="1" x14ac:dyDescent="0.25">
      <c r="A212" s="114" t="s">
        <v>109</v>
      </c>
      <c r="B212" s="114"/>
      <c r="C212" s="114"/>
      <c r="D212" s="45">
        <f>SUMSQ(D199:D210)</f>
        <v>48803850000</v>
      </c>
    </row>
    <row r="214" spans="1:10" ht="20.100000000000001" customHeight="1" x14ac:dyDescent="0.25">
      <c r="A214" s="104" t="s">
        <v>266</v>
      </c>
      <c r="B214" s="104"/>
      <c r="C214" s="104"/>
      <c r="D214" s="104"/>
      <c r="E214" s="104"/>
      <c r="F214" s="104"/>
      <c r="G214" s="104"/>
      <c r="H214" s="104"/>
    </row>
    <row r="217" spans="1:10" ht="20.100000000000001" customHeight="1" x14ac:dyDescent="0.25">
      <c r="A217" s="22" t="s">
        <v>207</v>
      </c>
      <c r="B217" s="22"/>
      <c r="C217" s="22"/>
      <c r="D217" s="22"/>
      <c r="E217" s="22"/>
      <c r="F217" s="22"/>
      <c r="G217" s="187"/>
      <c r="H217" s="187"/>
      <c r="I217" s="187"/>
      <c r="J217" s="187"/>
    </row>
    <row r="219" spans="1:10" ht="20.100000000000001" customHeight="1" x14ac:dyDescent="0.25">
      <c r="A219" s="22" t="s">
        <v>200</v>
      </c>
      <c r="B219" s="22"/>
      <c r="C219" s="22"/>
      <c r="D219" s="22"/>
      <c r="E219" s="22"/>
      <c r="F219" s="22"/>
      <c r="G219" s="187"/>
      <c r="H219" s="187"/>
      <c r="I219" s="187"/>
      <c r="J219" s="187"/>
    </row>
    <row r="220" spans="1:10" ht="20.100000000000001" customHeight="1" x14ac:dyDescent="0.25">
      <c r="B220" s="41"/>
      <c r="C220" s="41"/>
      <c r="D220" s="41"/>
      <c r="E220" s="41"/>
      <c r="F220" s="41"/>
      <c r="G220" s="41"/>
    </row>
    <row r="221" spans="1:10" ht="20.100000000000001" customHeight="1" x14ac:dyDescent="0.25">
      <c r="A221" s="115" t="s">
        <v>52</v>
      </c>
      <c r="B221" s="115"/>
      <c r="C221" s="115"/>
      <c r="D221" s="115"/>
      <c r="E221" s="115"/>
      <c r="F221" s="115"/>
      <c r="G221" s="115"/>
      <c r="H221" s="115"/>
      <c r="I221" s="115"/>
      <c r="J221" s="41"/>
    </row>
    <row r="222" spans="1:10" ht="20.100000000000001" customHeight="1" x14ac:dyDescent="0.25">
      <c r="A222" s="115"/>
      <c r="B222" s="115"/>
      <c r="C222" s="115"/>
      <c r="D222" s="115"/>
      <c r="E222" s="115"/>
      <c r="F222" s="115"/>
      <c r="G222" s="115"/>
      <c r="H222" s="115"/>
      <c r="I222" s="115"/>
      <c r="J222" s="41"/>
    </row>
    <row r="223" spans="1:10" ht="20.100000000000001" customHeight="1" x14ac:dyDescent="0.25">
      <c r="A223" s="115"/>
      <c r="B223" s="115"/>
      <c r="C223" s="115"/>
      <c r="D223" s="115"/>
      <c r="E223" s="115"/>
      <c r="F223" s="115"/>
      <c r="G223" s="115"/>
      <c r="H223" s="115"/>
      <c r="I223" s="115"/>
      <c r="J223" s="41"/>
    </row>
    <row r="224" spans="1:10" ht="20.100000000000001" customHeight="1" x14ac:dyDescent="0.25">
      <c r="A224" s="115"/>
      <c r="B224" s="115"/>
      <c r="C224" s="115"/>
      <c r="D224" s="115"/>
      <c r="E224" s="115"/>
      <c r="F224" s="115"/>
      <c r="G224" s="115"/>
      <c r="H224" s="115"/>
      <c r="I224" s="115"/>
      <c r="J224" s="41"/>
    </row>
    <row r="225" spans="1:13" ht="20.100000000000001" customHeight="1" x14ac:dyDescent="0.25">
      <c r="A225" s="115"/>
      <c r="B225" s="115"/>
      <c r="C225" s="115"/>
      <c r="D225" s="115"/>
      <c r="E225" s="115"/>
      <c r="F225" s="115"/>
      <c r="G225" s="115"/>
      <c r="H225" s="115"/>
      <c r="I225" s="115"/>
      <c r="J225" s="41"/>
    </row>
    <row r="227" spans="1:13" ht="39.950000000000003" customHeight="1" x14ac:dyDescent="0.25">
      <c r="A227" s="190" t="str">
        <f t="shared" ref="A227:A239" si="67">A10</f>
        <v>Item</v>
      </c>
      <c r="B227" s="190" t="str">
        <f>F181</f>
        <v>Resíduo padronizado</v>
      </c>
      <c r="L227" s="140">
        <v>2</v>
      </c>
      <c r="M227" s="140">
        <f t="shared" ref="M227:M237" si="68">L227*(-1)</f>
        <v>-2</v>
      </c>
    </row>
    <row r="228" spans="1:13" ht="20.100000000000001" customHeight="1" x14ac:dyDescent="0.25">
      <c r="A228" s="111">
        <f t="shared" si="67"/>
        <v>1</v>
      </c>
      <c r="B228" s="112">
        <f>F182</f>
        <v>-0.57410567741475804</v>
      </c>
      <c r="L228" s="140">
        <v>2</v>
      </c>
      <c r="M228" s="140">
        <f t="shared" si="68"/>
        <v>-2</v>
      </c>
    </row>
    <row r="229" spans="1:13" ht="20.100000000000001" customHeight="1" x14ac:dyDescent="0.25">
      <c r="A229" s="113">
        <f t="shared" si="67"/>
        <v>2</v>
      </c>
      <c r="B229" s="112">
        <f t="shared" ref="B229:B239" si="69">F183</f>
        <v>0.89447149097666478</v>
      </c>
      <c r="L229" s="140">
        <v>2</v>
      </c>
      <c r="M229" s="140">
        <f t="shared" si="68"/>
        <v>-2</v>
      </c>
    </row>
    <row r="230" spans="1:13" ht="20.100000000000001" customHeight="1" x14ac:dyDescent="0.25">
      <c r="A230" s="113">
        <f t="shared" si="67"/>
        <v>3</v>
      </c>
      <c r="B230" s="112">
        <f t="shared" si="69"/>
        <v>-0.88883184967270412</v>
      </c>
      <c r="L230" s="140">
        <v>2</v>
      </c>
      <c r="M230" s="140">
        <f t="shared" si="68"/>
        <v>-2</v>
      </c>
    </row>
    <row r="231" spans="1:13" ht="20.100000000000001" customHeight="1" x14ac:dyDescent="0.25">
      <c r="A231" s="113">
        <f t="shared" si="67"/>
        <v>4</v>
      </c>
      <c r="B231" s="112">
        <f t="shared" si="69"/>
        <v>0.56846603582618149</v>
      </c>
      <c r="L231" s="140">
        <v>2</v>
      </c>
      <c r="M231" s="140">
        <f t="shared" si="68"/>
        <v>-2</v>
      </c>
    </row>
    <row r="232" spans="1:13" ht="20.100000000000001" customHeight="1" x14ac:dyDescent="0.25">
      <c r="A232" s="113">
        <f t="shared" si="67"/>
        <v>5</v>
      </c>
      <c r="B232" s="112">
        <f t="shared" si="69"/>
        <v>1.670138857149579</v>
      </c>
      <c r="L232" s="140">
        <v>2</v>
      </c>
      <c r="M232" s="140">
        <f t="shared" si="68"/>
        <v>-2</v>
      </c>
    </row>
    <row r="233" spans="1:13" ht="20.100000000000001" customHeight="1" x14ac:dyDescent="0.25">
      <c r="A233" s="113">
        <f t="shared" si="67"/>
        <v>6</v>
      </c>
      <c r="B233" s="112">
        <f t="shared" si="69"/>
        <v>-0.75148035646068523</v>
      </c>
      <c r="L233" s="140">
        <v>2</v>
      </c>
      <c r="M233" s="140">
        <f t="shared" si="68"/>
        <v>-2</v>
      </c>
    </row>
    <row r="234" spans="1:13" ht="20.100000000000001" customHeight="1" x14ac:dyDescent="0.25">
      <c r="A234" s="113">
        <f t="shared" si="67"/>
        <v>7</v>
      </c>
      <c r="B234" s="112">
        <f t="shared" si="69"/>
        <v>-0.88646716825827021</v>
      </c>
      <c r="L234" s="140">
        <v>2</v>
      </c>
      <c r="M234" s="140">
        <f t="shared" si="68"/>
        <v>-2</v>
      </c>
    </row>
    <row r="235" spans="1:13" ht="20.100000000000001" customHeight="1" x14ac:dyDescent="0.25">
      <c r="A235" s="113">
        <f t="shared" si="67"/>
        <v>8</v>
      </c>
      <c r="B235" s="112">
        <f t="shared" si="69"/>
        <v>-4.5853369053507724E-2</v>
      </c>
      <c r="L235" s="140">
        <v>2</v>
      </c>
      <c r="M235" s="140">
        <f t="shared" si="68"/>
        <v>-2</v>
      </c>
    </row>
    <row r="236" spans="1:13" ht="20.100000000000001" customHeight="1" x14ac:dyDescent="0.25">
      <c r="A236" s="113">
        <f t="shared" si="67"/>
        <v>9</v>
      </c>
      <c r="B236" s="112">
        <f t="shared" si="69"/>
        <v>-0.87142812440233808</v>
      </c>
      <c r="L236" s="140">
        <v>2</v>
      </c>
      <c r="M236" s="140">
        <f t="shared" si="68"/>
        <v>-2</v>
      </c>
    </row>
    <row r="237" spans="1:13" ht="20.100000000000001" customHeight="1" x14ac:dyDescent="0.25">
      <c r="A237" s="113">
        <f t="shared" si="67"/>
        <v>10</v>
      </c>
      <c r="B237" s="112">
        <f t="shared" si="69"/>
        <v>0.81355923497136606</v>
      </c>
      <c r="L237" s="162">
        <v>2</v>
      </c>
      <c r="M237" s="140">
        <f t="shared" si="68"/>
        <v>-2</v>
      </c>
    </row>
    <row r="238" spans="1:13" ht="20.100000000000001" customHeight="1" x14ac:dyDescent="0.25">
      <c r="A238" s="113">
        <f t="shared" si="67"/>
        <v>11</v>
      </c>
      <c r="B238" s="112">
        <f t="shared" si="69"/>
        <v>-0.27351652068166515</v>
      </c>
      <c r="L238" s="140">
        <v>2</v>
      </c>
      <c r="M238" s="140">
        <v>-2</v>
      </c>
    </row>
    <row r="239" spans="1:13" ht="20.100000000000001" customHeight="1" x14ac:dyDescent="0.25">
      <c r="A239" s="113">
        <f t="shared" si="67"/>
        <v>12</v>
      </c>
      <c r="B239" s="112">
        <f t="shared" si="69"/>
        <v>0.34504744609493954</v>
      </c>
    </row>
    <row r="247" spans="1:12" ht="20.100000000000001" customHeight="1" x14ac:dyDescent="0.25">
      <c r="A247" s="22" t="s">
        <v>199</v>
      </c>
      <c r="B247" s="22"/>
      <c r="C247" s="22"/>
      <c r="D247" s="22"/>
      <c r="E247" s="22"/>
      <c r="F247" s="22"/>
      <c r="G247" s="187"/>
      <c r="H247" s="187"/>
      <c r="I247" s="187"/>
      <c r="J247" s="187"/>
    </row>
    <row r="249" spans="1:12" ht="39.950000000000003" customHeight="1" x14ac:dyDescent="0.25">
      <c r="A249" s="190" t="str">
        <f t="shared" ref="A249:A261" si="70">A10</f>
        <v>Item</v>
      </c>
      <c r="B249" s="190" t="str">
        <f>F181</f>
        <v>Resíduo padronizado</v>
      </c>
      <c r="C249" s="190" t="s">
        <v>98</v>
      </c>
      <c r="D249" s="190" t="s">
        <v>279</v>
      </c>
      <c r="E249" s="190" t="s">
        <v>82</v>
      </c>
      <c r="H249" s="116"/>
      <c r="I249" s="116"/>
      <c r="J249" s="33" t="s">
        <v>280</v>
      </c>
    </row>
    <row r="250" spans="1:12" ht="20.100000000000001" customHeight="1" x14ac:dyDescent="0.25">
      <c r="A250" s="111">
        <f t="shared" si="70"/>
        <v>1</v>
      </c>
      <c r="B250" s="112">
        <f>F182</f>
        <v>-0.57410567741475804</v>
      </c>
      <c r="C250" s="112">
        <f t="shared" ref="C250:C261" si="71">((D182^2)/($C$97*$D$111))*(E250/((1-E250)^2))</f>
        <v>0.25698278558363713</v>
      </c>
      <c r="D250" s="112">
        <f t="shared" ref="D250:D261" si="72">AL770</f>
        <v>5.3732497848202341</v>
      </c>
      <c r="E250" s="112">
        <f>AL605</f>
        <v>0.57181058649880889</v>
      </c>
      <c r="H250" s="116"/>
      <c r="J250" s="33"/>
      <c r="L250" s="140">
        <v>1</v>
      </c>
    </row>
    <row r="251" spans="1:12" ht="20.100000000000001" customHeight="1" x14ac:dyDescent="0.25">
      <c r="A251" s="113">
        <f t="shared" si="70"/>
        <v>2</v>
      </c>
      <c r="B251" s="112">
        <f t="shared" ref="B251:B261" si="73">F183</f>
        <v>0.89447149097666478</v>
      </c>
      <c r="C251" s="112">
        <f t="shared" si="71"/>
        <v>0.1540980212446503</v>
      </c>
      <c r="D251" s="112">
        <f t="shared" si="72"/>
        <v>2.7993144061556956</v>
      </c>
      <c r="E251" s="112">
        <f>AM606</f>
        <v>0.33781646116567177</v>
      </c>
      <c r="H251" s="116"/>
      <c r="J251" s="33"/>
      <c r="L251" s="140">
        <v>1</v>
      </c>
    </row>
    <row r="252" spans="1:12" ht="20.100000000000001" customHeight="1" x14ac:dyDescent="0.25">
      <c r="A252" s="113">
        <f t="shared" si="70"/>
        <v>3</v>
      </c>
      <c r="B252" s="112">
        <f t="shared" si="73"/>
        <v>-0.88883184967270412</v>
      </c>
      <c r="C252" s="112">
        <f t="shared" si="71"/>
        <v>0.2383762210490698</v>
      </c>
      <c r="D252" s="112">
        <f t="shared" si="72"/>
        <v>3.6394131555205265</v>
      </c>
      <c r="E252" s="112">
        <f>AN607</f>
        <v>0.41418907474429134</v>
      </c>
      <c r="H252" s="116"/>
      <c r="J252" s="33"/>
      <c r="L252" s="140">
        <v>1</v>
      </c>
    </row>
    <row r="253" spans="1:12" ht="20.100000000000001" customHeight="1" x14ac:dyDescent="0.25">
      <c r="A253" s="113">
        <f t="shared" si="70"/>
        <v>4</v>
      </c>
      <c r="B253" s="112">
        <f t="shared" si="73"/>
        <v>0.56846603582618149</v>
      </c>
      <c r="C253" s="112">
        <f t="shared" si="71"/>
        <v>0.12633690913949633</v>
      </c>
      <c r="D253" s="112">
        <f t="shared" si="72"/>
        <v>4.127000523690513</v>
      </c>
      <c r="E253" s="112">
        <f>AO608</f>
        <v>0.45851519912337979</v>
      </c>
      <c r="H253" s="116"/>
      <c r="J253" s="33"/>
      <c r="L253" s="140">
        <v>1</v>
      </c>
    </row>
    <row r="254" spans="1:12" ht="20.100000000000001" customHeight="1" x14ac:dyDescent="0.25">
      <c r="A254" s="113">
        <f t="shared" si="70"/>
        <v>5</v>
      </c>
      <c r="B254" s="112">
        <f t="shared" si="73"/>
        <v>1.670138857149579</v>
      </c>
      <c r="C254" s="112">
        <f t="shared" si="71"/>
        <v>0.35756010508787672</v>
      </c>
      <c r="D254" s="112">
        <f t="shared" si="72"/>
        <v>2.0737474204353377</v>
      </c>
      <c r="E254" s="112">
        <f>AP609</f>
        <v>0.27185582610018522</v>
      </c>
      <c r="H254" s="116"/>
      <c r="J254" s="33"/>
      <c r="L254" s="140">
        <v>1</v>
      </c>
    </row>
    <row r="255" spans="1:12" ht="20.100000000000001" customHeight="1" x14ac:dyDescent="0.25">
      <c r="A255" s="113">
        <f t="shared" si="70"/>
        <v>6</v>
      </c>
      <c r="B255" s="112">
        <f t="shared" si="73"/>
        <v>-0.75148035646068523</v>
      </c>
      <c r="C255" s="112">
        <f t="shared" si="71"/>
        <v>9.053407872660045E-2</v>
      </c>
      <c r="D255" s="112">
        <f t="shared" si="72"/>
        <v>2.4659622337906555</v>
      </c>
      <c r="E255" s="112">
        <f>AQ610</f>
        <v>0.30751171822339474</v>
      </c>
      <c r="H255" s="116"/>
      <c r="J255" s="33"/>
      <c r="L255" s="140">
        <v>1</v>
      </c>
    </row>
    <row r="256" spans="1:12" ht="20.100000000000001" customHeight="1" x14ac:dyDescent="0.25">
      <c r="A256" s="113">
        <f t="shared" si="70"/>
        <v>7</v>
      </c>
      <c r="B256" s="112">
        <f t="shared" si="73"/>
        <v>-0.88646716825827021</v>
      </c>
      <c r="C256" s="112">
        <f t="shared" si="71"/>
        <v>4.427860868898538E-2</v>
      </c>
      <c r="D256" s="112">
        <f t="shared" si="72"/>
        <v>0.83561860293888979</v>
      </c>
      <c r="E256" s="112">
        <f>AR611</f>
        <v>0.15929866087323474</v>
      </c>
      <c r="H256" s="116"/>
      <c r="J256" s="33"/>
      <c r="L256" s="140">
        <v>1</v>
      </c>
    </row>
    <row r="257" spans="1:12" ht="20.100000000000001" customHeight="1" x14ac:dyDescent="0.25">
      <c r="A257" s="113">
        <f t="shared" si="70"/>
        <v>8</v>
      </c>
      <c r="B257" s="112">
        <f t="shared" si="73"/>
        <v>-4.5853369053507724E-2</v>
      </c>
      <c r="C257" s="112">
        <f t="shared" si="71"/>
        <v>1.9409297404352697E-4</v>
      </c>
      <c r="D257" s="112">
        <f t="shared" si="72"/>
        <v>1.5358470478027477</v>
      </c>
      <c r="E257" s="112">
        <f>AS612</f>
        <v>0.22295579222449113</v>
      </c>
      <c r="H257" s="116"/>
      <c r="J257" s="33"/>
      <c r="L257" s="140">
        <v>1</v>
      </c>
    </row>
    <row r="258" spans="1:12" ht="20.100000000000001" customHeight="1" x14ac:dyDescent="0.25">
      <c r="A258" s="113">
        <f t="shared" si="70"/>
        <v>9</v>
      </c>
      <c r="B258" s="112">
        <f t="shared" si="73"/>
        <v>-0.87142812440233808</v>
      </c>
      <c r="C258" s="112">
        <f t="shared" si="71"/>
        <v>6.730591041622995E-2</v>
      </c>
      <c r="D258" s="112">
        <f t="shared" si="72"/>
        <v>1.4728583564068267</v>
      </c>
      <c r="E258" s="112">
        <f>AT613</f>
        <v>0.21722954755213869</v>
      </c>
      <c r="H258" s="116"/>
      <c r="J258" s="33"/>
      <c r="L258" s="140">
        <v>1</v>
      </c>
    </row>
    <row r="259" spans="1:12" ht="20.100000000000001" customHeight="1" x14ac:dyDescent="0.25">
      <c r="A259" s="113">
        <f t="shared" si="70"/>
        <v>10</v>
      </c>
      <c r="B259" s="112">
        <f t="shared" si="73"/>
        <v>0.81355923497136606</v>
      </c>
      <c r="C259" s="112">
        <f t="shared" si="71"/>
        <v>2.9647216893305975E-2</v>
      </c>
      <c r="D259" s="112">
        <f t="shared" si="72"/>
        <v>0.56043703961036107</v>
      </c>
      <c r="E259" s="112">
        <f>AU614</f>
        <v>0.13428215511609398</v>
      </c>
      <c r="H259" s="116"/>
      <c r="J259" s="117"/>
      <c r="L259" s="140">
        <v>1</v>
      </c>
    </row>
    <row r="260" spans="1:12" ht="20.100000000000001" customHeight="1" x14ac:dyDescent="0.25">
      <c r="A260" s="113">
        <f t="shared" si="70"/>
        <v>11</v>
      </c>
      <c r="B260" s="112">
        <f t="shared" si="73"/>
        <v>-0.27351652068166515</v>
      </c>
      <c r="C260" s="112">
        <f t="shared" si="71"/>
        <v>3.6404077939457116E-2</v>
      </c>
      <c r="D260" s="112">
        <f t="shared" si="72"/>
        <v>4.5335013291023296</v>
      </c>
      <c r="E260" s="112">
        <f>AV615</f>
        <v>0.49546981779718458</v>
      </c>
      <c r="H260" s="116"/>
      <c r="J260" s="117"/>
      <c r="L260" s="140">
        <v>1</v>
      </c>
    </row>
    <row r="261" spans="1:12" ht="20.100000000000001" customHeight="1" x14ac:dyDescent="0.25">
      <c r="A261" s="113">
        <f t="shared" si="70"/>
        <v>12</v>
      </c>
      <c r="B261" s="112">
        <f t="shared" si="73"/>
        <v>0.34504744609493954</v>
      </c>
      <c r="C261" s="112">
        <f t="shared" si="71"/>
        <v>3.4866708088211212E-2</v>
      </c>
      <c r="D261" s="112">
        <f t="shared" si="72"/>
        <v>3.5830500997258827</v>
      </c>
      <c r="E261" s="112">
        <f>AW616</f>
        <v>0.40906516058114506</v>
      </c>
      <c r="J261" s="116"/>
      <c r="L261" s="140">
        <v>1</v>
      </c>
    </row>
    <row r="262" spans="1:12" ht="20.100000000000001" customHeight="1" x14ac:dyDescent="0.25">
      <c r="G262" s="116"/>
    </row>
    <row r="263" spans="1:12" ht="20.100000000000001" customHeight="1" x14ac:dyDescent="0.25">
      <c r="G263" s="116"/>
    </row>
    <row r="264" spans="1:12" ht="20.100000000000001" customHeight="1" x14ac:dyDescent="0.25">
      <c r="G264" s="116"/>
    </row>
    <row r="265" spans="1:12" ht="20.100000000000001" customHeight="1" x14ac:dyDescent="0.25">
      <c r="G265" s="116"/>
    </row>
    <row r="266" spans="1:12" ht="20.100000000000001" customHeight="1" x14ac:dyDescent="0.25">
      <c r="G266" s="116"/>
    </row>
    <row r="267" spans="1:12" ht="20.100000000000001" customHeight="1" x14ac:dyDescent="0.25">
      <c r="G267" s="116"/>
    </row>
    <row r="268" spans="1:12" ht="20.100000000000001" customHeight="1" x14ac:dyDescent="0.25">
      <c r="G268" s="116"/>
    </row>
    <row r="269" spans="1:12" ht="20.100000000000001" customHeight="1" x14ac:dyDescent="0.25">
      <c r="G269" s="116"/>
    </row>
    <row r="270" spans="1:12" ht="20.100000000000001" customHeight="1" x14ac:dyDescent="0.25">
      <c r="G270" s="116"/>
    </row>
    <row r="271" spans="1:12" ht="20.100000000000001" customHeight="1" x14ac:dyDescent="0.25">
      <c r="G271" s="116"/>
    </row>
    <row r="272" spans="1:12" ht="20.100000000000001" customHeight="1" x14ac:dyDescent="0.25">
      <c r="G272" s="116"/>
    </row>
    <row r="273" spans="7:7" ht="20.100000000000001" customHeight="1" x14ac:dyDescent="0.25">
      <c r="G273" s="116"/>
    </row>
    <row r="274" spans="7:7" ht="20.100000000000001" customHeight="1" x14ac:dyDescent="0.25">
      <c r="G274" s="116"/>
    </row>
    <row r="275" spans="7:7" ht="20.100000000000001" customHeight="1" x14ac:dyDescent="0.25">
      <c r="G275" s="116"/>
    </row>
    <row r="276" spans="7:7" ht="20.100000000000001" customHeight="1" x14ac:dyDescent="0.25">
      <c r="G276" s="116"/>
    </row>
    <row r="277" spans="7:7" ht="20.100000000000001" customHeight="1" x14ac:dyDescent="0.25">
      <c r="G277" s="116"/>
    </row>
    <row r="296" spans="1:10" ht="20.100000000000001" customHeight="1" x14ac:dyDescent="0.25">
      <c r="A296" s="33" t="s">
        <v>264</v>
      </c>
      <c r="B296" s="33"/>
      <c r="C296" s="33"/>
      <c r="D296" s="33"/>
      <c r="E296" s="33"/>
      <c r="F296" s="33"/>
      <c r="G296" s="33"/>
      <c r="H296" s="33"/>
      <c r="I296" s="33"/>
      <c r="J296" s="33"/>
    </row>
    <row r="297" spans="1:10" ht="20.100000000000001" customHeight="1" x14ac:dyDescent="0.25">
      <c r="A297" s="33"/>
      <c r="B297" s="33"/>
      <c r="C297" s="33"/>
      <c r="D297" s="33"/>
      <c r="E297" s="33"/>
      <c r="F297" s="33"/>
      <c r="G297" s="33"/>
      <c r="H297" s="33"/>
      <c r="I297" s="33"/>
      <c r="J297" s="33"/>
    </row>
    <row r="298" spans="1:10" ht="20.100000000000001" customHeight="1" x14ac:dyDescent="0.25">
      <c r="A298" s="104" t="s">
        <v>273</v>
      </c>
      <c r="B298" s="104"/>
      <c r="C298" s="104"/>
      <c r="D298" s="104"/>
      <c r="E298" s="104"/>
      <c r="F298" s="104"/>
      <c r="G298" s="104"/>
      <c r="H298" s="104"/>
      <c r="I298" s="104"/>
    </row>
    <row r="299" spans="1:10" ht="20.100000000000001" customHeight="1" x14ac:dyDescent="0.25">
      <c r="A299" s="104"/>
      <c r="B299" s="104"/>
      <c r="C299" s="104"/>
      <c r="D299" s="104"/>
      <c r="E299" s="104"/>
      <c r="F299" s="104"/>
      <c r="G299" s="104"/>
      <c r="H299" s="104"/>
      <c r="I299" s="104"/>
    </row>
    <row r="301" spans="1:10" ht="20.100000000000001" customHeight="1" x14ac:dyDescent="0.25">
      <c r="A301" s="22" t="s">
        <v>229</v>
      </c>
      <c r="B301" s="22"/>
      <c r="C301" s="22"/>
      <c r="D301" s="22"/>
      <c r="E301" s="22"/>
      <c r="F301" s="22"/>
      <c r="G301" s="187"/>
      <c r="H301" s="187"/>
      <c r="I301" s="187"/>
      <c r="J301" s="187"/>
    </row>
    <row r="303" spans="1:10" ht="39.950000000000003" customHeight="1" x14ac:dyDescent="0.25">
      <c r="A303" s="190" t="str">
        <f>A10</f>
        <v>Item</v>
      </c>
      <c r="B303" s="190" t="str">
        <f>F181</f>
        <v>Resíduo padronizado</v>
      </c>
      <c r="C303" s="190" t="s">
        <v>228</v>
      </c>
      <c r="D303" s="190" t="s">
        <v>95</v>
      </c>
      <c r="E303" s="190" t="s">
        <v>178</v>
      </c>
      <c r="F303" s="190" t="s">
        <v>263</v>
      </c>
      <c r="G303" s="190" t="s">
        <v>107</v>
      </c>
    </row>
    <row r="304" spans="1:10" ht="20.100000000000001" customHeight="1" x14ac:dyDescent="0.25">
      <c r="A304" s="111">
        <f>A11</f>
        <v>1</v>
      </c>
      <c r="B304" s="112">
        <f>F182</f>
        <v>-0.57410567741475804</v>
      </c>
      <c r="C304" s="112">
        <f>AQ833</f>
        <v>-0.56489027924262136</v>
      </c>
      <c r="D304" s="112">
        <f>D182/(($D$111*(1-E250))^(1/2))</f>
        <v>-0.87735201703517951</v>
      </c>
      <c r="E304" s="112">
        <f>AQ835</f>
        <v>-0.86326898582302625</v>
      </c>
      <c r="F304" s="112">
        <f t="shared" ref="F304:F315" si="74">B304*(($B$112/$B$111)^(1/2))</f>
        <v>-0.67319857928757176</v>
      </c>
      <c r="G304" s="94">
        <f>D182/B182</f>
        <v>-2.3827021624886442E-4</v>
      </c>
    </row>
    <row r="305" spans="1:10" ht="20.100000000000001" customHeight="1" x14ac:dyDescent="0.25">
      <c r="A305" s="113">
        <f>A12</f>
        <v>2</v>
      </c>
      <c r="B305" s="112">
        <f>F183</f>
        <v>0.89447149097666478</v>
      </c>
      <c r="C305" s="112">
        <f>AQ856</f>
        <v>0.90808077986450719</v>
      </c>
      <c r="D305" s="112">
        <f>D183/(($D$111*(1-E251))^(1/2))</f>
        <v>1.0992015012319707</v>
      </c>
      <c r="E305" s="112">
        <f>AQ858</f>
        <v>1.1159257355168242</v>
      </c>
      <c r="F305" s="112">
        <f t="shared" si="74"/>
        <v>1.0488607944974273</v>
      </c>
      <c r="G305" s="94">
        <f>D183/B183</f>
        <v>3.5729875400386058E-4</v>
      </c>
    </row>
    <row r="306" spans="1:10" ht="20.100000000000001" customHeight="1" x14ac:dyDescent="0.25">
      <c r="A306" s="113">
        <f>A13</f>
        <v>3</v>
      </c>
      <c r="B306" s="112">
        <f>F184</f>
        <v>-0.88883184967270412</v>
      </c>
      <c r="C306" s="112">
        <f>AQ879</f>
        <v>-0.91182596056919607</v>
      </c>
      <c r="D306" s="112">
        <f>D184/(($D$111*(1-E252))^(1/2))</f>
        <v>-1.1612905043267427</v>
      </c>
      <c r="E306" s="112">
        <f>AQ881</f>
        <v>-1.1913331301050212</v>
      </c>
      <c r="F306" s="112">
        <f t="shared" si="74"/>
        <v>-1.0422477288844652</v>
      </c>
      <c r="G306" s="94">
        <f>D184/B184</f>
        <v>-3.1738959348979155E-4</v>
      </c>
    </row>
    <row r="307" spans="1:10" ht="20.100000000000001" customHeight="1" x14ac:dyDescent="0.25">
      <c r="A307" s="113">
        <f>A14</f>
        <v>4</v>
      </c>
      <c r="B307" s="112">
        <f>F185</f>
        <v>0.56846603582618149</v>
      </c>
      <c r="C307" s="112">
        <f>AQ902</f>
        <v>0.55276884491975564</v>
      </c>
      <c r="D307" s="112">
        <f>D185/(($D$111*(1-E253))^(1/2))</f>
        <v>0.77252294350589024</v>
      </c>
      <c r="E307" s="112">
        <f>AQ904</f>
        <v>0.75119107957811471</v>
      </c>
      <c r="F307" s="112">
        <f t="shared" si="74"/>
        <v>0.66658551334086802</v>
      </c>
      <c r="G307" s="94">
        <f>D185/B185</f>
        <v>2.0017506446245187E-4</v>
      </c>
    </row>
    <row r="308" spans="1:10" ht="20.100000000000001" customHeight="1" x14ac:dyDescent="0.25">
      <c r="A308" s="113">
        <f>A15</f>
        <v>5</v>
      </c>
      <c r="B308" s="112">
        <f>F186</f>
        <v>1.670138857149579</v>
      </c>
      <c r="C308" s="112">
        <f>AQ925</f>
        <v>2.1640857047227757</v>
      </c>
      <c r="D308" s="112">
        <f>D186/(($D$111*(1-E254))^(1/2))</f>
        <v>1.9572391349847555</v>
      </c>
      <c r="E308" s="112">
        <f>AQ927</f>
        <v>2.5360964536645914</v>
      </c>
      <c r="F308" s="112">
        <f t="shared" si="74"/>
        <v>1.9584114041669693</v>
      </c>
      <c r="G308" s="94">
        <f>D186/B186</f>
        <v>5.8313058121162718E-4</v>
      </c>
    </row>
    <row r="309" spans="1:10" ht="20.100000000000001" customHeight="1" x14ac:dyDescent="0.25">
      <c r="A309" s="113">
        <f>A16</f>
        <v>6</v>
      </c>
      <c r="B309" s="112">
        <f>F187</f>
        <v>-0.75148035646068523</v>
      </c>
      <c r="C309" s="112">
        <f>AQ947</f>
        <v>-0.74176837615608338</v>
      </c>
      <c r="D309" s="112">
        <f>D187/(($D$111*(1-E255))^(1/2))</f>
        <v>-0.9030492127368942</v>
      </c>
      <c r="E309" s="112">
        <f>AQ949</f>
        <v>-0.89137838715537976</v>
      </c>
      <c r="F309" s="112">
        <f t="shared" si="74"/>
        <v>-0.88118882678523169</v>
      </c>
      <c r="G309" s="94">
        <f>D187/B187</f>
        <v>-2.6127416365081526E-4</v>
      </c>
    </row>
    <row r="310" spans="1:10" ht="20.100000000000001" customHeight="1" x14ac:dyDescent="0.25">
      <c r="A310" s="113">
        <f>A17</f>
        <v>7</v>
      </c>
      <c r="B310" s="112">
        <f>F188</f>
        <v>-0.88646716825827021</v>
      </c>
      <c r="C310" s="112">
        <f>AQ970</f>
        <v>-0.88236265997235375</v>
      </c>
      <c r="D310" s="112">
        <f>D188/(($D$111*(1-E256))^(1/2))</f>
        <v>-0.96681145156531756</v>
      </c>
      <c r="E310" s="112">
        <f>AQ972</f>
        <v>-0.96233493426613137</v>
      </c>
      <c r="F310" s="112">
        <f t="shared" si="74"/>
        <v>-1.0394748941411596</v>
      </c>
      <c r="G310" s="94">
        <f>D188/B188</f>
        <v>-3.0983873230649382E-4</v>
      </c>
    </row>
    <row r="311" spans="1:10" ht="20.100000000000001" customHeight="1" x14ac:dyDescent="0.25">
      <c r="A311" s="113">
        <f>A18</f>
        <v>8</v>
      </c>
      <c r="B311" s="112">
        <f>F189</f>
        <v>-4.5853369053507724E-2</v>
      </c>
      <c r="C311" s="112">
        <f>AQ993</f>
        <v>-4.2899154671760573E-2</v>
      </c>
      <c r="D311" s="112">
        <f>D189/(($D$111*(1-E257))^(1/2))</f>
        <v>-5.2017369585158381E-2</v>
      </c>
      <c r="E311" s="112">
        <f>AQ995</f>
        <v>-4.86660245367758E-2</v>
      </c>
      <c r="F311" s="112">
        <f t="shared" si="74"/>
        <v>-5.3767841212393142E-2</v>
      </c>
      <c r="G311" s="94">
        <f>D189/B189</f>
        <v>-1.6094905944336339E-5</v>
      </c>
    </row>
    <row r="312" spans="1:10" ht="20.100000000000001" customHeight="1" x14ac:dyDescent="0.25">
      <c r="A312" s="113">
        <f>A19</f>
        <v>9</v>
      </c>
      <c r="B312" s="112">
        <f>F190</f>
        <v>-0.87142812440233808</v>
      </c>
      <c r="C312" s="112">
        <f>AQ1016</f>
        <v>-0.869574631694639</v>
      </c>
      <c r="D312" s="112">
        <f>D190/(($D$111*(1-E258))^(1/2))</f>
        <v>-0.98495039864710299</v>
      </c>
      <c r="E312" s="112">
        <f>AQ1018</f>
        <v>-0.98285544861024265</v>
      </c>
      <c r="F312" s="112">
        <f t="shared" si="74"/>
        <v>-1.0218400520625246</v>
      </c>
      <c r="G312" s="94">
        <f>D190/B190</f>
        <v>-2.9703064674110245E-4</v>
      </c>
    </row>
    <row r="313" spans="1:10" ht="20.100000000000001" customHeight="1" x14ac:dyDescent="0.25">
      <c r="A313" s="113">
        <f>A20</f>
        <v>10</v>
      </c>
      <c r="B313" s="112">
        <f>F191</f>
        <v>0.81355923497136606</v>
      </c>
      <c r="C313" s="112">
        <f>AQ1039</f>
        <v>0.80021229459007859</v>
      </c>
      <c r="D313" s="112">
        <f>D191/(($D$111*(1-E259))^(1/2))</f>
        <v>0.87438156869292982</v>
      </c>
      <c r="E313" s="112">
        <f>AQ1041</f>
        <v>0.86003680046194553</v>
      </c>
      <c r="F313" s="112">
        <f t="shared" si="74"/>
        <v>0.95398276431489704</v>
      </c>
      <c r="G313" s="94">
        <f>D191/B191</f>
        <v>2.778798775227446E-4</v>
      </c>
    </row>
    <row r="314" spans="1:10" ht="20.100000000000001" customHeight="1" x14ac:dyDescent="0.25">
      <c r="A314" s="113">
        <f>A21</f>
        <v>11</v>
      </c>
      <c r="B314" s="112">
        <f>F192</f>
        <v>-0.27351652068166515</v>
      </c>
      <c r="C314" s="112">
        <f>AQ1062</f>
        <v>-0.25825584339115237</v>
      </c>
      <c r="D314" s="112">
        <f>D192/(($D$111*(1-E260))^(1/2))</f>
        <v>-0.38507026811827855</v>
      </c>
      <c r="E314" s="112">
        <f>AQ1064</f>
        <v>-0.36358552167123076</v>
      </c>
      <c r="F314" s="112">
        <f t="shared" si="74"/>
        <v>-0.32072654979433834</v>
      </c>
      <c r="G314" s="94">
        <f>D192/B192</f>
        <v>-8.6775129394800777E-5</v>
      </c>
    </row>
    <row r="315" spans="1:10" ht="20.100000000000001" customHeight="1" x14ac:dyDescent="0.25">
      <c r="A315" s="113">
        <f>A22</f>
        <v>12</v>
      </c>
      <c r="B315" s="112">
        <f>F193</f>
        <v>0.34504744609493954</v>
      </c>
      <c r="C315" s="112">
        <f>AQ1085</f>
        <v>0.32690499955416863</v>
      </c>
      <c r="D315" s="112">
        <f>D193/(($D$111*(1-E261))^(1/2))</f>
        <v>0.44885805132282625</v>
      </c>
      <c r="E315" s="112">
        <f>AQ1041</f>
        <v>0.86003680046194553</v>
      </c>
      <c r="F315" s="112">
        <f t="shared" si="74"/>
        <v>0.40460399476263242</v>
      </c>
      <c r="G315" s="94">
        <f>D193/B193</f>
        <v>1.0740339213423821E-4</v>
      </c>
    </row>
    <row r="317" spans="1:10" ht="20.100000000000001" customHeight="1" x14ac:dyDescent="0.25">
      <c r="A317" s="104" t="s">
        <v>262</v>
      </c>
      <c r="B317" s="104"/>
      <c r="C317" s="104"/>
      <c r="D317" s="104"/>
      <c r="E317" s="104"/>
      <c r="F317" s="104"/>
      <c r="G317" s="104"/>
      <c r="H317" s="104"/>
      <c r="I317" s="104"/>
    </row>
    <row r="320" spans="1:10" ht="20.100000000000001" customHeight="1" x14ac:dyDescent="0.25">
      <c r="A320" s="22" t="s">
        <v>201</v>
      </c>
      <c r="B320" s="22"/>
      <c r="C320" s="22"/>
      <c r="D320" s="22"/>
      <c r="E320" s="17"/>
      <c r="F320" s="187"/>
      <c r="G320" s="187"/>
      <c r="H320" s="187"/>
      <c r="I320" s="187"/>
      <c r="J320" s="187"/>
    </row>
    <row r="322" spans="1:10" ht="20.100000000000001" customHeight="1" x14ac:dyDescent="0.25">
      <c r="A322" s="33" t="s">
        <v>106</v>
      </c>
      <c r="B322" s="33"/>
      <c r="C322" s="33"/>
      <c r="D322" s="33"/>
      <c r="E322" s="33"/>
      <c r="F322" s="33"/>
      <c r="G322" s="33"/>
      <c r="H322" s="33"/>
      <c r="I322" s="33"/>
      <c r="J322" s="33"/>
    </row>
    <row r="323" spans="1:10" ht="20.100000000000001" customHeight="1" x14ac:dyDescent="0.25">
      <c r="A323" s="33"/>
      <c r="B323" s="33"/>
      <c r="C323" s="33"/>
      <c r="D323" s="33"/>
      <c r="E323" s="33"/>
      <c r="F323" s="33"/>
      <c r="G323" s="33"/>
      <c r="H323" s="33"/>
      <c r="I323" s="33"/>
      <c r="J323" s="33"/>
    </row>
    <row r="324" spans="1:10" ht="20.100000000000001" customHeight="1" x14ac:dyDescent="0.25">
      <c r="A324" s="33"/>
      <c r="B324" s="33"/>
      <c r="C324" s="33"/>
      <c r="D324" s="33"/>
      <c r="E324" s="33"/>
      <c r="F324" s="33"/>
      <c r="G324" s="33"/>
      <c r="H324" s="33"/>
      <c r="I324" s="33"/>
      <c r="J324" s="33"/>
    </row>
    <row r="325" spans="1:10" ht="20.100000000000001" customHeight="1" x14ac:dyDescent="0.25">
      <c r="A325" s="33"/>
      <c r="B325" s="33"/>
      <c r="C325" s="33"/>
      <c r="D325" s="33"/>
      <c r="E325" s="33"/>
      <c r="F325" s="33"/>
      <c r="G325" s="33"/>
      <c r="H325" s="33"/>
      <c r="I325" s="33"/>
      <c r="J325" s="33"/>
    </row>
    <row r="326" spans="1:10" ht="20.100000000000001" customHeight="1" x14ac:dyDescent="0.25">
      <c r="E326" s="34" t="s">
        <v>163</v>
      </c>
    </row>
    <row r="327" spans="1:10" ht="20.100000000000001" customHeight="1" x14ac:dyDescent="0.25">
      <c r="E327" s="34">
        <v>0</v>
      </c>
    </row>
    <row r="328" spans="1:10" ht="20.100000000000001" customHeight="1" x14ac:dyDescent="0.25">
      <c r="E328" s="34">
        <f>I11</f>
        <v>715500</v>
      </c>
      <c r="F328" s="34">
        <f>K11</f>
        <v>715670.48233972606</v>
      </c>
    </row>
    <row r="329" spans="1:10" ht="20.100000000000001" customHeight="1" x14ac:dyDescent="0.25">
      <c r="E329" s="34">
        <f>I12</f>
        <v>743400</v>
      </c>
      <c r="F329" s="34">
        <f>K12</f>
        <v>743134.38410627353</v>
      </c>
    </row>
    <row r="330" spans="1:10" ht="20.100000000000001" customHeight="1" x14ac:dyDescent="0.25">
      <c r="E330" s="34">
        <f>I13</f>
        <v>831600</v>
      </c>
      <c r="F330" s="34">
        <f>K13</f>
        <v>831863.94118594611</v>
      </c>
    </row>
    <row r="331" spans="1:10" ht="20.100000000000001" customHeight="1" x14ac:dyDescent="0.25">
      <c r="E331" s="34">
        <f>I14</f>
        <v>843300</v>
      </c>
      <c r="F331" s="34">
        <f>K14</f>
        <v>843131.19236813881</v>
      </c>
    </row>
    <row r="332" spans="1:10" ht="20.100000000000001" customHeight="1" x14ac:dyDescent="0.25">
      <c r="E332" s="34">
        <f>I15</f>
        <v>850500</v>
      </c>
      <c r="F332" s="34">
        <f>K15</f>
        <v>850004.04744067951</v>
      </c>
    </row>
    <row r="333" spans="1:10" ht="20.100000000000001" customHeight="1" x14ac:dyDescent="0.25">
      <c r="E333" s="34">
        <f>I16</f>
        <v>854100</v>
      </c>
      <c r="F333" s="34">
        <f>K16</f>
        <v>854323.15426317416</v>
      </c>
    </row>
    <row r="334" spans="1:10" ht="20.100000000000001" customHeight="1" x14ac:dyDescent="0.25">
      <c r="E334" s="34">
        <f>I17</f>
        <v>849600</v>
      </c>
      <c r="F334" s="34">
        <f>K17</f>
        <v>849863.2389869676</v>
      </c>
    </row>
    <row r="335" spans="1:10" ht="20.100000000000001" customHeight="1" x14ac:dyDescent="0.25">
      <c r="E335" s="34">
        <f>I18</f>
        <v>846000</v>
      </c>
      <c r="F335" s="34">
        <f>K18</f>
        <v>846013.61629042891</v>
      </c>
    </row>
    <row r="336" spans="1:10" ht="20.100000000000001" customHeight="1" x14ac:dyDescent="0.25">
      <c r="E336" s="34">
        <f>I19</f>
        <v>871200</v>
      </c>
      <c r="F336" s="34">
        <f>K19</f>
        <v>871458.77309944085</v>
      </c>
    </row>
    <row r="337" spans="1:10" ht="20.100000000000001" customHeight="1" x14ac:dyDescent="0.25">
      <c r="E337" s="34">
        <f>I20</f>
        <v>869400</v>
      </c>
      <c r="F337" s="34">
        <f>K20</f>
        <v>869158.41123448173</v>
      </c>
    </row>
    <row r="338" spans="1:10" ht="20.100000000000001" customHeight="1" x14ac:dyDescent="0.25">
      <c r="E338" s="34">
        <f>I21</f>
        <v>936000</v>
      </c>
      <c r="F338" s="34">
        <f>K21</f>
        <v>936081.22152111353</v>
      </c>
    </row>
    <row r="339" spans="1:10" ht="20.100000000000001" customHeight="1" x14ac:dyDescent="0.25">
      <c r="E339" s="34">
        <f>I22</f>
        <v>954000</v>
      </c>
      <c r="F339" s="34">
        <f>K22</f>
        <v>953897.53716390394</v>
      </c>
    </row>
    <row r="340" spans="1:10" ht="20.100000000000001" customHeight="1" x14ac:dyDescent="0.25">
      <c r="E340" s="34">
        <f>MAX(E328:E339)*(1+E342)</f>
        <v>1144800</v>
      </c>
    </row>
    <row r="342" spans="1:10" ht="20.100000000000001" customHeight="1" x14ac:dyDescent="0.25">
      <c r="E342" s="34">
        <v>0.2</v>
      </c>
    </row>
    <row r="349" spans="1:10" ht="20.100000000000001" customHeight="1" x14ac:dyDescent="0.25">
      <c r="A349" s="104" t="s">
        <v>36</v>
      </c>
      <c r="B349" s="104"/>
      <c r="C349" s="104"/>
      <c r="D349" s="104"/>
      <c r="E349" s="104"/>
      <c r="F349" s="104"/>
    </row>
    <row r="352" spans="1:10" ht="20.100000000000001" customHeight="1" x14ac:dyDescent="0.25">
      <c r="A352" s="22" t="s">
        <v>231</v>
      </c>
      <c r="B352" s="22"/>
      <c r="C352" s="22"/>
      <c r="D352" s="22"/>
      <c r="E352" s="17"/>
      <c r="F352" s="17"/>
      <c r="G352" s="187"/>
      <c r="H352" s="187"/>
      <c r="I352" s="187"/>
      <c r="J352" s="187"/>
    </row>
    <row r="354" spans="1:10" ht="20.100000000000001" customHeight="1" x14ac:dyDescent="0.25">
      <c r="A354" s="33" t="s">
        <v>105</v>
      </c>
      <c r="B354" s="33"/>
      <c r="C354" s="33"/>
      <c r="D354" s="33"/>
      <c r="E354" s="33"/>
      <c r="F354" s="33"/>
      <c r="G354" s="33"/>
      <c r="H354" s="33"/>
      <c r="I354" s="33"/>
      <c r="J354" s="32"/>
    </row>
    <row r="375" spans="1:9" ht="20.100000000000001" customHeight="1" x14ac:dyDescent="0.25">
      <c r="A375" s="104" t="s">
        <v>152</v>
      </c>
      <c r="B375" s="104"/>
      <c r="C375" s="104"/>
      <c r="D375" s="104"/>
      <c r="E375" s="104"/>
      <c r="F375" s="104"/>
      <c r="G375" s="104"/>
      <c r="H375" s="104"/>
      <c r="I375" s="104"/>
    </row>
    <row r="376" spans="1:9" ht="20.100000000000001" customHeight="1" x14ac:dyDescent="0.25">
      <c r="A376" s="104" t="s">
        <v>219</v>
      </c>
      <c r="B376" s="104"/>
      <c r="C376" s="104"/>
      <c r="D376" s="104"/>
      <c r="E376" s="104"/>
      <c r="F376" s="104"/>
      <c r="G376" s="104"/>
      <c r="H376" s="104"/>
      <c r="I376" s="104"/>
    </row>
    <row r="378" spans="1:9" ht="20.100000000000001" customHeight="1" x14ac:dyDescent="0.25">
      <c r="A378" s="45" t="s">
        <v>11</v>
      </c>
      <c r="B378" s="94">
        <f>BR614</f>
        <v>0.63569701625643837</v>
      </c>
    </row>
    <row r="379" spans="1:9" ht="20.100000000000001" customHeight="1" x14ac:dyDescent="0.25">
      <c r="A379" s="45" t="s">
        <v>153</v>
      </c>
      <c r="B379" s="94">
        <f>CA600</f>
        <v>0.15268143079157365</v>
      </c>
    </row>
    <row r="381" spans="1:9" ht="20.100000000000001" customHeight="1" x14ac:dyDescent="0.25">
      <c r="A381" s="104" t="s">
        <v>182</v>
      </c>
      <c r="B381" s="104"/>
      <c r="C381" s="104"/>
      <c r="D381" s="104"/>
      <c r="E381" s="104"/>
      <c r="F381" s="104"/>
      <c r="G381" s="104"/>
      <c r="H381" s="104"/>
      <c r="I381" s="104"/>
    </row>
    <row r="382" spans="1:9" ht="20.100000000000001" customHeight="1" x14ac:dyDescent="0.25">
      <c r="A382" s="104" t="s">
        <v>154</v>
      </c>
      <c r="B382" s="104"/>
      <c r="C382" s="104"/>
      <c r="D382" s="104"/>
      <c r="E382" s="104"/>
      <c r="F382" s="104"/>
      <c r="G382" s="104"/>
      <c r="H382" s="104"/>
      <c r="I382" s="104"/>
    </row>
    <row r="385" spans="1:10" ht="20.100000000000001" customHeight="1" x14ac:dyDescent="0.25">
      <c r="A385" s="22" t="s">
        <v>202</v>
      </c>
      <c r="B385" s="22"/>
      <c r="C385" s="22"/>
      <c r="D385" s="22"/>
      <c r="E385" s="17"/>
      <c r="F385" s="17"/>
      <c r="G385" s="187"/>
      <c r="H385" s="187"/>
      <c r="I385" s="187"/>
      <c r="J385" s="187"/>
    </row>
    <row r="387" spans="1:10" ht="20.100000000000001" customHeight="1" x14ac:dyDescent="0.25">
      <c r="A387" s="33" t="s">
        <v>186</v>
      </c>
      <c r="B387" s="33"/>
      <c r="C387" s="33"/>
      <c r="D387" s="33"/>
      <c r="E387" s="33"/>
      <c r="F387" s="33"/>
      <c r="G387" s="33"/>
      <c r="H387" s="33"/>
      <c r="I387" s="33"/>
      <c r="J387" s="32"/>
    </row>
    <row r="388" spans="1:10" ht="20.100000000000001" customHeight="1" x14ac:dyDescent="0.25">
      <c r="A388" s="33"/>
      <c r="B388" s="33"/>
      <c r="C388" s="33"/>
      <c r="D388" s="33"/>
      <c r="E388" s="33"/>
      <c r="F388" s="33"/>
      <c r="G388" s="33"/>
      <c r="H388" s="33"/>
      <c r="I388" s="33"/>
      <c r="J388" s="32"/>
    </row>
    <row r="389" spans="1:10" ht="20.100000000000001" customHeight="1" x14ac:dyDescent="0.25">
      <c r="A389" s="33"/>
      <c r="B389" s="33"/>
      <c r="C389" s="33"/>
      <c r="D389" s="33"/>
      <c r="E389" s="33"/>
      <c r="F389" s="33"/>
      <c r="G389" s="33"/>
      <c r="H389" s="33"/>
      <c r="I389" s="33"/>
      <c r="J389" s="32"/>
    </row>
    <row r="410" spans="1:9" ht="20.100000000000001" customHeight="1" x14ac:dyDescent="0.25">
      <c r="A410" s="104" t="s">
        <v>250</v>
      </c>
      <c r="B410" s="104"/>
      <c r="I410" s="41" t="s">
        <v>256</v>
      </c>
    </row>
    <row r="411" spans="1:9" ht="20.100000000000001" customHeight="1" x14ac:dyDescent="0.25">
      <c r="I411" s="41"/>
    </row>
    <row r="412" spans="1:9" ht="20.100000000000001" customHeight="1" x14ac:dyDescent="0.25">
      <c r="A412" s="45" t="s">
        <v>157</v>
      </c>
      <c r="B412" s="98">
        <f>BR706</f>
        <v>2.543561701069319</v>
      </c>
      <c r="I412" s="118" t="s">
        <v>257</v>
      </c>
    </row>
    <row r="413" spans="1:9" ht="20.100000000000001" customHeight="1" x14ac:dyDescent="0.25">
      <c r="B413" s="49"/>
      <c r="I413" s="118" t="s">
        <v>258</v>
      </c>
    </row>
    <row r="414" spans="1:9" ht="20.100000000000001" customHeight="1" x14ac:dyDescent="0.25">
      <c r="A414" s="88" t="s">
        <v>251</v>
      </c>
      <c r="B414" s="119">
        <v>0.97099999999999997</v>
      </c>
      <c r="I414" s="118" t="s">
        <v>259</v>
      </c>
    </row>
    <row r="415" spans="1:9" ht="20.100000000000001" customHeight="1" x14ac:dyDescent="0.25">
      <c r="A415" s="88" t="s">
        <v>252</v>
      </c>
      <c r="B415" s="119">
        <v>1.331</v>
      </c>
      <c r="I415" s="118" t="s">
        <v>258</v>
      </c>
    </row>
    <row r="416" spans="1:9" ht="20.100000000000001" customHeight="1" x14ac:dyDescent="0.25">
      <c r="A416" s="88" t="s">
        <v>253</v>
      </c>
      <c r="B416" s="119">
        <f>4-B415</f>
        <v>2.669</v>
      </c>
      <c r="I416" s="118" t="s">
        <v>260</v>
      </c>
    </row>
    <row r="417" spans="1:2" ht="20.100000000000001" customHeight="1" x14ac:dyDescent="0.25">
      <c r="A417" s="88" t="s">
        <v>254</v>
      </c>
      <c r="B417" s="119">
        <f>4-B414</f>
        <v>3.0289999999999999</v>
      </c>
    </row>
    <row r="418" spans="1:2" ht="20.100000000000001" customHeight="1" x14ac:dyDescent="0.25">
      <c r="A418" s="120"/>
      <c r="B418" s="41"/>
    </row>
    <row r="419" spans="1:2" ht="20.100000000000001" customHeight="1" x14ac:dyDescent="0.25">
      <c r="A419" s="119" t="s">
        <v>255</v>
      </c>
      <c r="B419" s="121" t="str" cm="1">
        <f t="array" ref="B419">_xlfn.IFS(B412&lt;B414,I412,AND(B412&gt;=B414,B412&lt;B415),I413,AND(B412&gt;=B415,B412&lt;=B416),I414,AND(B412&gt;B416,B412&lt;=B417),I415,B412&gt;B417,I416)</f>
        <v>não existe autocorrelação</v>
      </c>
    </row>
    <row r="420" spans="1:2" ht="20.100000000000001" customHeight="1" x14ac:dyDescent="0.25">
      <c r="B420" s="49"/>
    </row>
    <row r="421" spans="1:2" ht="20.100000000000001" customHeight="1" x14ac:dyDescent="0.25">
      <c r="B421" s="49"/>
    </row>
    <row r="422" spans="1:2" ht="20.100000000000001" customHeight="1" x14ac:dyDescent="0.25">
      <c r="B422" s="49"/>
    </row>
    <row r="423" spans="1:2" ht="20.100000000000001" customHeight="1" x14ac:dyDescent="0.25">
      <c r="B423" s="49"/>
    </row>
    <row r="424" spans="1:2" ht="20.100000000000001" customHeight="1" x14ac:dyDescent="0.25">
      <c r="B424" s="49"/>
    </row>
    <row r="425" spans="1:2" ht="20.100000000000001" customHeight="1" x14ac:dyDescent="0.25">
      <c r="B425" s="49"/>
    </row>
    <row r="426" spans="1:2" ht="20.100000000000001" customHeight="1" x14ac:dyDescent="0.25">
      <c r="B426" s="49"/>
    </row>
    <row r="427" spans="1:2" ht="20.100000000000001" customHeight="1" x14ac:dyDescent="0.25">
      <c r="B427" s="49"/>
    </row>
    <row r="428" spans="1:2" ht="20.100000000000001" customHeight="1" x14ac:dyDescent="0.25">
      <c r="B428" s="49"/>
    </row>
    <row r="429" spans="1:2" ht="20.100000000000001" customHeight="1" x14ac:dyDescent="0.25">
      <c r="B429" s="49"/>
    </row>
    <row r="430" spans="1:2" ht="20.100000000000001" customHeight="1" x14ac:dyDescent="0.25">
      <c r="B430" s="49"/>
    </row>
    <row r="431" spans="1:2" ht="20.100000000000001" customHeight="1" x14ac:dyDescent="0.25">
      <c r="B431" s="49"/>
    </row>
    <row r="432" spans="1:2" ht="20.100000000000001" customHeight="1" x14ac:dyDescent="0.25">
      <c r="B432" s="49"/>
    </row>
    <row r="433" spans="1:10" ht="20.100000000000001" customHeight="1" x14ac:dyDescent="0.25">
      <c r="B433" s="49"/>
    </row>
    <row r="434" spans="1:10" ht="20.100000000000001" customHeight="1" x14ac:dyDescent="0.25">
      <c r="A434" s="33" t="s">
        <v>167</v>
      </c>
      <c r="B434" s="33"/>
      <c r="C434" s="33"/>
      <c r="D434" s="33"/>
      <c r="E434" s="33"/>
      <c r="F434" s="33"/>
      <c r="G434" s="33"/>
      <c r="H434" s="33"/>
      <c r="I434" s="33"/>
      <c r="J434" s="32"/>
    </row>
    <row r="435" spans="1:10" ht="20.100000000000001" customHeight="1" x14ac:dyDescent="0.25">
      <c r="A435" s="33"/>
      <c r="B435" s="33"/>
      <c r="C435" s="33"/>
      <c r="D435" s="33"/>
      <c r="E435" s="33"/>
      <c r="F435" s="33"/>
      <c r="G435" s="33"/>
      <c r="H435" s="33"/>
      <c r="I435" s="33"/>
      <c r="J435" s="32"/>
    </row>
    <row r="436" spans="1:10" ht="20.100000000000001" customHeight="1" x14ac:dyDescent="0.25">
      <c r="A436" s="33"/>
      <c r="B436" s="33"/>
      <c r="C436" s="33"/>
      <c r="D436" s="33"/>
      <c r="E436" s="33"/>
      <c r="F436" s="33"/>
      <c r="G436" s="33"/>
      <c r="H436" s="33"/>
      <c r="I436" s="33"/>
      <c r="J436" s="32"/>
    </row>
    <row r="439" spans="1:10" ht="20.100000000000001" customHeight="1" x14ac:dyDescent="0.25">
      <c r="A439" s="22" t="s">
        <v>210</v>
      </c>
      <c r="B439" s="22"/>
      <c r="C439" s="22"/>
      <c r="D439" s="22"/>
      <c r="E439" s="17"/>
      <c r="F439" s="187"/>
      <c r="G439" s="187"/>
      <c r="H439" s="187"/>
      <c r="I439" s="187"/>
      <c r="J439" s="187"/>
    </row>
    <row r="441" spans="1:10" ht="20.100000000000001" customHeight="1" x14ac:dyDescent="0.25">
      <c r="A441" s="122" t="s">
        <v>29</v>
      </c>
      <c r="B441" s="122"/>
      <c r="C441" s="122"/>
      <c r="D441" s="122"/>
      <c r="E441" s="122"/>
      <c r="F441" s="70"/>
    </row>
    <row r="442" spans="1:10" ht="20.100000000000001" customHeight="1" x14ac:dyDescent="0.25">
      <c r="A442" s="122" t="s">
        <v>16</v>
      </c>
      <c r="B442" s="122"/>
      <c r="C442" s="122"/>
      <c r="D442" s="122"/>
      <c r="E442" s="122"/>
      <c r="F442" s="70"/>
    </row>
    <row r="443" spans="1:10" ht="20.100000000000001" customHeight="1" x14ac:dyDescent="0.25">
      <c r="A443" s="122" t="s">
        <v>18</v>
      </c>
      <c r="B443" s="122"/>
      <c r="C443" s="122"/>
      <c r="D443" s="122"/>
      <c r="E443" s="122"/>
      <c r="F443" s="70"/>
    </row>
    <row r="445" spans="1:10" ht="20.100000000000001" customHeight="1" x14ac:dyDescent="0.25">
      <c r="B445" s="190" t="str">
        <f>A10</f>
        <v>Item</v>
      </c>
      <c r="C445" s="190" t="str">
        <f>B10</f>
        <v>Área do terreno</v>
      </c>
      <c r="D445" s="190" t="str">
        <f>C10</f>
        <v>Área edificada</v>
      </c>
      <c r="E445" s="190" t="str">
        <f>D10</f>
        <v>Quartos</v>
      </c>
    </row>
    <row r="446" spans="1:10" ht="20.100000000000001" customHeight="1" x14ac:dyDescent="0.25">
      <c r="B446" s="111">
        <f>A11</f>
        <v>1</v>
      </c>
      <c r="C446" s="45">
        <f>B11</f>
        <v>300</v>
      </c>
      <c r="D446" s="45">
        <f>C11</f>
        <v>150</v>
      </c>
      <c r="E446" s="46">
        <f>D11</f>
        <v>3</v>
      </c>
    </row>
    <row r="447" spans="1:10" ht="20.100000000000001" customHeight="1" x14ac:dyDescent="0.25">
      <c r="B447" s="113">
        <f>A12</f>
        <v>2</v>
      </c>
      <c r="C447" s="52">
        <f>B12</f>
        <v>330</v>
      </c>
      <c r="D447" s="52">
        <f>C12</f>
        <v>155</v>
      </c>
      <c r="E447" s="53">
        <f>D12</f>
        <v>3</v>
      </c>
    </row>
    <row r="448" spans="1:10" ht="20.100000000000001" customHeight="1" x14ac:dyDescent="0.25">
      <c r="B448" s="113">
        <f>A13</f>
        <v>3</v>
      </c>
      <c r="C448" s="52">
        <f>B13</f>
        <v>390</v>
      </c>
      <c r="D448" s="52">
        <f>C13</f>
        <v>180</v>
      </c>
      <c r="E448" s="53">
        <f>D13</f>
        <v>3</v>
      </c>
    </row>
    <row r="449" spans="2:5" ht="20.100000000000001" customHeight="1" x14ac:dyDescent="0.25">
      <c r="B449" s="113">
        <f>A14</f>
        <v>4</v>
      </c>
      <c r="C449" s="52">
        <f>B14</f>
        <v>390</v>
      </c>
      <c r="D449" s="52">
        <f>C14</f>
        <v>185</v>
      </c>
      <c r="E449" s="53">
        <f>D14</f>
        <v>3</v>
      </c>
    </row>
    <row r="450" spans="2:5" ht="20.100000000000001" customHeight="1" x14ac:dyDescent="0.25">
      <c r="B450" s="113">
        <f>A15</f>
        <v>5</v>
      </c>
      <c r="C450" s="52">
        <f>B15</f>
        <v>432</v>
      </c>
      <c r="D450" s="52">
        <f>C15</f>
        <v>170</v>
      </c>
      <c r="E450" s="53">
        <f>D15</f>
        <v>4</v>
      </c>
    </row>
    <row r="451" spans="2:5" ht="20.100000000000001" customHeight="1" x14ac:dyDescent="0.25">
      <c r="B451" s="113">
        <f>A16</f>
        <v>6</v>
      </c>
      <c r="C451" s="52">
        <f>B16</f>
        <v>440</v>
      </c>
      <c r="D451" s="52">
        <f>C16</f>
        <v>170</v>
      </c>
      <c r="E451" s="53">
        <f>D16</f>
        <v>4</v>
      </c>
    </row>
    <row r="452" spans="2:5" ht="20.100000000000001" customHeight="1" x14ac:dyDescent="0.25">
      <c r="B452" s="113">
        <f>A17</f>
        <v>7</v>
      </c>
      <c r="C452" s="52">
        <f>B17</f>
        <v>390</v>
      </c>
      <c r="D452" s="52">
        <f>C17</f>
        <v>180</v>
      </c>
      <c r="E452" s="53">
        <f>D17</f>
        <v>4</v>
      </c>
    </row>
    <row r="453" spans="2:5" ht="20.100000000000001" customHeight="1" x14ac:dyDescent="0.25">
      <c r="B453" s="113">
        <f>A18</f>
        <v>8</v>
      </c>
      <c r="C453" s="52">
        <f>B18</f>
        <v>362</v>
      </c>
      <c r="D453" s="52">
        <f>C18</f>
        <v>185</v>
      </c>
      <c r="E453" s="53">
        <f>D18</f>
        <v>4</v>
      </c>
    </row>
    <row r="454" spans="2:5" ht="20.100000000000001" customHeight="1" x14ac:dyDescent="0.25">
      <c r="B454" s="113">
        <f>A19</f>
        <v>9</v>
      </c>
      <c r="C454" s="52">
        <f>B19</f>
        <v>430</v>
      </c>
      <c r="D454" s="52">
        <f>C19</f>
        <v>180</v>
      </c>
      <c r="E454" s="53">
        <f>D19</f>
        <v>4</v>
      </c>
    </row>
    <row r="455" spans="2:5" ht="20.100000000000001" customHeight="1" x14ac:dyDescent="0.25">
      <c r="B455" s="113">
        <f>A20</f>
        <v>10</v>
      </c>
      <c r="C455" s="52">
        <f>B20</f>
        <v>384</v>
      </c>
      <c r="D455" s="52">
        <f>C20</f>
        <v>190</v>
      </c>
      <c r="E455" s="53">
        <f>D20</f>
        <v>4</v>
      </c>
    </row>
    <row r="456" spans="2:5" ht="20.100000000000001" customHeight="1" x14ac:dyDescent="0.25">
      <c r="B456" s="113">
        <f>A21</f>
        <v>11</v>
      </c>
      <c r="C456" s="52">
        <f>B21</f>
        <v>341</v>
      </c>
      <c r="D456" s="52">
        <f>C21</f>
        <v>230</v>
      </c>
      <c r="E456" s="53">
        <f>D21</f>
        <v>4</v>
      </c>
    </row>
    <row r="457" spans="2:5" ht="20.100000000000001" customHeight="1" x14ac:dyDescent="0.25">
      <c r="B457" s="113">
        <f>A22</f>
        <v>12</v>
      </c>
      <c r="C457" s="52">
        <f>B22</f>
        <v>374</v>
      </c>
      <c r="D457" s="52">
        <f>C22</f>
        <v>230</v>
      </c>
      <c r="E457" s="53">
        <f>D22</f>
        <v>4</v>
      </c>
    </row>
    <row r="458" spans="2:5" ht="20.100000000000001" customHeight="1" x14ac:dyDescent="0.25">
      <c r="D458" s="35"/>
      <c r="E458" s="35"/>
    </row>
    <row r="459" spans="2:5" ht="20.100000000000001" customHeight="1" x14ac:dyDescent="0.25">
      <c r="B459" s="34" t="s">
        <v>56</v>
      </c>
      <c r="C459" s="34">
        <f>MIN(C446:C457)</f>
        <v>300</v>
      </c>
      <c r="D459" s="34">
        <f>MIN(D446:D457)</f>
        <v>150</v>
      </c>
      <c r="E459" s="35">
        <f>MIN(E446:E457)</f>
        <v>3</v>
      </c>
    </row>
    <row r="460" spans="2:5" ht="20.100000000000001" customHeight="1" x14ac:dyDescent="0.25">
      <c r="B460" s="52" t="s">
        <v>57</v>
      </c>
      <c r="C460" s="52">
        <f>MAX(C446:C457)</f>
        <v>440</v>
      </c>
      <c r="D460" s="52">
        <f>MAX(D446:D457)</f>
        <v>230</v>
      </c>
      <c r="E460" s="53">
        <f>MAX(E446:E457)</f>
        <v>4</v>
      </c>
    </row>
    <row r="463" spans="2:5" ht="20.100000000000001" customHeight="1" x14ac:dyDescent="0.25">
      <c r="B463" s="114" t="s">
        <v>277</v>
      </c>
      <c r="C463" s="114"/>
      <c r="D463" s="114"/>
      <c r="E463" s="114"/>
    </row>
    <row r="465" spans="1:23" ht="20.100000000000001" customHeight="1" x14ac:dyDescent="0.25">
      <c r="B465" s="34" t="s">
        <v>19</v>
      </c>
      <c r="C465" s="34">
        <f>C459*0.5</f>
        <v>150</v>
      </c>
      <c r="D465" s="34">
        <f>D459</f>
        <v>150</v>
      </c>
      <c r="E465" s="35">
        <f>E459</f>
        <v>3</v>
      </c>
    </row>
    <row r="466" spans="1:23" ht="20.100000000000001" customHeight="1" x14ac:dyDescent="0.25">
      <c r="B466" s="52" t="s">
        <v>20</v>
      </c>
      <c r="C466" s="52">
        <f>C460*2</f>
        <v>880</v>
      </c>
      <c r="D466" s="52">
        <f>D460</f>
        <v>230</v>
      </c>
      <c r="E466" s="53">
        <f>E460</f>
        <v>4</v>
      </c>
    </row>
    <row r="469" spans="1:23" ht="20.100000000000001" customHeight="1" x14ac:dyDescent="0.25">
      <c r="B469" s="66" t="s">
        <v>53</v>
      </c>
      <c r="C469" s="103" t="str">
        <f>B10</f>
        <v>Área do terreno</v>
      </c>
      <c r="D469" s="103" t="str">
        <f>C10</f>
        <v>Área edificada</v>
      </c>
      <c r="E469" s="103" t="str">
        <f>D10</f>
        <v>Quartos</v>
      </c>
    </row>
    <row r="470" spans="1:23" ht="20.100000000000001" customHeight="1" x14ac:dyDescent="0.25">
      <c r="B470" s="66" t="s">
        <v>54</v>
      </c>
      <c r="C470" s="52">
        <f>B37</f>
        <v>295</v>
      </c>
      <c r="D470" s="45">
        <f>B38</f>
        <v>158.94999999999999</v>
      </c>
      <c r="E470" s="46">
        <f>B39</f>
        <v>4</v>
      </c>
    </row>
    <row r="471" spans="1:23" ht="20.100000000000001" customHeight="1" x14ac:dyDescent="0.25">
      <c r="B471" s="66" t="s">
        <v>31</v>
      </c>
      <c r="C471" s="66" t="str" cm="1">
        <f t="array" ref="C471">_xlfn.IFS(AND(C470&gt;=C459,C470&lt;=C460),"Não extrapolou",OR(AND(C470&lt;C459,C470&gt;=C465),AND(C470&gt;C460,C470&lt;=C466)),"Extrapolação admissível",OR(C470&lt;C465,C470&gt;C466),"Extrapolação inadmissível")</f>
        <v>Extrapolação admissível</v>
      </c>
      <c r="D471" s="66" t="str">
        <f>IF(OR(D470&lt;D459,D470&gt;D460),"Extrapolou","Não extrapolou")</f>
        <v>Não extrapolou</v>
      </c>
      <c r="E471" s="66" t="str">
        <f>IF(OR(E470&lt;E459,E470&gt;E460),"Extrapolou","Não extrapolou")</f>
        <v>Não extrapolou</v>
      </c>
    </row>
    <row r="473" spans="1:23" ht="20.100000000000001" customHeight="1" x14ac:dyDescent="0.25">
      <c r="F473" s="101"/>
      <c r="W473" s="140" t="s">
        <v>66</v>
      </c>
    </row>
    <row r="474" spans="1:23" ht="20.100000000000001" customHeight="1" x14ac:dyDescent="0.25">
      <c r="A474" s="22" t="s">
        <v>147</v>
      </c>
      <c r="B474" s="22"/>
      <c r="C474" s="22"/>
      <c r="D474" s="22"/>
      <c r="E474" s="17"/>
      <c r="F474" s="189"/>
      <c r="G474" s="187"/>
      <c r="H474" s="187"/>
      <c r="I474" s="187"/>
      <c r="J474" s="187"/>
      <c r="W474" s="140" t="s">
        <v>67</v>
      </c>
    </row>
    <row r="475" spans="1:23" ht="20.100000000000001" customHeight="1" x14ac:dyDescent="0.25">
      <c r="W475" s="140" t="s">
        <v>68</v>
      </c>
    </row>
    <row r="476" spans="1:23" ht="20.100000000000001" customHeight="1" x14ac:dyDescent="0.25">
      <c r="A476" s="45" t="s">
        <v>22</v>
      </c>
      <c r="B476" s="100" t="s">
        <v>54</v>
      </c>
      <c r="C476" s="100" t="s">
        <v>23</v>
      </c>
      <c r="D476" s="45"/>
      <c r="E476" s="100" t="s">
        <v>24</v>
      </c>
      <c r="W476" s="140" t="s">
        <v>69</v>
      </c>
    </row>
    <row r="477" spans="1:23" ht="20.100000000000001" customHeight="1" x14ac:dyDescent="0.25">
      <c r="A477" s="52" t="str">
        <f>B10</f>
        <v>Área do terreno</v>
      </c>
      <c r="B477" s="52">
        <f>B37</f>
        <v>295</v>
      </c>
      <c r="C477" s="52">
        <f>B133</f>
        <v>539.88835281183128</v>
      </c>
      <c r="D477" s="45"/>
      <c r="E477" s="52">
        <f>B477*C477</f>
        <v>159267.06407949023</v>
      </c>
    </row>
    <row r="478" spans="1:23" ht="20.100000000000001" customHeight="1" x14ac:dyDescent="0.25">
      <c r="A478" s="52" t="str">
        <f>C10</f>
        <v>Área edificada</v>
      </c>
      <c r="B478" s="34">
        <f>B38</f>
        <v>158.94999999999999</v>
      </c>
      <c r="C478" s="34">
        <f>B134</f>
        <v>2253.4502364385116</v>
      </c>
      <c r="D478" s="45"/>
      <c r="E478" s="34">
        <f>B478*C478</f>
        <v>358185.91508190142</v>
      </c>
    </row>
    <row r="479" spans="1:23" ht="20.100000000000001" customHeight="1" x14ac:dyDescent="0.25">
      <c r="A479" s="52" t="str">
        <f>D10</f>
        <v>Quartos</v>
      </c>
      <c r="B479" s="53">
        <f>B39</f>
        <v>4</v>
      </c>
      <c r="C479" s="52">
        <f>B135</f>
        <v>17999.297801021487</v>
      </c>
      <c r="D479" s="45"/>
      <c r="E479" s="52">
        <f>B479*C479</f>
        <v>71997.191204085946</v>
      </c>
    </row>
    <row r="481" spans="1:10" ht="20.100000000000001" customHeight="1" x14ac:dyDescent="0.25">
      <c r="C481" s="45" t="s">
        <v>49</v>
      </c>
      <c r="D481" s="45"/>
      <c r="E481" s="45">
        <f>E477+E478+E479</f>
        <v>589450.17036547756</v>
      </c>
    </row>
    <row r="483" spans="1:10" ht="20.100000000000001" customHeight="1" x14ac:dyDescent="0.25">
      <c r="C483" s="45" t="s">
        <v>5</v>
      </c>
      <c r="D483" s="45"/>
      <c r="E483" s="45">
        <f>B132</f>
        <v>161688.54762733541</v>
      </c>
    </row>
    <row r="485" spans="1:10" ht="20.100000000000001" customHeight="1" x14ac:dyDescent="0.25">
      <c r="C485" s="45" t="s">
        <v>21</v>
      </c>
      <c r="D485" s="45"/>
      <c r="E485" s="45">
        <f>E481+E483</f>
        <v>751138.71799281298</v>
      </c>
    </row>
    <row r="488" spans="1:10" ht="20.100000000000001" customHeight="1" x14ac:dyDescent="0.25">
      <c r="A488" s="22" t="s">
        <v>203</v>
      </c>
      <c r="B488" s="22"/>
      <c r="C488" s="22"/>
      <c r="D488" s="22"/>
      <c r="E488" s="17"/>
      <c r="F488" s="187"/>
      <c r="G488" s="187"/>
      <c r="H488" s="187"/>
      <c r="I488" s="187"/>
      <c r="J488" s="187"/>
    </row>
    <row r="490" spans="1:10" ht="20.100000000000001" customHeight="1" x14ac:dyDescent="0.25">
      <c r="A490" s="109" t="s">
        <v>278</v>
      </c>
      <c r="B490" s="109"/>
      <c r="C490" s="103" t="s">
        <v>43</v>
      </c>
      <c r="D490" s="103" t="s">
        <v>44</v>
      </c>
      <c r="E490" s="103" t="s">
        <v>45</v>
      </c>
    </row>
    <row r="491" spans="1:10" ht="20.100000000000001" customHeight="1" x14ac:dyDescent="0.25">
      <c r="A491" s="97" t="s">
        <v>31</v>
      </c>
      <c r="B491" s="97"/>
      <c r="C491" s="123" t="s">
        <v>46</v>
      </c>
      <c r="D491" s="124">
        <v>0.15</v>
      </c>
      <c r="E491" s="124">
        <v>0.2</v>
      </c>
    </row>
    <row r="492" spans="1:10" ht="20.100000000000001" customHeight="1" x14ac:dyDescent="0.25">
      <c r="A492" s="52" t="s">
        <v>47</v>
      </c>
      <c r="B492" s="52">
        <f>MIN(I11:I22)</f>
        <v>715500</v>
      </c>
      <c r="C492" s="52">
        <f>MIN(I11:I22)</f>
        <v>715500</v>
      </c>
      <c r="D492" s="52">
        <f>C492</f>
        <v>715500</v>
      </c>
      <c r="E492" s="52">
        <f>C492</f>
        <v>715500</v>
      </c>
    </row>
    <row r="493" spans="1:10" ht="20.100000000000001" customHeight="1" x14ac:dyDescent="0.25">
      <c r="A493" s="52" t="s">
        <v>48</v>
      </c>
      <c r="B493" s="52">
        <f>MAX(I11:I22)</f>
        <v>954000</v>
      </c>
      <c r="C493" s="52">
        <f>MAX(I11:I22)</f>
        <v>954000</v>
      </c>
      <c r="D493" s="52">
        <f>C493*(1+D491)</f>
        <v>1097100</v>
      </c>
      <c r="E493" s="52">
        <f>C493*(1+E491)</f>
        <v>1144800</v>
      </c>
    </row>
    <row r="495" spans="1:10" ht="20.100000000000001" customHeight="1" x14ac:dyDescent="0.25">
      <c r="A495" s="93" t="s">
        <v>25</v>
      </c>
      <c r="B495" s="93"/>
      <c r="C495" s="103" t="str">
        <f>IF(AND($E$485&gt;C492,$E$485&lt;C493),"Não extrapolou","Extrapolação inadmissível")</f>
        <v>Não extrapolou</v>
      </c>
      <c r="D495" s="103" t="str" cm="1">
        <f t="array" ref="D495">_xlfn.IFS(AND($E$485&gt;=$D$492,$E$485&lt;=$C$493),"Não extrapolou",AND($E$485&gt;=$D$492,AND($E$485&lt;=$D$493,$E$485&gt;$C$493)),"Extrapolação admissível",OR($E$485&lt;$D$492,$E$485&gt;$D$493),"Extrapolação inadmissível")</f>
        <v>Não extrapolou</v>
      </c>
      <c r="E495" s="103" t="str" cm="1">
        <f t="array" ref="E495">_xlfn.IFS(AND($E$485&gt;=$E$492,$E$485&lt;=$C$493),"Não extrapolou",AND($E$485&gt;=$E$492,AND($E$485&lt;=$E$493,$E$485&gt;$C$493)),"Extrapolação admissível",OR($E$485&lt;$E$492,$E$485&gt;$E$493),"Extrapolação inadmissível")</f>
        <v>Não extrapolou</v>
      </c>
    </row>
    <row r="498" spans="1:10" ht="20.100000000000001" customHeight="1" x14ac:dyDescent="0.25">
      <c r="A498" s="22" t="s">
        <v>204</v>
      </c>
      <c r="B498" s="22"/>
      <c r="C498" s="22"/>
      <c r="D498" s="22"/>
      <c r="E498" s="17"/>
      <c r="F498" s="17"/>
      <c r="G498" s="187"/>
      <c r="H498" s="187"/>
      <c r="I498" s="187"/>
      <c r="J498" s="187"/>
    </row>
    <row r="500" spans="1:10" ht="20.100000000000001" customHeight="1" x14ac:dyDescent="0.25">
      <c r="A500" s="125" t="s">
        <v>30</v>
      </c>
      <c r="B500" s="126"/>
      <c r="C500" s="127" t="s">
        <v>32</v>
      </c>
      <c r="D500" s="128"/>
      <c r="E500" s="129"/>
    </row>
    <row r="501" spans="1:10" ht="20.100000000000001" customHeight="1" x14ac:dyDescent="0.25">
      <c r="A501" s="130"/>
      <c r="B501" s="109"/>
      <c r="C501" s="131" t="s">
        <v>33</v>
      </c>
      <c r="D501" s="131" t="s">
        <v>34</v>
      </c>
      <c r="E501" s="131" t="s">
        <v>35</v>
      </c>
    </row>
    <row r="502" spans="1:10" ht="20.100000000000001" customHeight="1" x14ac:dyDescent="0.25">
      <c r="A502" s="132" t="s">
        <v>60</v>
      </c>
      <c r="B502" s="133"/>
      <c r="C502" s="134" t="s">
        <v>61</v>
      </c>
      <c r="D502" s="134" t="s">
        <v>62</v>
      </c>
      <c r="E502" s="134" t="s">
        <v>63</v>
      </c>
    </row>
    <row r="503" spans="1:10" ht="20.100000000000001" customHeight="1" x14ac:dyDescent="0.25">
      <c r="A503" s="135"/>
      <c r="B503" s="136"/>
      <c r="C503" s="137"/>
      <c r="D503" s="137"/>
      <c r="E503" s="137"/>
    </row>
    <row r="505" spans="1:10" ht="20.100000000000001" customHeight="1" x14ac:dyDescent="0.25">
      <c r="A505" s="191" t="s">
        <v>187</v>
      </c>
      <c r="B505" s="191"/>
      <c r="D505" s="191" t="s">
        <v>188</v>
      </c>
      <c r="E505" s="191"/>
    </row>
    <row r="507" spans="1:10" ht="20.100000000000001" customHeight="1" x14ac:dyDescent="0.25">
      <c r="A507" s="45" t="s">
        <v>41</v>
      </c>
      <c r="B507" s="94">
        <v>0.8</v>
      </c>
      <c r="D507" s="45" t="s">
        <v>41</v>
      </c>
      <c r="E507" s="94">
        <f>B507</f>
        <v>0.8</v>
      </c>
    </row>
    <row r="508" spans="1:10" ht="20.100000000000001" customHeight="1" x14ac:dyDescent="0.25">
      <c r="A508" s="52" t="s">
        <v>12</v>
      </c>
      <c r="B508" s="53">
        <f>C98</f>
        <v>8</v>
      </c>
      <c r="D508" s="52" t="s">
        <v>12</v>
      </c>
      <c r="E508" s="53">
        <f>B508</f>
        <v>8</v>
      </c>
    </row>
    <row r="509" spans="1:10" ht="20.100000000000001" customHeight="1" x14ac:dyDescent="0.25">
      <c r="A509" s="52" t="s">
        <v>234</v>
      </c>
      <c r="B509" s="138">
        <f>_xlfn.T.INV.2T(1-B507,B508)</f>
        <v>1.3968153097438649</v>
      </c>
      <c r="D509" s="52" t="s">
        <v>234</v>
      </c>
      <c r="E509" s="138">
        <f>_xlfn.T.INV.2T(1-E507,E508)</f>
        <v>1.3968153097438649</v>
      </c>
    </row>
    <row r="511" spans="1:10" ht="20.100000000000001" customHeight="1" x14ac:dyDescent="0.25">
      <c r="A511" s="45" t="s">
        <v>1</v>
      </c>
      <c r="B511" s="45">
        <f>C104</f>
        <v>296.95288939443617</v>
      </c>
      <c r="D511" s="45" t="s">
        <v>1</v>
      </c>
      <c r="E511" s="45">
        <f>B511</f>
        <v>296.95288939443617</v>
      </c>
    </row>
    <row r="512" spans="1:10" ht="20.100000000000001" customHeight="1" x14ac:dyDescent="0.25">
      <c r="A512" s="45" t="s">
        <v>70</v>
      </c>
      <c r="B512" s="45">
        <f>AG602*B511</f>
        <v>334.62498861292875</v>
      </c>
      <c r="D512" s="45" t="s">
        <v>70</v>
      </c>
      <c r="E512" s="45">
        <f>E511*AG604</f>
        <v>447.38674714826652</v>
      </c>
    </row>
    <row r="513" spans="1:10" ht="20.100000000000001" customHeight="1" x14ac:dyDescent="0.25">
      <c r="A513" s="52" t="s">
        <v>64</v>
      </c>
      <c r="B513" s="52">
        <f>B509*B512</f>
        <v>467.40930711740532</v>
      </c>
      <c r="D513" s="52" t="s">
        <v>64</v>
      </c>
      <c r="E513" s="52">
        <f>E509*E512</f>
        <v>624.91665779320613</v>
      </c>
    </row>
    <row r="515" spans="1:10" ht="20.100000000000001" customHeight="1" x14ac:dyDescent="0.25">
      <c r="A515" s="45" t="s">
        <v>21</v>
      </c>
      <c r="B515" s="45">
        <f>E485</f>
        <v>751138.71799281298</v>
      </c>
      <c r="D515" s="45" t="s">
        <v>21</v>
      </c>
      <c r="E515" s="45">
        <f>E485</f>
        <v>751138.71799281298</v>
      </c>
    </row>
    <row r="517" spans="1:10" ht="20.100000000000001" customHeight="1" x14ac:dyDescent="0.25">
      <c r="A517" s="45" t="s">
        <v>19</v>
      </c>
      <c r="B517" s="45">
        <f>B515-B513</f>
        <v>750671.30868569552</v>
      </c>
      <c r="D517" s="45" t="s">
        <v>19</v>
      </c>
      <c r="E517" s="45">
        <f>E515-E513</f>
        <v>750513.80133501976</v>
      </c>
    </row>
    <row r="518" spans="1:10" ht="20.100000000000001" customHeight="1" x14ac:dyDescent="0.25">
      <c r="A518" s="45" t="s">
        <v>20</v>
      </c>
      <c r="B518" s="45">
        <f>B515+B513</f>
        <v>751606.12729993043</v>
      </c>
      <c r="D518" s="45" t="s">
        <v>20</v>
      </c>
      <c r="E518" s="45">
        <f>E515+E513</f>
        <v>751763.6346506062</v>
      </c>
    </row>
    <row r="520" spans="1:10" ht="20.100000000000001" customHeight="1" x14ac:dyDescent="0.25">
      <c r="A520" s="45" t="s">
        <v>65</v>
      </c>
      <c r="B520" s="94">
        <f>(B518-B517)/B515</f>
        <v>1.2445352527332501E-3</v>
      </c>
      <c r="D520" s="45" t="s">
        <v>185</v>
      </c>
      <c r="E520" s="94">
        <f>(E518-E517)/E515</f>
        <v>1.6639181094621686E-3</v>
      </c>
    </row>
    <row r="523" spans="1:10" ht="20.100000000000001" customHeight="1" x14ac:dyDescent="0.25">
      <c r="A523" s="33" t="str" cm="1">
        <f t="array" ref="A523">_xlfn.IFS(B520&lt;0.3,W473,AND(B520&gt;0.3,B520&lt;0.4),W474,B520&lt;0.5,W475,B520&gt;0.5,W476)</f>
        <v>A amplitude do intervalo de confiança de 80% em torno da estimativa de tendência central é inferior a 30%; portanto, o laudo se enquadra no grau de fundamentação III da NBR 14653-2:2011 (Item 9.2.3, tabela 5).</v>
      </c>
      <c r="B523" s="33"/>
      <c r="C523" s="33"/>
      <c r="D523" s="33"/>
      <c r="E523" s="33"/>
      <c r="F523" s="33"/>
      <c r="G523" s="33"/>
      <c r="H523" s="33"/>
      <c r="I523" s="33"/>
      <c r="J523" s="32"/>
    </row>
    <row r="524" spans="1:10" ht="20.100000000000001" customHeight="1" x14ac:dyDescent="0.25">
      <c r="A524" s="104" t="s">
        <v>189</v>
      </c>
      <c r="B524" s="104"/>
      <c r="C524" s="104"/>
      <c r="D524" s="104"/>
      <c r="E524" s="104"/>
      <c r="F524" s="104"/>
      <c r="G524" s="104"/>
      <c r="H524" s="104"/>
      <c r="I524" s="104"/>
    </row>
    <row r="525" spans="1:10" ht="20.100000000000001" customHeight="1" x14ac:dyDescent="0.25">
      <c r="A525" s="104"/>
      <c r="B525" s="104"/>
      <c r="C525" s="104"/>
      <c r="D525" s="104"/>
      <c r="E525" s="104"/>
      <c r="F525" s="104"/>
      <c r="G525" s="104"/>
      <c r="H525" s="104"/>
      <c r="I525" s="104"/>
    </row>
    <row r="526" spans="1:10" ht="20.100000000000001" customHeight="1" x14ac:dyDescent="0.25">
      <c r="A526" s="104"/>
      <c r="B526" s="104"/>
      <c r="C526" s="104"/>
      <c r="D526" s="104"/>
      <c r="E526" s="104"/>
      <c r="F526" s="104"/>
      <c r="G526" s="104"/>
      <c r="H526" s="104"/>
      <c r="I526" s="104"/>
    </row>
    <row r="527" spans="1:10" ht="20.100000000000001" customHeight="1" x14ac:dyDescent="0.25">
      <c r="G527" s="32"/>
    </row>
    <row r="528" spans="1:10" ht="20.100000000000001" customHeight="1" x14ac:dyDescent="0.25">
      <c r="A528" s="190" t="s">
        <v>42</v>
      </c>
      <c r="B528" s="190" t="s">
        <v>71</v>
      </c>
      <c r="C528" s="190" t="s">
        <v>218</v>
      </c>
      <c r="D528" s="190" t="s">
        <v>240</v>
      </c>
    </row>
    <row r="529" spans="1:11" ht="20.100000000000001" customHeight="1" x14ac:dyDescent="0.25">
      <c r="A529" s="45" t="s">
        <v>72</v>
      </c>
      <c r="B529" s="45">
        <f>B517</f>
        <v>750671.30868569552</v>
      </c>
      <c r="C529" s="45">
        <f>B515*(1-0.15)</f>
        <v>638467.91029389098</v>
      </c>
      <c r="D529" s="45">
        <f>IF(C529&gt;=B529,C529,B529)</f>
        <v>750671.30868569552</v>
      </c>
    </row>
    <row r="530" spans="1:11" ht="20.100000000000001" customHeight="1" x14ac:dyDescent="0.25">
      <c r="A530" s="52" t="s">
        <v>73</v>
      </c>
      <c r="B530" s="52">
        <f>B518</f>
        <v>751606.12729993043</v>
      </c>
      <c r="C530" s="52">
        <f>B515*(1+0.15)</f>
        <v>863809.52569173486</v>
      </c>
      <c r="D530" s="52">
        <f>IF(C530&lt;=B530,C530,B530)</f>
        <v>751606.12729993043</v>
      </c>
    </row>
    <row r="533" spans="1:11" ht="20.100000000000001" customHeight="1" x14ac:dyDescent="0.25">
      <c r="A533" s="22" t="s">
        <v>230</v>
      </c>
      <c r="B533" s="22"/>
      <c r="C533" s="22"/>
      <c r="D533" s="187"/>
      <c r="E533" s="187"/>
      <c r="F533" s="187"/>
      <c r="G533" s="187"/>
      <c r="H533" s="187"/>
      <c r="I533" s="187"/>
      <c r="J533" s="187"/>
    </row>
    <row r="535" spans="1:11" ht="20.100000000000001" customHeight="1" x14ac:dyDescent="0.25">
      <c r="A535" s="93" t="s">
        <v>21</v>
      </c>
      <c r="B535" s="93"/>
      <c r="C535" s="45">
        <f>E485</f>
        <v>751138.71799281298</v>
      </c>
    </row>
    <row r="538" spans="1:11" ht="20.100000000000001" customHeight="1" x14ac:dyDescent="0.25">
      <c r="A538" s="93" t="s">
        <v>26</v>
      </c>
      <c r="B538" s="93"/>
      <c r="C538" s="45"/>
    </row>
    <row r="539" spans="1:11" ht="20.100000000000001" customHeight="1" x14ac:dyDescent="0.25">
      <c r="A539" s="93" t="s">
        <v>194</v>
      </c>
      <c r="B539" s="93"/>
      <c r="C539" s="4">
        <v>2</v>
      </c>
      <c r="D539" s="104" t="str">
        <f>IF(C541&gt;0.01,"Reduzir o número de casas decimais","")</f>
        <v/>
      </c>
      <c r="E539" s="104"/>
    </row>
    <row r="540" spans="1:11" ht="20.100000000000001" customHeight="1" x14ac:dyDescent="0.25">
      <c r="A540" s="93" t="s">
        <v>50</v>
      </c>
      <c r="B540" s="93"/>
      <c r="C540" s="52">
        <f>C543-C535</f>
        <v>61.282007187022828</v>
      </c>
    </row>
    <row r="541" spans="1:11" ht="20.100000000000001" customHeight="1" x14ac:dyDescent="0.25">
      <c r="A541" s="93" t="s">
        <v>27</v>
      </c>
      <c r="B541" s="93"/>
      <c r="C541" s="58">
        <f>C540/C535</f>
        <v>8.1585472455447553E-5</v>
      </c>
    </row>
    <row r="543" spans="1:11" ht="20.100000000000001" customHeight="1" x14ac:dyDescent="0.25">
      <c r="A543" s="139" t="s">
        <v>195</v>
      </c>
      <c r="B543" s="139"/>
      <c r="C543" s="45">
        <f>ROUNDUP(C535,-C539)</f>
        <v>751200</v>
      </c>
    </row>
    <row r="544" spans="1:11" ht="20.100000000000001" customHeight="1" x14ac:dyDescent="0.25">
      <c r="G544" s="92"/>
      <c r="H544" s="92"/>
      <c r="I544" s="92"/>
      <c r="J544" s="92"/>
      <c r="K544" s="158"/>
    </row>
    <row r="545" spans="1:12" ht="20.100000000000001" customHeight="1" x14ac:dyDescent="0.25">
      <c r="A545" s="115" t="s">
        <v>28</v>
      </c>
      <c r="B545" s="115"/>
      <c r="C545" s="115"/>
      <c r="D545" s="115"/>
      <c r="E545" s="115"/>
      <c r="F545" s="115"/>
    </row>
    <row r="548" spans="1:12" ht="20.100000000000001" customHeight="1" x14ac:dyDescent="0.25">
      <c r="A548" s="104" t="s">
        <v>77</v>
      </c>
      <c r="B548" s="104"/>
      <c r="C548" s="104"/>
      <c r="D548" s="104"/>
      <c r="E548" s="104"/>
      <c r="F548" s="104"/>
      <c r="G548" s="104"/>
      <c r="H548" s="104"/>
      <c r="I548" s="104"/>
    </row>
    <row r="549" spans="1:12" ht="20.100000000000001" customHeight="1" x14ac:dyDescent="0.25">
      <c r="A549" s="104" t="s">
        <v>130</v>
      </c>
      <c r="B549" s="104"/>
      <c r="C549" s="104"/>
      <c r="D549" s="104"/>
      <c r="E549" s="104"/>
      <c r="F549" s="104"/>
      <c r="G549" s="104"/>
      <c r="H549" s="104"/>
      <c r="I549" s="104"/>
      <c r="K549" s="163"/>
    </row>
    <row r="550" spans="1:12" ht="20.100000000000001" customHeight="1" x14ac:dyDescent="0.25">
      <c r="A550" s="104" t="s">
        <v>111</v>
      </c>
      <c r="B550" s="104"/>
      <c r="C550" s="104"/>
      <c r="D550" s="104"/>
      <c r="E550" s="104"/>
      <c r="F550" s="104"/>
      <c r="G550" s="104"/>
      <c r="H550" s="104"/>
      <c r="I550" s="104"/>
      <c r="K550" s="164"/>
    </row>
    <row r="551" spans="1:12" ht="20.100000000000001" customHeight="1" x14ac:dyDescent="0.25">
      <c r="A551" s="104" t="s">
        <v>112</v>
      </c>
      <c r="B551" s="104"/>
      <c r="C551" s="104"/>
      <c r="D551" s="104"/>
      <c r="E551" s="104"/>
      <c r="F551" s="104"/>
      <c r="G551" s="104"/>
      <c r="H551" s="104"/>
      <c r="I551" s="104"/>
      <c r="K551" s="164"/>
    </row>
    <row r="552" spans="1:12" ht="20.100000000000001" customHeight="1" x14ac:dyDescent="0.25">
      <c r="A552" s="104" t="s">
        <v>78</v>
      </c>
      <c r="B552" s="104"/>
      <c r="C552" s="104"/>
      <c r="D552" s="104"/>
      <c r="E552" s="104"/>
      <c r="F552" s="104"/>
      <c r="G552" s="104"/>
      <c r="H552" s="104"/>
      <c r="I552" s="104"/>
      <c r="K552" s="164"/>
    </row>
    <row r="553" spans="1:12" ht="20.100000000000001" customHeight="1" x14ac:dyDescent="0.25">
      <c r="A553" s="104" t="s">
        <v>79</v>
      </c>
      <c r="B553" s="104"/>
      <c r="C553" s="104"/>
      <c r="D553" s="104"/>
      <c r="E553" s="104"/>
      <c r="F553" s="104"/>
      <c r="G553" s="104"/>
      <c r="H553" s="104"/>
      <c r="I553" s="104"/>
      <c r="K553" s="164"/>
    </row>
    <row r="554" spans="1:12" ht="20.100000000000001" customHeight="1" x14ac:dyDescent="0.25">
      <c r="A554" s="104" t="s">
        <v>97</v>
      </c>
      <c r="B554" s="104"/>
      <c r="C554" s="104"/>
      <c r="D554" s="104"/>
      <c r="E554" s="104"/>
      <c r="F554" s="104"/>
      <c r="G554" s="104"/>
      <c r="H554" s="104"/>
      <c r="I554" s="104"/>
      <c r="K554" s="164"/>
    </row>
    <row r="555" spans="1:12" ht="20.100000000000001" customHeight="1" x14ac:dyDescent="0.25">
      <c r="A555" s="104" t="s">
        <v>113</v>
      </c>
      <c r="B555" s="104"/>
      <c r="C555" s="104"/>
      <c r="D555" s="104"/>
      <c r="E555" s="104"/>
      <c r="F555" s="104"/>
      <c r="G555" s="104"/>
      <c r="H555" s="104"/>
      <c r="I555" s="104"/>
      <c r="K555" s="164"/>
    </row>
    <row r="556" spans="1:12" ht="20.100000000000001" customHeight="1" x14ac:dyDescent="0.25">
      <c r="A556" s="104" t="s">
        <v>114</v>
      </c>
      <c r="B556" s="104"/>
      <c r="C556" s="104"/>
      <c r="D556" s="104"/>
      <c r="E556" s="104"/>
      <c r="F556" s="104"/>
      <c r="G556" s="104"/>
      <c r="H556" s="104"/>
      <c r="I556" s="104"/>
      <c r="K556" s="164"/>
    </row>
    <row r="557" spans="1:12" ht="20.100000000000001" customHeight="1" x14ac:dyDescent="0.25">
      <c r="A557" s="104" t="s">
        <v>115</v>
      </c>
      <c r="B557" s="104"/>
      <c r="C557" s="104"/>
      <c r="D557" s="104"/>
      <c r="E557" s="104"/>
      <c r="F557" s="104"/>
      <c r="G557" s="104"/>
      <c r="H557" s="104"/>
      <c r="I557" s="104"/>
      <c r="K557" s="164"/>
    </row>
    <row r="558" spans="1:12" ht="20.100000000000001" customHeight="1" x14ac:dyDescent="0.25">
      <c r="A558" s="104" t="s">
        <v>131</v>
      </c>
      <c r="B558" s="104"/>
      <c r="C558" s="104"/>
      <c r="D558" s="104"/>
      <c r="E558" s="104"/>
      <c r="F558" s="104"/>
      <c r="G558" s="104"/>
      <c r="H558" s="104"/>
      <c r="I558" s="104"/>
      <c r="K558" s="164"/>
      <c r="L558" s="140" t="str">
        <f>IF(C250&gt;1,"Ponto influenciante","")</f>
        <v/>
      </c>
    </row>
    <row r="559" spans="1:12" ht="20.100000000000001" customHeight="1" x14ac:dyDescent="0.25">
      <c r="L559" s="140" t="str">
        <f>IF(C251&gt;1,"Ponto influenciante","")</f>
        <v/>
      </c>
    </row>
    <row r="561" spans="12:12" ht="20.100000000000001" customHeight="1" x14ac:dyDescent="0.25">
      <c r="L561" s="140" t="str">
        <f>IF(C253&gt;1,"Ponto influenciante","")</f>
        <v/>
      </c>
    </row>
    <row r="579" spans="32:285" ht="20.100000000000001" customHeight="1" x14ac:dyDescent="0.25">
      <c r="ID579" s="161"/>
      <c r="IE579" s="161"/>
      <c r="IF579" s="161"/>
      <c r="IG579" s="161"/>
      <c r="IH579" s="161"/>
      <c r="II579" s="161"/>
      <c r="IT579" s="161"/>
      <c r="IU579" s="161"/>
      <c r="IV579" s="161"/>
      <c r="IW579" s="161"/>
      <c r="IX579" s="161"/>
      <c r="IY579" s="161"/>
      <c r="JG579" s="161"/>
      <c r="JH579" s="161"/>
      <c r="JI579" s="161"/>
      <c r="JJ579" s="161"/>
      <c r="JK579" s="161"/>
      <c r="JL579" s="161"/>
      <c r="JT579" s="161"/>
      <c r="JU579" s="161"/>
      <c r="JV579" s="161"/>
      <c r="JW579" s="161"/>
      <c r="JX579" s="161"/>
      <c r="JY579" s="161"/>
    </row>
    <row r="581" spans="32:285" ht="20.100000000000001" customHeight="1" x14ac:dyDescent="0.25">
      <c r="BL581" s="160" t="s">
        <v>149</v>
      </c>
    </row>
    <row r="582" spans="32:285" ht="20.100000000000001" customHeight="1" x14ac:dyDescent="0.25">
      <c r="AF582" s="140">
        <v>1</v>
      </c>
      <c r="AG582" s="140">
        <f>B11</f>
        <v>300</v>
      </c>
      <c r="AH582" s="140">
        <f>C11</f>
        <v>150</v>
      </c>
      <c r="AI582" s="140">
        <f>D11</f>
        <v>3</v>
      </c>
      <c r="AJ582" s="140">
        <f>I11</f>
        <v>715500</v>
      </c>
      <c r="AL582" s="140" cm="1">
        <f t="array" ref="AL582:AW585">TRANSPOSE(AF582:AI593)</f>
        <v>1</v>
      </c>
      <c r="AM582" s="140">
        <v>1</v>
      </c>
      <c r="AN582" s="140">
        <v>1</v>
      </c>
      <c r="AO582" s="140">
        <v>1</v>
      </c>
      <c r="AP582" s="140">
        <v>1</v>
      </c>
      <c r="AQ582" s="140">
        <v>1</v>
      </c>
      <c r="AR582" s="140">
        <v>1</v>
      </c>
      <c r="AS582" s="140">
        <v>1</v>
      </c>
      <c r="AT582" s="140">
        <v>1</v>
      </c>
      <c r="AU582" s="140">
        <v>1</v>
      </c>
      <c r="AV582" s="140">
        <v>1</v>
      </c>
      <c r="AW582" s="140">
        <v>1</v>
      </c>
      <c r="BL582" s="140" t="s">
        <v>133</v>
      </c>
      <c r="BM582" s="140" t="s">
        <v>132</v>
      </c>
      <c r="BO582" s="140" t="s">
        <v>150</v>
      </c>
      <c r="BQ582" s="140" t="s">
        <v>226</v>
      </c>
      <c r="BR582" s="140" t="s">
        <v>223</v>
      </c>
      <c r="BS582" s="140" t="s">
        <v>133</v>
      </c>
      <c r="BU582" s="140" t="s">
        <v>132</v>
      </c>
      <c r="BZ582" s="140" t="s">
        <v>224</v>
      </c>
      <c r="CA582" s="140" t="s">
        <v>135</v>
      </c>
      <c r="CB582" s="140" t="s">
        <v>225</v>
      </c>
    </row>
    <row r="583" spans="32:285" ht="20.100000000000001" customHeight="1" x14ac:dyDescent="0.25">
      <c r="AF583" s="140">
        <v>1</v>
      </c>
      <c r="AG583" s="140">
        <f>B12</f>
        <v>330</v>
      </c>
      <c r="AH583" s="140">
        <f>C12</f>
        <v>155</v>
      </c>
      <c r="AI583" s="140">
        <f>D12</f>
        <v>3</v>
      </c>
      <c r="AJ583" s="140">
        <f>I12</f>
        <v>743400</v>
      </c>
      <c r="AL583" s="140">
        <v>300</v>
      </c>
      <c r="AM583" s="140">
        <v>330</v>
      </c>
      <c r="AN583" s="140">
        <v>390</v>
      </c>
      <c r="AO583" s="140">
        <v>390</v>
      </c>
      <c r="AP583" s="140">
        <v>432</v>
      </c>
      <c r="AQ583" s="140">
        <v>440</v>
      </c>
      <c r="AR583" s="140">
        <v>390</v>
      </c>
      <c r="AS583" s="140">
        <v>362</v>
      </c>
      <c r="AT583" s="140">
        <v>430</v>
      </c>
      <c r="AU583" s="140">
        <v>384</v>
      </c>
      <c r="AV583" s="140">
        <v>341</v>
      </c>
      <c r="AW583" s="140">
        <v>374</v>
      </c>
      <c r="BL583" s="165">
        <f>B182</f>
        <v>715500</v>
      </c>
      <c r="BM583" s="165">
        <f>C182</f>
        <v>715670.48233972606</v>
      </c>
      <c r="BO583" s="165">
        <f t="shared" ref="BO583:BO594" si="75">BL583-BM583</f>
        <v>-170.48233972606249</v>
      </c>
      <c r="BP583" s="165"/>
      <c r="BQ583" s="166">
        <v>1</v>
      </c>
      <c r="BR583" s="167">
        <f t="shared" ref="BR583:BR594" si="76">BL583^2</f>
        <v>511940250000</v>
      </c>
      <c r="BS583" s="167">
        <f>BO583^2</f>
        <v>29064.228158472586</v>
      </c>
      <c r="BT583" s="168"/>
      <c r="BU583" s="167" cm="1">
        <f t="array" ref="BU583:BU594">MMULT(BQ583:BR594,MMULT(MINVERSE(MMULT(TRANSPOSE(BQ583:BR594),BQ583:BR594)),MMULT(TRANSPOSE(BQ583:BR594),BS583:BS594)))</f>
        <v>77396.877435035771</v>
      </c>
      <c r="BV583" s="167"/>
      <c r="BW583" s="167">
        <f>BU583-(AVERAGE($BS$583:$BS$594))</f>
        <v>18609.531755232951</v>
      </c>
      <c r="BX583" s="167">
        <f>BS583-BU583</f>
        <v>-48332.649276563185</v>
      </c>
      <c r="BY583" s="167">
        <f>BS583-(AVERAGE($BS$583:$BS$594))</f>
        <v>-29723.117521330234</v>
      </c>
      <c r="BZ583" s="167">
        <f>BW583^2</f>
        <v>346314672.14902359</v>
      </c>
      <c r="CA583" s="167">
        <f>BX583^2</f>
        <v>2336044986.0912638</v>
      </c>
      <c r="CB583" s="167">
        <f>BY583^2</f>
        <v>883463715.18680835</v>
      </c>
    </row>
    <row r="584" spans="32:285" ht="20.100000000000001" customHeight="1" x14ac:dyDescent="0.25">
      <c r="AF584" s="140">
        <v>1</v>
      </c>
      <c r="AG584" s="140">
        <f>B13</f>
        <v>390</v>
      </c>
      <c r="AH584" s="140">
        <f>C13</f>
        <v>180</v>
      </c>
      <c r="AI584" s="140">
        <f>D13</f>
        <v>3</v>
      </c>
      <c r="AJ584" s="140">
        <f>I13</f>
        <v>831600</v>
      </c>
      <c r="AL584" s="140">
        <v>150</v>
      </c>
      <c r="AM584" s="140">
        <v>155</v>
      </c>
      <c r="AN584" s="140">
        <v>180</v>
      </c>
      <c r="AO584" s="140">
        <v>185</v>
      </c>
      <c r="AP584" s="140">
        <v>170</v>
      </c>
      <c r="AQ584" s="140">
        <v>170</v>
      </c>
      <c r="AR584" s="140">
        <v>180</v>
      </c>
      <c r="AS584" s="140">
        <v>185</v>
      </c>
      <c r="AT584" s="140">
        <v>180</v>
      </c>
      <c r="AU584" s="140">
        <v>190</v>
      </c>
      <c r="AV584" s="140">
        <v>230</v>
      </c>
      <c r="AW584" s="140">
        <v>230</v>
      </c>
      <c r="BL584" s="165">
        <f>B183</f>
        <v>743400</v>
      </c>
      <c r="BM584" s="165">
        <f>C183</f>
        <v>743134.38410627353</v>
      </c>
      <c r="BO584" s="165">
        <f t="shared" si="75"/>
        <v>265.61589372646995</v>
      </c>
      <c r="BP584" s="165"/>
      <c r="BQ584" s="166">
        <v>1</v>
      </c>
      <c r="BR584" s="167">
        <f t="shared" si="76"/>
        <v>552643560000</v>
      </c>
      <c r="BS584" s="167">
        <f t="shared" ref="BS584:BS594" si="77">BO584^2</f>
        <v>70551.80300011138</v>
      </c>
      <c r="BT584" s="168"/>
      <c r="BU584" s="167">
        <v>73783.348430001322</v>
      </c>
      <c r="BV584" s="167"/>
      <c r="BW584" s="167">
        <f t="shared" ref="BW584:BW594" si="78">BU584-(AVERAGE($BS$583:$BS$594))</f>
        <v>14996.002750198502</v>
      </c>
      <c r="BX584" s="167">
        <f t="shared" ref="BX584:BX594" si="79">BS584-BU584</f>
        <v>-3231.5454298899422</v>
      </c>
      <c r="BY584" s="167">
        <f t="shared" ref="BY584:BY594" si="80">BS584-(AVERAGE($BS$583:$BS$594))</f>
        <v>11764.45732030856</v>
      </c>
      <c r="BZ584" s="167">
        <f t="shared" ref="BZ584:BZ594" si="81">BW584^2</f>
        <v>224880098.48396105</v>
      </c>
      <c r="CA584" s="167">
        <f t="shared" ref="CA584:CA594" si="82">BX584^2</f>
        <v>10442885.86544257</v>
      </c>
      <c r="CB584" s="167">
        <f t="shared" ref="CB584:CB594" si="83">BY584^2</f>
        <v>138402456.04136166</v>
      </c>
    </row>
    <row r="585" spans="32:285" ht="20.100000000000001" customHeight="1" x14ac:dyDescent="0.25">
      <c r="AF585" s="140">
        <v>1</v>
      </c>
      <c r="AG585" s="140">
        <f>B14</f>
        <v>390</v>
      </c>
      <c r="AH585" s="140">
        <f>C14</f>
        <v>185</v>
      </c>
      <c r="AI585" s="140">
        <f>D14</f>
        <v>3</v>
      </c>
      <c r="AJ585" s="140">
        <f>I14</f>
        <v>843300</v>
      </c>
      <c r="AL585" s="140">
        <v>3</v>
      </c>
      <c r="AM585" s="140">
        <v>3</v>
      </c>
      <c r="AN585" s="140">
        <v>3</v>
      </c>
      <c r="AO585" s="140">
        <v>3</v>
      </c>
      <c r="AP585" s="140">
        <v>4</v>
      </c>
      <c r="AQ585" s="140">
        <v>4</v>
      </c>
      <c r="AR585" s="140">
        <v>4</v>
      </c>
      <c r="AS585" s="140">
        <v>4</v>
      </c>
      <c r="AT585" s="140">
        <v>4</v>
      </c>
      <c r="AU585" s="140">
        <v>4</v>
      </c>
      <c r="AV585" s="140">
        <v>4</v>
      </c>
      <c r="AW585" s="140">
        <v>4</v>
      </c>
      <c r="BL585" s="165">
        <f>B184</f>
        <v>831600</v>
      </c>
      <c r="BM585" s="165">
        <f>C184</f>
        <v>831863.94118594611</v>
      </c>
      <c r="BO585" s="165">
        <f t="shared" si="75"/>
        <v>-263.94118594611064</v>
      </c>
      <c r="BP585" s="165"/>
      <c r="BQ585" s="166">
        <v>1</v>
      </c>
      <c r="BR585" s="167">
        <f t="shared" si="76"/>
        <v>691558560000</v>
      </c>
      <c r="BS585" s="167">
        <f t="shared" si="77"/>
        <v>69664.949638639344</v>
      </c>
      <c r="BT585" s="168"/>
      <c r="BU585" s="167">
        <v>61450.853069443132</v>
      </c>
      <c r="BV585" s="167"/>
      <c r="BW585" s="167">
        <f t="shared" si="78"/>
        <v>2663.5073896403119</v>
      </c>
      <c r="BX585" s="167">
        <f t="shared" si="79"/>
        <v>8214.0965691962119</v>
      </c>
      <c r="BY585" s="167">
        <f t="shared" si="80"/>
        <v>10877.603958836524</v>
      </c>
      <c r="BZ585" s="167">
        <f t="shared" si="81"/>
        <v>7094271.6146685481</v>
      </c>
      <c r="CA585" s="167">
        <f t="shared" si="82"/>
        <v>67471382.448080972</v>
      </c>
      <c r="CB585" s="167">
        <f t="shared" si="83"/>
        <v>118322267.88529602</v>
      </c>
    </row>
    <row r="586" spans="32:285" ht="20.100000000000001" customHeight="1" x14ac:dyDescent="0.25">
      <c r="AF586" s="140">
        <v>1</v>
      </c>
      <c r="AG586" s="140">
        <f>B15</f>
        <v>432</v>
      </c>
      <c r="AH586" s="140">
        <f>C15</f>
        <v>170</v>
      </c>
      <c r="AI586" s="140">
        <f>D15</f>
        <v>4</v>
      </c>
      <c r="AJ586" s="140">
        <f>I15</f>
        <v>850500</v>
      </c>
      <c r="BL586" s="165">
        <f>B185</f>
        <v>843300</v>
      </c>
      <c r="BM586" s="165">
        <f>C185</f>
        <v>843131.19236813881</v>
      </c>
      <c r="BO586" s="165">
        <f t="shared" si="75"/>
        <v>168.80763186118565</v>
      </c>
      <c r="BP586" s="165"/>
      <c r="BQ586" s="166">
        <v>1</v>
      </c>
      <c r="BR586" s="167">
        <f t="shared" si="76"/>
        <v>711154890000</v>
      </c>
      <c r="BS586" s="167">
        <f t="shared" si="77"/>
        <v>28496.016574581583</v>
      </c>
      <c r="BT586" s="168"/>
      <c r="BU586" s="167">
        <v>59711.144263274131</v>
      </c>
      <c r="BV586" s="167"/>
      <c r="BW586" s="167">
        <f t="shared" si="78"/>
        <v>923.79858347131085</v>
      </c>
      <c r="BX586" s="167">
        <f t="shared" si="79"/>
        <v>-31215.127688692548</v>
      </c>
      <c r="BY586" s="167">
        <f t="shared" si="80"/>
        <v>-30291.329105221237</v>
      </c>
      <c r="BZ586" s="167">
        <f t="shared" si="81"/>
        <v>853403.82282360049</v>
      </c>
      <c r="CA586" s="167">
        <f t="shared" si="82"/>
        <v>974384196.62138021</v>
      </c>
      <c r="CB586" s="167">
        <f t="shared" si="83"/>
        <v>917564618.96082318</v>
      </c>
    </row>
    <row r="587" spans="32:285" ht="20.100000000000001" customHeight="1" x14ac:dyDescent="0.25">
      <c r="AF587" s="140">
        <v>1</v>
      </c>
      <c r="AG587" s="140">
        <f>B16</f>
        <v>440</v>
      </c>
      <c r="AH587" s="140">
        <f>C16</f>
        <v>170</v>
      </c>
      <c r="AI587" s="140">
        <f>D16</f>
        <v>4</v>
      </c>
      <c r="AJ587" s="140">
        <f>I16</f>
        <v>854100</v>
      </c>
      <c r="AL587" s="140" cm="1">
        <f t="array" ref="AL587:AO590">MMULT(AL582:AW585,AF582:AI593)</f>
        <v>12</v>
      </c>
      <c r="AM587" s="140">
        <v>4563</v>
      </c>
      <c r="AN587" s="140">
        <v>2205</v>
      </c>
      <c r="AO587" s="140">
        <v>44</v>
      </c>
      <c r="AQ587" s="140" cm="1">
        <f t="array" ref="AQ587:AQ590">MMULT(AL582:AW585,AJ582:AJ593)</f>
        <v>10164600</v>
      </c>
      <c r="BL587" s="165">
        <f>B186</f>
        <v>850500</v>
      </c>
      <c r="BM587" s="165">
        <f>C186</f>
        <v>850004.04744067951</v>
      </c>
      <c r="BO587" s="165">
        <f t="shared" si="75"/>
        <v>495.95255932048894</v>
      </c>
      <c r="BP587" s="165"/>
      <c r="BQ587" s="166">
        <v>1</v>
      </c>
      <c r="BR587" s="167">
        <f t="shared" si="76"/>
        <v>723350250000</v>
      </c>
      <c r="BS587" s="167">
        <f t="shared" si="77"/>
        <v>245968.9410965431</v>
      </c>
      <c r="BT587" s="168"/>
      <c r="BU587" s="167">
        <v>58628.473416926819</v>
      </c>
      <c r="BV587" s="167"/>
      <c r="BW587" s="167">
        <f t="shared" si="78"/>
        <v>-158.8722628760006</v>
      </c>
      <c r="BX587" s="167">
        <f t="shared" si="79"/>
        <v>187340.4676796163</v>
      </c>
      <c r="BY587" s="167">
        <f t="shared" si="80"/>
        <v>187181.59541674028</v>
      </c>
      <c r="BZ587" s="167">
        <f t="shared" si="81"/>
        <v>25240.395911341038</v>
      </c>
      <c r="CA587" s="167">
        <f t="shared" si="82"/>
        <v>35096450830.417358</v>
      </c>
      <c r="CB587" s="167">
        <f t="shared" si="83"/>
        <v>35036949662.756248</v>
      </c>
    </row>
    <row r="588" spans="32:285" ht="20.100000000000001" customHeight="1" x14ac:dyDescent="0.25">
      <c r="AF588" s="140">
        <v>1</v>
      </c>
      <c r="AG588" s="140">
        <f>B17</f>
        <v>390</v>
      </c>
      <c r="AH588" s="140">
        <f>C17</f>
        <v>180</v>
      </c>
      <c r="AI588" s="140">
        <f>D17</f>
        <v>4</v>
      </c>
      <c r="AJ588" s="140">
        <f>I17</f>
        <v>849600</v>
      </c>
      <c r="AL588" s="140">
        <v>4563</v>
      </c>
      <c r="AM588" s="140">
        <v>1754981</v>
      </c>
      <c r="AN588" s="140">
        <v>838720</v>
      </c>
      <c r="AO588" s="140">
        <v>16842</v>
      </c>
      <c r="AQ588" s="140">
        <v>3878436600</v>
      </c>
      <c r="BL588" s="165">
        <f>B187</f>
        <v>854100</v>
      </c>
      <c r="BM588" s="165">
        <f>C187</f>
        <v>854323.15426317416</v>
      </c>
      <c r="BO588" s="165">
        <f t="shared" si="75"/>
        <v>-223.15426317416131</v>
      </c>
      <c r="BP588" s="165"/>
      <c r="BQ588" s="166">
        <v>1</v>
      </c>
      <c r="BR588" s="167">
        <f t="shared" si="76"/>
        <v>729486810000</v>
      </c>
      <c r="BS588" s="167">
        <f t="shared" si="77"/>
        <v>49797.825172802848</v>
      </c>
      <c r="BT588" s="168"/>
      <c r="BU588" s="167">
        <v>58083.686333244084</v>
      </c>
      <c r="BV588" s="167"/>
      <c r="BW588" s="167">
        <f t="shared" si="78"/>
        <v>-703.65934655873571</v>
      </c>
      <c r="BX588" s="167">
        <f t="shared" si="79"/>
        <v>-8285.8611604412363</v>
      </c>
      <c r="BY588" s="167">
        <f t="shared" si="80"/>
        <v>-8989.520506999972</v>
      </c>
      <c r="BZ588" s="167">
        <f t="shared" si="81"/>
        <v>495136.4759994669</v>
      </c>
      <c r="CA588" s="167">
        <f t="shared" si="82"/>
        <v>68655495.170108587</v>
      </c>
      <c r="CB588" s="167">
        <f t="shared" si="83"/>
        <v>80811478.945773035</v>
      </c>
    </row>
    <row r="589" spans="32:285" ht="20.100000000000001" customHeight="1" x14ac:dyDescent="0.25">
      <c r="AF589" s="140">
        <v>1</v>
      </c>
      <c r="AG589" s="140">
        <f>B18</f>
        <v>362</v>
      </c>
      <c r="AH589" s="140">
        <f>C18</f>
        <v>185</v>
      </c>
      <c r="AI589" s="140">
        <f>D18</f>
        <v>4</v>
      </c>
      <c r="AJ589" s="140">
        <f>I18</f>
        <v>846000</v>
      </c>
      <c r="AL589" s="140">
        <v>2205</v>
      </c>
      <c r="AM589" s="140">
        <v>838720</v>
      </c>
      <c r="AN589" s="140">
        <v>411875</v>
      </c>
      <c r="AO589" s="140">
        <v>8150</v>
      </c>
      <c r="AQ589" s="140">
        <v>1884172500</v>
      </c>
      <c r="BL589" s="165">
        <f>B188</f>
        <v>849600</v>
      </c>
      <c r="BM589" s="165">
        <f>C188</f>
        <v>849863.2389869676</v>
      </c>
      <c r="BO589" s="165">
        <f t="shared" si="75"/>
        <v>-263.23898696759716</v>
      </c>
      <c r="BP589" s="165"/>
      <c r="BQ589" s="166">
        <v>1</v>
      </c>
      <c r="BR589" s="167">
        <f t="shared" si="76"/>
        <v>721820160000</v>
      </c>
      <c r="BS589" s="167">
        <f t="shared" si="77"/>
        <v>69294.764259726784</v>
      </c>
      <c r="BT589" s="168"/>
      <c r="BU589" s="167">
        <v>58764.310639877804</v>
      </c>
      <c r="BV589" s="167"/>
      <c r="BW589" s="167">
        <f t="shared" si="78"/>
        <v>-23.035039925016463</v>
      </c>
      <c r="BX589" s="167">
        <f t="shared" si="79"/>
        <v>10530.45361984898</v>
      </c>
      <c r="BY589" s="167">
        <f t="shared" si="80"/>
        <v>10507.418579923964</v>
      </c>
      <c r="BZ589" s="167">
        <f t="shared" si="81"/>
        <v>530.61306434710241</v>
      </c>
      <c r="CA589" s="167">
        <f t="shared" si="82"/>
        <v>110890453.4397905</v>
      </c>
      <c r="CB589" s="167">
        <f t="shared" si="83"/>
        <v>110405845.21373133</v>
      </c>
    </row>
    <row r="590" spans="32:285" ht="20.100000000000001" customHeight="1" x14ac:dyDescent="0.25">
      <c r="AF590" s="140">
        <v>1</v>
      </c>
      <c r="AG590" s="140">
        <f>B19</f>
        <v>430</v>
      </c>
      <c r="AH590" s="140">
        <f>C19</f>
        <v>180</v>
      </c>
      <c r="AI590" s="140">
        <f>D19</f>
        <v>4</v>
      </c>
      <c r="AJ590" s="140">
        <f>I19</f>
        <v>871200</v>
      </c>
      <c r="AL590" s="140">
        <v>44</v>
      </c>
      <c r="AM590" s="140">
        <v>16842</v>
      </c>
      <c r="AN590" s="140">
        <v>8150</v>
      </c>
      <c r="AO590" s="140">
        <v>164</v>
      </c>
      <c r="AQ590" s="140">
        <v>37524600</v>
      </c>
      <c r="BL590" s="165">
        <f>B189</f>
        <v>846000</v>
      </c>
      <c r="BM590" s="165">
        <f>C189</f>
        <v>846013.61629042891</v>
      </c>
      <c r="BO590" s="165">
        <f t="shared" si="75"/>
        <v>-13.616290428908542</v>
      </c>
      <c r="BP590" s="165"/>
      <c r="BQ590" s="166">
        <v>1</v>
      </c>
      <c r="BR590" s="167">
        <f t="shared" si="76"/>
        <v>715716000000</v>
      </c>
      <c r="BS590" s="167">
        <f t="shared" si="77"/>
        <v>185.40336504438636</v>
      </c>
      <c r="BT590" s="168"/>
      <c r="BU590" s="167">
        <v>59306.221339802971</v>
      </c>
      <c r="BV590" s="167"/>
      <c r="BW590" s="167">
        <f t="shared" si="78"/>
        <v>518.87566000015067</v>
      </c>
      <c r="BX590" s="167">
        <f t="shared" si="79"/>
        <v>-59120.817974758582</v>
      </c>
      <c r="BY590" s="167">
        <f t="shared" si="80"/>
        <v>-58601.942314758431</v>
      </c>
      <c r="BZ590" s="167">
        <f t="shared" si="81"/>
        <v>269231.95054059196</v>
      </c>
      <c r="CA590" s="167">
        <f t="shared" si="82"/>
        <v>3495271118.0045376</v>
      </c>
      <c r="CB590" s="167">
        <f t="shared" si="83"/>
        <v>3434187643.0622749</v>
      </c>
    </row>
    <row r="591" spans="32:285" ht="20.100000000000001" customHeight="1" x14ac:dyDescent="0.25">
      <c r="AF591" s="140">
        <v>1</v>
      </c>
      <c r="AG591" s="140">
        <f>B20</f>
        <v>384</v>
      </c>
      <c r="AH591" s="140">
        <f>C20</f>
        <v>190</v>
      </c>
      <c r="AI591" s="140">
        <f>D20</f>
        <v>4</v>
      </c>
      <c r="AJ591" s="140">
        <f>I20</f>
        <v>869400</v>
      </c>
      <c r="BL591" s="165">
        <f>B190</f>
        <v>871200</v>
      </c>
      <c r="BM591" s="165">
        <f>C190</f>
        <v>871458.77309944085</v>
      </c>
      <c r="BO591" s="165">
        <f t="shared" si="75"/>
        <v>-258.77309944084845</v>
      </c>
      <c r="BP591" s="165"/>
      <c r="BQ591" s="166">
        <v>1</v>
      </c>
      <c r="BR591" s="167">
        <f t="shared" si="76"/>
        <v>758989440000</v>
      </c>
      <c r="BS591" s="167">
        <f t="shared" si="77"/>
        <v>66963.516994223246</v>
      </c>
      <c r="BT591" s="168"/>
      <c r="BU591" s="167">
        <v>55464.523193199711</v>
      </c>
      <c r="BV591" s="167"/>
      <c r="BW591" s="167">
        <f t="shared" si="78"/>
        <v>-3322.8224866031087</v>
      </c>
      <c r="BX591" s="167">
        <f t="shared" si="79"/>
        <v>11498.993801023535</v>
      </c>
      <c r="BY591" s="167">
        <f t="shared" si="80"/>
        <v>8176.1713144204259</v>
      </c>
      <c r="BZ591" s="167">
        <f t="shared" si="81"/>
        <v>11041149.277475266</v>
      </c>
      <c r="CA591" s="167">
        <f t="shared" si="82"/>
        <v>132226858.43597768</v>
      </c>
      <c r="CB591" s="167">
        <f t="shared" si="83"/>
        <v>66849777.362751432</v>
      </c>
    </row>
    <row r="592" spans="32:285" ht="20.100000000000001" customHeight="1" x14ac:dyDescent="0.25">
      <c r="AF592" s="140">
        <v>1</v>
      </c>
      <c r="AG592" s="140">
        <f>B21</f>
        <v>341</v>
      </c>
      <c r="AH592" s="140">
        <f>C21</f>
        <v>230</v>
      </c>
      <c r="AI592" s="140">
        <f>D21</f>
        <v>4</v>
      </c>
      <c r="AJ592" s="140">
        <f>I21</f>
        <v>936000</v>
      </c>
      <c r="AL592" s="140" cm="1">
        <f t="array" ref="AL592:AO595">MINVERSE(_xlfn.ANCHORARRAY(AL587))</f>
        <v>12.123734371381222</v>
      </c>
      <c r="AM592" s="140">
        <v>-1.9300112688519777E-2</v>
      </c>
      <c r="AN592" s="140">
        <v>-2.7608436775172454E-2</v>
      </c>
      <c r="AO592" s="140">
        <v>0.10132283705446268</v>
      </c>
      <c r="AQ592" s="140" cm="1">
        <f t="array" ref="AQ592:AQ595">MMULT(_xlfn.ANCHORARRAY(AL592),_xlfn.ANCHORARRAY(AQ587))</f>
        <v>161688.54762733541</v>
      </c>
      <c r="BL592" s="165">
        <f>B191</f>
        <v>869400</v>
      </c>
      <c r="BM592" s="165">
        <f>C191</f>
        <v>869158.41123448173</v>
      </c>
      <c r="BO592" s="165">
        <f t="shared" si="75"/>
        <v>241.58876551827416</v>
      </c>
      <c r="BP592" s="165"/>
      <c r="BQ592" s="166">
        <v>1</v>
      </c>
      <c r="BR592" s="167">
        <f t="shared" si="76"/>
        <v>755856360000</v>
      </c>
      <c r="BS592" s="167">
        <f t="shared" si="77"/>
        <v>58365.131624643655</v>
      </c>
      <c r="BT592" s="168"/>
      <c r="BU592" s="167">
        <v>55742.669502556208</v>
      </c>
      <c r="BV592" s="167"/>
      <c r="BW592" s="167">
        <f t="shared" si="78"/>
        <v>-3044.6761772466125</v>
      </c>
      <c r="BX592" s="167">
        <f t="shared" si="79"/>
        <v>2622.4621220874469</v>
      </c>
      <c r="BY592" s="167">
        <f t="shared" si="80"/>
        <v>-422.21405515916558</v>
      </c>
      <c r="BZ592" s="167">
        <f t="shared" si="81"/>
        <v>9270053.0242930464</v>
      </c>
      <c r="CA592" s="167">
        <f t="shared" si="82"/>
        <v>6877307.5817833953</v>
      </c>
      <c r="CB592" s="167">
        <f t="shared" si="83"/>
        <v>178264.70837394692</v>
      </c>
    </row>
    <row r="593" spans="30:80" ht="20.100000000000001" customHeight="1" x14ac:dyDescent="0.25">
      <c r="AF593" s="140">
        <v>1</v>
      </c>
      <c r="AG593" s="140">
        <f>B22</f>
        <v>374</v>
      </c>
      <c r="AH593" s="140">
        <f>C22</f>
        <v>230</v>
      </c>
      <c r="AI593" s="140">
        <f>D22</f>
        <v>4</v>
      </c>
      <c r="AJ593" s="140">
        <f>I22</f>
        <v>954000</v>
      </c>
      <c r="AL593" s="140">
        <v>-1.9300112688519652E-2</v>
      </c>
      <c r="AM593" s="140">
        <v>7.0819204059551307E-5</v>
      </c>
      <c r="AN593" s="140">
        <v>3.3694213133396619E-5</v>
      </c>
      <c r="AO593" s="140">
        <v>-3.769145814105371E-3</v>
      </c>
      <c r="AQ593" s="140">
        <v>539.88835281183128</v>
      </c>
      <c r="BL593" s="165">
        <f>B192</f>
        <v>936000</v>
      </c>
      <c r="BM593" s="165">
        <f>C192</f>
        <v>936081.22152111353</v>
      </c>
      <c r="BO593" s="165">
        <f t="shared" si="75"/>
        <v>-81.221521113533527</v>
      </c>
      <c r="BP593" s="165"/>
      <c r="BQ593" s="166">
        <v>1</v>
      </c>
      <c r="BR593" s="167">
        <f t="shared" si="76"/>
        <v>876096000000</v>
      </c>
      <c r="BS593" s="167">
        <f t="shared" si="77"/>
        <v>6596.9354919961725</v>
      </c>
      <c r="BT593" s="168"/>
      <c r="BU593" s="167">
        <v>45068.121739858252</v>
      </c>
      <c r="BV593" s="167"/>
      <c r="BW593" s="167">
        <f t="shared" si="78"/>
        <v>-13719.223939944568</v>
      </c>
      <c r="BX593" s="167">
        <f t="shared" si="79"/>
        <v>-38471.186247862082</v>
      </c>
      <c r="BY593" s="167">
        <f t="shared" si="80"/>
        <v>-52190.41018780665</v>
      </c>
      <c r="BZ593" s="167">
        <f t="shared" si="81"/>
        <v>188217105.51434815</v>
      </c>
      <c r="CA593" s="167">
        <f t="shared" si="82"/>
        <v>1480032171.3176925</v>
      </c>
      <c r="CB593" s="167">
        <f t="shared" si="83"/>
        <v>2723838915.5715122</v>
      </c>
    </row>
    <row r="594" spans="30:80" ht="20.100000000000001" customHeight="1" x14ac:dyDescent="0.25">
      <c r="AL594" s="140">
        <v>-2.7608436775172298E-2</v>
      </c>
      <c r="AM594" s="140">
        <v>3.3694213133396423E-5</v>
      </c>
      <c r="AN594" s="140">
        <v>2.1127196302710337E-4</v>
      </c>
      <c r="AO594" s="140">
        <v>-6.5522757204632539E-3</v>
      </c>
      <c r="AQ594" s="140">
        <v>2253.4502364385116</v>
      </c>
      <c r="BL594" s="165">
        <f>B193</f>
        <v>954000</v>
      </c>
      <c r="BM594" s="165">
        <f>C193</f>
        <v>953897.53716390394</v>
      </c>
      <c r="BO594" s="165">
        <f t="shared" si="75"/>
        <v>102.46283609606326</v>
      </c>
      <c r="BP594" s="165"/>
      <c r="BQ594" s="166">
        <v>1</v>
      </c>
      <c r="BR594" s="167">
        <f t="shared" si="76"/>
        <v>910116000000</v>
      </c>
      <c r="BS594" s="167">
        <f t="shared" si="77"/>
        <v>10498.632780848724</v>
      </c>
      <c r="BT594" s="168"/>
      <c r="BU594" s="167">
        <v>42047.918794415426</v>
      </c>
      <c r="BV594" s="167"/>
      <c r="BW594" s="167">
        <f t="shared" si="78"/>
        <v>-16739.426885387395</v>
      </c>
      <c r="BX594" s="167">
        <f t="shared" si="79"/>
        <v>-31549.2860135667</v>
      </c>
      <c r="BY594" s="167">
        <f t="shared" si="80"/>
        <v>-48288.712898954094</v>
      </c>
      <c r="BZ594" s="167">
        <f t="shared" si="81"/>
        <v>280208412.45123035</v>
      </c>
      <c r="CA594" s="167">
        <f t="shared" si="82"/>
        <v>995357447.96583533</v>
      </c>
      <c r="CB594" s="167">
        <f t="shared" si="83"/>
        <v>2331799793.4376154</v>
      </c>
    </row>
    <row r="595" spans="30:80" ht="20.100000000000001" customHeight="1" x14ac:dyDescent="0.25">
      <c r="AL595" s="140">
        <v>0.10132283705444182</v>
      </c>
      <c r="AM595" s="140">
        <v>-3.7691458141053268E-3</v>
      </c>
      <c r="AN595" s="140">
        <v>-6.5522757204632322E-3</v>
      </c>
      <c r="AO595" s="140">
        <v>0.69160241519842569</v>
      </c>
      <c r="AQ595" s="140">
        <v>17999.297801021487</v>
      </c>
      <c r="BL595" s="169"/>
      <c r="BM595" s="169"/>
      <c r="BR595" s="169"/>
      <c r="BS595" s="170"/>
      <c r="BT595" s="170"/>
      <c r="BU595" s="170"/>
      <c r="BV595" s="170"/>
      <c r="BW595" s="167"/>
      <c r="BX595" s="167"/>
      <c r="BY595" s="167"/>
      <c r="BZ595" s="170"/>
      <c r="CA595" s="170"/>
      <c r="CB595" s="170"/>
    </row>
    <row r="596" spans="30:80" ht="20.100000000000001" customHeight="1" x14ac:dyDescent="0.25">
      <c r="AD596" s="140" t="s">
        <v>147</v>
      </c>
      <c r="AE596" s="140">
        <v>1</v>
      </c>
      <c r="AG596" s="140" cm="1">
        <f t="array" ref="AG596:AJ596">TRANSPOSE(AE596:AE599)</f>
        <v>1</v>
      </c>
      <c r="AH596" s="140">
        <v>295</v>
      </c>
      <c r="AI596" s="140">
        <v>158.94999999999999</v>
      </c>
      <c r="AJ596" s="140">
        <v>4</v>
      </c>
      <c r="BP596" s="171"/>
      <c r="BQ596" s="172" cm="1">
        <f t="array" ref="BQ596:BR597">MINVERSE(MMULT(TRANSPOSE(BQ583:BR594),BQ583:BR594))</f>
        <v>3.9231105692941863</v>
      </c>
      <c r="BR596" s="171">
        <v>-5.3214889463571709E-12</v>
      </c>
      <c r="BS596" s="170"/>
      <c r="BT596" s="170" t="s">
        <v>1</v>
      </c>
      <c r="BU596" s="170"/>
      <c r="BV596" s="170"/>
      <c r="BW596" s="167"/>
      <c r="BX596" s="167"/>
      <c r="BY596" s="167"/>
      <c r="BZ596" s="170" t="s">
        <v>220</v>
      </c>
      <c r="CA596" s="170" t="s">
        <v>221</v>
      </c>
      <c r="CB596" s="170" t="s">
        <v>222</v>
      </c>
    </row>
    <row r="597" spans="30:80" ht="20.100000000000001" customHeight="1" x14ac:dyDescent="0.25">
      <c r="AE597" s="140">
        <f>B37</f>
        <v>295</v>
      </c>
      <c r="AL597" s="140" cm="1">
        <f t="array" ref="AL597:AW600">MMULT(_xlfn.ANCHORARRAY(AL592),AL582:AW585)</f>
        <v>2.4964035597128085</v>
      </c>
      <c r="AM597" s="140">
        <v>1.7793579951813523</v>
      </c>
      <c r="AN597" s="140">
        <v>-6.8859685509144564E-2</v>
      </c>
      <c r="AO597" s="140">
        <v>-0.2069018693850071</v>
      </c>
      <c r="AP597" s="140">
        <v>-0.50205721362078959</v>
      </c>
      <c r="AQ597" s="140">
        <v>-0.65645811512894736</v>
      </c>
      <c r="AR597" s="140">
        <v>3.2463151545318092E-2</v>
      </c>
      <c r="AS597" s="140">
        <v>0.43482412294800865</v>
      </c>
      <c r="AT597" s="140">
        <v>-0.73954135599547344</v>
      </c>
      <c r="AU597" s="140">
        <v>-0.12782054007528865</v>
      </c>
      <c r="AV597" s="140">
        <v>-0.40225316547583601</v>
      </c>
      <c r="AW597" s="140">
        <v>-1.0391568841969883</v>
      </c>
      <c r="BP597" s="171"/>
      <c r="BQ597" s="172">
        <v>-5.3214889463571701E-12</v>
      </c>
      <c r="BR597" s="171">
        <v>7.3749706990789226E-24</v>
      </c>
      <c r="BS597" s="170"/>
      <c r="BT597" s="173">
        <f>(CA597/(C95-1))^(1/2)</f>
        <v>63799.476439401522</v>
      </c>
      <c r="BU597" s="170"/>
      <c r="BV597" s="170"/>
      <c r="BW597" s="167">
        <f>SUMSQ(BW583:BW594)</f>
        <v>1068669305.7733393</v>
      </c>
      <c r="BX597" s="167">
        <f>SUMSQ(BX583:BX594)</f>
        <v>44774105133.359253</v>
      </c>
      <c r="BY597" s="167">
        <f>SUMSQ(BY583:BY594)</f>
        <v>45842774439.132561</v>
      </c>
      <c r="BZ597" s="174">
        <f>SUM(BZ583:BZ594)</f>
        <v>1068669305.7733393</v>
      </c>
      <c r="CA597" s="174">
        <f>SUM(CA583:CA594)</f>
        <v>44774105133.359253</v>
      </c>
      <c r="CB597" s="174">
        <f>SUM(CB583:CB594)</f>
        <v>45842774439.132561</v>
      </c>
    </row>
    <row r="598" spans="30:80" ht="20.100000000000001" customHeight="1" x14ac:dyDescent="0.25">
      <c r="AE598" s="140">
        <f>B38</f>
        <v>158.94999999999999</v>
      </c>
      <c r="AG598" s="140" cm="1">
        <f t="array" ref="AG598:AJ598">MMULT(_xlfn.ANCHORARRAY(AG596),_xlfn.ANCHORARRAY(AL592))</f>
        <v>2.4471314510720554</v>
      </c>
      <c r="AH598" s="140">
        <v>-8.1293355698200884E-3</v>
      </c>
      <c r="AI598" s="140">
        <v>-1.0296068259515304E-2</v>
      </c>
      <c r="AJ598" s="140">
        <v>0.71435025691944709</v>
      </c>
      <c r="AL598" s="140">
        <v>-4.3076569429608812E-3</v>
      </c>
      <c r="AM598" s="140">
        <v>-2.0146097555073569E-3</v>
      </c>
      <c r="AN598" s="140">
        <v>3.0768978164006384E-3</v>
      </c>
      <c r="AO598" s="140">
        <v>3.2453688820676205E-3</v>
      </c>
      <c r="AP598" s="140">
        <v>1.9452164414624547E-3</v>
      </c>
      <c r="AQ598" s="140">
        <v>2.5117700739388637E-3</v>
      </c>
      <c r="AR598" s="140">
        <v>-6.9224799770473307E-4</v>
      </c>
      <c r="AS598" s="140">
        <v>-2.5067146457051891E-3</v>
      </c>
      <c r="AT598" s="140">
        <v>2.1405201646773186E-3</v>
      </c>
      <c r="AU598" s="140">
        <v>-7.8022109072807717E-4</v>
      </c>
      <c r="AV598" s="140">
        <v>-2.4776783399529188E-3</v>
      </c>
      <c r="AW598" s="140">
        <v>-1.4064460598772581E-4</v>
      </c>
      <c r="BQ598" s="172"/>
      <c r="BR598" s="171"/>
      <c r="BS598" s="170"/>
      <c r="BT598" s="173" t="s">
        <v>151</v>
      </c>
      <c r="BU598" s="170"/>
      <c r="BV598" s="170"/>
      <c r="BZ598" s="170"/>
      <c r="CA598" s="170"/>
      <c r="CB598" s="170"/>
    </row>
    <row r="599" spans="30:80" ht="20.100000000000001" customHeight="1" x14ac:dyDescent="0.25">
      <c r="AE599" s="140">
        <f>B39</f>
        <v>4</v>
      </c>
      <c r="AL599" s="140">
        <v>-5.4662055424776305E-3</v>
      </c>
      <c r="AM599" s="140">
        <v>-3.3990193333402162E-3</v>
      </c>
      <c r="AN599" s="140">
        <v>3.9044325303411558E-3</v>
      </c>
      <c r="AO599" s="140">
        <v>4.9607923454766702E-3</v>
      </c>
      <c r="AP599" s="140">
        <v>-3.3454058687904867E-3</v>
      </c>
      <c r="AQ599" s="140">
        <v>-3.0758521637233131E-3</v>
      </c>
      <c r="AR599" s="140">
        <v>-2.647843190122099E-3</v>
      </c>
      <c r="AS599" s="140">
        <v>-2.5349213427216834E-3</v>
      </c>
      <c r="AT599" s="140">
        <v>-1.3000746647862417E-3</v>
      </c>
      <c r="AU599" s="140">
        <v>-7.3728883865144951E-4</v>
      </c>
      <c r="AV599" s="140">
        <v>6.2647385176966379E-3</v>
      </c>
      <c r="AW599" s="140">
        <v>7.3766475510987257E-3</v>
      </c>
      <c r="BQ599" s="172" cm="1">
        <f t="array" ref="BQ599:BQ600">MMULT((MINVERSE(MMULT(TRANSPOSE(BQ583:BR594),BQ583:BR594))),MMULT(TRANSPOSE(BQ583:BR594),BS583:BS594))</f>
        <v>122845.53854440479</v>
      </c>
      <c r="BR599" s="171"/>
      <c r="BS599" s="170"/>
      <c r="BT599" s="173">
        <f>BT597*(SQRT(BQ596))</f>
        <v>126366.62572896616</v>
      </c>
      <c r="BU599" s="170"/>
      <c r="BV599" s="170"/>
      <c r="BZ599" s="170"/>
      <c r="CA599" s="170"/>
      <c r="CB599" s="170"/>
    </row>
    <row r="600" spans="30:80" ht="20.100000000000001" customHeight="1" x14ac:dyDescent="0.25">
      <c r="AG600" s="140" cm="1">
        <f t="array" ref="AG600">MMULT(_xlfn.ANCHORARRAY(AG598),AE596:AE599)</f>
        <v>1.2698184358029603</v>
      </c>
      <c r="AL600" s="140">
        <v>6.2544980348636425E-2</v>
      </c>
      <c r="AM600" s="140">
        <v>-8.3290772676839708E-2</v>
      </c>
      <c r="AN600" s="140">
        <v>-0.47324641453474037</v>
      </c>
      <c r="AO600" s="140">
        <v>-0.50600779313705635</v>
      </c>
      <c r="AP600" s="140">
        <v>0.12557463367589428</v>
      </c>
      <c r="AQ600" s="140">
        <v>9.5421467163051332E-2</v>
      </c>
      <c r="AR600" s="140">
        <v>0.2183560006636851</v>
      </c>
      <c r="AS600" s="140">
        <v>0.29113070485631809</v>
      </c>
      <c r="AT600" s="140">
        <v>6.7590168099472159E-2</v>
      </c>
      <c r="AU600" s="140">
        <v>0.1754481183436849</v>
      </c>
      <c r="AV600" s="140">
        <v>7.5430359531684754E-2</v>
      </c>
      <c r="AW600" s="140">
        <v>-4.8951452333791057E-2</v>
      </c>
      <c r="BQ600" s="175">
        <v>-8.8777276468042928E-8</v>
      </c>
      <c r="BR600" s="171"/>
      <c r="BS600" s="170"/>
      <c r="BT600" s="173">
        <f>BT597*(SQRT(BR597))</f>
        <v>1.7325958282195158E-7</v>
      </c>
      <c r="BU600" s="170"/>
      <c r="BV600" s="170"/>
      <c r="BW600" s="170" t="s">
        <v>7</v>
      </c>
      <c r="BX600" s="174">
        <f>SQRT(BX601)</f>
        <v>0.15268143079157365</v>
      </c>
      <c r="BZ600" s="170" t="s">
        <v>7</v>
      </c>
      <c r="CA600" s="174">
        <f>SQRT(CA601)</f>
        <v>0.15268143079157365</v>
      </c>
      <c r="CB600" s="170"/>
    </row>
    <row r="601" spans="30:80" ht="20.100000000000001" customHeight="1" x14ac:dyDescent="0.25">
      <c r="BQ601" s="175"/>
      <c r="BR601" s="171"/>
      <c r="BS601" s="170"/>
      <c r="BT601" s="170"/>
      <c r="BU601" s="170"/>
      <c r="BV601" s="170"/>
      <c r="BW601" s="170" t="s">
        <v>6</v>
      </c>
      <c r="BX601" s="174">
        <f>BW597/BY597</f>
        <v>2.3311619308562091E-2</v>
      </c>
      <c r="BZ601" s="170" t="s">
        <v>6</v>
      </c>
      <c r="CA601" s="174">
        <f>BZ597/CB597</f>
        <v>2.3311619308562091E-2</v>
      </c>
      <c r="CB601" s="170"/>
    </row>
    <row r="602" spans="30:80" ht="20.100000000000001" customHeight="1" x14ac:dyDescent="0.25">
      <c r="AF602" s="140" t="s">
        <v>148</v>
      </c>
      <c r="AG602" s="140">
        <f>SQRT(AG600)</f>
        <v>1.1268622079930448</v>
      </c>
      <c r="BQ602" s="176"/>
      <c r="BR602" s="171"/>
      <c r="BS602" s="171"/>
      <c r="BT602" s="171"/>
      <c r="BW602" s="160" t="s">
        <v>11</v>
      </c>
      <c r="BZ602" s="160" t="s">
        <v>11</v>
      </c>
      <c r="CB602" s="177"/>
    </row>
    <row r="603" spans="30:80" ht="20.100000000000001" customHeight="1" x14ac:dyDescent="0.25">
      <c r="BQ603" s="171"/>
      <c r="BR603" s="171"/>
      <c r="BS603" s="171"/>
      <c r="BT603" s="178"/>
    </row>
    <row r="604" spans="30:80" ht="20.100000000000001" customHeight="1" x14ac:dyDescent="0.25">
      <c r="AF604" s="140" t="s">
        <v>184</v>
      </c>
      <c r="AG604" s="140">
        <f>SQRT(1+AG600)</f>
        <v>1.5065916619319784</v>
      </c>
    </row>
    <row r="605" spans="30:80" ht="20.100000000000001" customHeight="1" x14ac:dyDescent="0.25">
      <c r="AL605" s="140" cm="1">
        <f t="array" ref="AL605:AW616">MMULT(AF582:AI593,_xlfn.ANCHORARRAY(AL597))</f>
        <v>0.57181058649880889</v>
      </c>
      <c r="AM605" s="140">
        <v>0.41524985049759378</v>
      </c>
      <c r="AN605" s="140">
        <v>2.0135295357999183E-2</v>
      </c>
      <c r="AO605" s="140">
        <v>-7.1957323543894169E-3</v>
      </c>
      <c r="AP605" s="140">
        <v>-4.357926047294336E-2</v>
      </c>
      <c r="AQ605" s="140">
        <v>-7.8040516016631201E-2</v>
      </c>
      <c r="AR605" s="140">
        <v>8.2680275706638606E-2</v>
      </c>
      <c r="AS605" s="140">
        <v>0.17596364239715367</v>
      </c>
      <c r="AT605" s="140">
        <v>-8.9626002011797601E-2</v>
      </c>
      <c r="AU605" s="140">
        <v>5.386416193962551E-2</v>
      </c>
      <c r="AV605" s="140">
        <v>2.0445188787838298E-2</v>
      </c>
      <c r="AW605" s="140">
        <v>-0.12170749032987049</v>
      </c>
    </row>
    <row r="606" spans="30:80" ht="20.100000000000001" customHeight="1" x14ac:dyDescent="0.25">
      <c r="AL606" s="140">
        <v>0.41524985049759422</v>
      </c>
      <c r="AM606" s="140">
        <v>0.33781646116567177</v>
      </c>
      <c r="AN606" s="140">
        <v>0.1319643925017242</v>
      </c>
      <c r="AO606" s="140">
        <v>0.11496929583502258</v>
      </c>
      <c r="AP606" s="140">
        <v>-1.9497965730221889E-3</v>
      </c>
      <c r="AQ606" s="140">
        <v>-1.8066674617081835E-2</v>
      </c>
      <c r="AR606" s="140">
        <v>4.8673619824886161E-2</v>
      </c>
      <c r="AS606" s="140">
        <v>8.8087596312389604E-2</v>
      </c>
      <c r="AT606" s="140">
        <v>-3.1910770395409294E-2</v>
      </c>
      <c r="AU606" s="140">
        <v>2.6771085024525909E-2</v>
      </c>
      <c r="AV606" s="140">
        <v>-2.2561468822266062E-2</v>
      </c>
      <c r="AW606" s="140">
        <v>-8.9043590754008362E-2</v>
      </c>
      <c r="BL606" s="140" cm="1">
        <f t="array" ref="BL606:BW607">TRANSPOSE(BQ583:BR594)</f>
        <v>1</v>
      </c>
      <c r="BM606" s="140">
        <v>1</v>
      </c>
      <c r="BN606" s="140">
        <v>1</v>
      </c>
      <c r="BO606" s="140">
        <v>1</v>
      </c>
      <c r="BP606" s="140">
        <v>1</v>
      </c>
      <c r="BQ606" s="140">
        <v>1</v>
      </c>
      <c r="BR606" s="140">
        <v>1</v>
      </c>
      <c r="BS606" s="140">
        <v>1</v>
      </c>
      <c r="BT606" s="140">
        <v>1</v>
      </c>
      <c r="BU606" s="140">
        <v>1</v>
      </c>
      <c r="BV606" s="140">
        <v>1</v>
      </c>
      <c r="BW606" s="140">
        <v>1</v>
      </c>
      <c r="CA606" s="179">
        <f>(CA597/BZ613)^(1/2)</f>
        <v>66913.455398267426</v>
      </c>
    </row>
    <row r="607" spans="30:80" ht="20.100000000000001" customHeight="1" x14ac:dyDescent="0.25">
      <c r="AL607" s="140">
        <v>2.0135295358000627E-2</v>
      </c>
      <c r="AM607" s="140">
        <v>0.13196439250172509</v>
      </c>
      <c r="AN607" s="140">
        <v>0.41418907474429134</v>
      </c>
      <c r="AO607" s="140">
        <v>0.43371123739599637</v>
      </c>
      <c r="AP607" s="140">
        <v>3.1128043194962984E-2</v>
      </c>
      <c r="AQ607" s="140">
        <v>5.5743225726167078E-2</v>
      </c>
      <c r="AR607" s="140">
        <v>-5.9057339790450358E-2</v>
      </c>
      <c r="AS607" s="140">
        <v>-0.12568831599796382</v>
      </c>
      <c r="AT607" s="140">
        <v>6.4018572865573831E-2</v>
      </c>
      <c r="AU607" s="140">
        <v>-3.8474401385445001E-2</v>
      </c>
      <c r="AV607" s="140">
        <v>-1.460370627702523E-2</v>
      </c>
      <c r="AW607" s="140">
        <v>8.6933921664196223E-2</v>
      </c>
      <c r="BL607" s="140">
        <v>511940250000</v>
      </c>
      <c r="BM607" s="140">
        <v>552643560000</v>
      </c>
      <c r="BN607" s="140">
        <v>691558560000</v>
      </c>
      <c r="BO607" s="140">
        <v>711154890000</v>
      </c>
      <c r="BP607" s="140">
        <v>723350250000</v>
      </c>
      <c r="BQ607" s="140">
        <v>729486810000</v>
      </c>
      <c r="BR607" s="140">
        <v>721820160000</v>
      </c>
      <c r="BS607" s="140">
        <v>715716000000</v>
      </c>
      <c r="BT607" s="140">
        <v>758989440000</v>
      </c>
      <c r="BU607" s="140">
        <v>755856360000</v>
      </c>
      <c r="BV607" s="140">
        <v>876096000000</v>
      </c>
      <c r="BW607" s="140">
        <v>910116000000</v>
      </c>
    </row>
    <row r="608" spans="30:80" ht="20.100000000000001" customHeight="1" x14ac:dyDescent="0.25">
      <c r="AL608" s="140">
        <v>-7.1957323543874185E-3</v>
      </c>
      <c r="AM608" s="140">
        <v>0.11496929583502402</v>
      </c>
      <c r="AN608" s="140">
        <v>0.43371123739599726</v>
      </c>
      <c r="AO608" s="140">
        <v>0.45851519912337979</v>
      </c>
      <c r="AP608" s="140">
        <v>1.4401013851010558E-2</v>
      </c>
      <c r="AQ608" s="140">
        <v>4.0363964907550565E-2</v>
      </c>
      <c r="AR608" s="140">
        <v>-7.2296555741060864E-2</v>
      </c>
      <c r="AS608" s="140">
        <v>-0.13836292271157236</v>
      </c>
      <c r="AT608" s="140">
        <v>5.7518199541642612E-2</v>
      </c>
      <c r="AU608" s="140">
        <v>-4.2160845578702255E-2</v>
      </c>
      <c r="AV608" s="140">
        <v>1.6719986311457991E-2</v>
      </c>
      <c r="AW608" s="140">
        <v>0.12381715941968974</v>
      </c>
    </row>
    <row r="609" spans="34:78" ht="20.100000000000001" customHeight="1" x14ac:dyDescent="0.25">
      <c r="AL609" s="140">
        <v>-4.3579260472943804E-2</v>
      </c>
      <c r="AM609" s="140">
        <v>-1.9497965730214117E-3</v>
      </c>
      <c r="AN609" s="140">
        <v>3.1128043194966093E-2</v>
      </c>
      <c r="AO609" s="140">
        <v>1.4401013851013555E-2</v>
      </c>
      <c r="AP609" s="140">
        <v>0.27185582610018522</v>
      </c>
      <c r="AQ609" s="140">
        <v>0.28741755763188392</v>
      </c>
      <c r="AR609" s="140">
        <v>0.15670267687085693</v>
      </c>
      <c r="AS609" s="140">
        <v>8.5509587165953027E-2</v>
      </c>
      <c r="AT609" s="140">
        <v>0.23451133452935571</v>
      </c>
      <c r="AU609" s="140">
        <v>0.11157731953417516</v>
      </c>
      <c r="AV609" s="140">
        <v>-0.10588322220032942</v>
      </c>
      <c r="AW609" s="140">
        <v>-4.1691079632066641E-2</v>
      </c>
      <c r="BL609" s="140" cm="1">
        <f t="array" ref="BL609:BM610">MMULT(_xlfn.ANCHORARRAY(BL606),BQ583:BR594)</f>
        <v>12</v>
      </c>
      <c r="BM609" s="140">
        <v>8658728280000</v>
      </c>
      <c r="BY609" s="140" t="s">
        <v>168</v>
      </c>
      <c r="BZ609" s="140">
        <v>12</v>
      </c>
    </row>
    <row r="610" spans="34:78" ht="20.100000000000001" customHeight="1" x14ac:dyDescent="0.25">
      <c r="AL610" s="140">
        <v>-7.8040516016630757E-2</v>
      </c>
      <c r="AM610" s="140">
        <v>-1.8066674617080336E-2</v>
      </c>
      <c r="AN610" s="140">
        <v>5.5743225726171186E-2</v>
      </c>
      <c r="AO610" s="140">
        <v>4.036396490755445E-2</v>
      </c>
      <c r="AP610" s="140">
        <v>0.28741755763188492</v>
      </c>
      <c r="AQ610" s="140">
        <v>0.30751171822339474</v>
      </c>
      <c r="AR610" s="140">
        <v>0.15116469288921908</v>
      </c>
      <c r="AS610" s="140">
        <v>6.5455870000311611E-2</v>
      </c>
      <c r="AT610" s="140">
        <v>0.25163549584677425</v>
      </c>
      <c r="AU610" s="140">
        <v>0.10533555080835055</v>
      </c>
      <c r="AV610" s="140">
        <v>-0.12570464891995292</v>
      </c>
      <c r="AW610" s="140">
        <v>-4.2816236479968461E-2</v>
      </c>
      <c r="BL610" s="140">
        <v>8658728280000</v>
      </c>
      <c r="BM610" s="140">
        <v>6.3833917112931492E+24</v>
      </c>
      <c r="BY610" s="140" t="s">
        <v>169</v>
      </c>
      <c r="BZ610" s="140">
        <v>1</v>
      </c>
    </row>
    <row r="611" spans="34:78" ht="20.100000000000001" customHeight="1" x14ac:dyDescent="0.25">
      <c r="AL611" s="140">
        <v>8.2680275706637052E-2</v>
      </c>
      <c r="AM611" s="140">
        <v>4.8673619824885384E-2</v>
      </c>
      <c r="AN611" s="140">
        <v>-5.9057339790449026E-2</v>
      </c>
      <c r="AO611" s="140">
        <v>-7.2296555741059976E-2</v>
      </c>
      <c r="AP611" s="140">
        <v>0.15670267687085726</v>
      </c>
      <c r="AQ611" s="140">
        <v>0.15116469288921841</v>
      </c>
      <c r="AR611" s="140">
        <v>0.15929866087323474</v>
      </c>
      <c r="AS611" s="140">
        <v>0.16544238885835427</v>
      </c>
      <c r="AT611" s="140">
        <v>0.13160874096504599</v>
      </c>
      <c r="AU611" s="140">
        <v>0.1369737169582399</v>
      </c>
      <c r="AV611" s="140">
        <v>6.0826653254659524E-2</v>
      </c>
      <c r="AW611" s="140">
        <v>3.7982469330405166E-2</v>
      </c>
      <c r="BY611" s="140" t="s">
        <v>170</v>
      </c>
      <c r="BZ611" s="140">
        <v>2</v>
      </c>
    </row>
    <row r="612" spans="34:78" ht="20.100000000000001" customHeight="1" x14ac:dyDescent="0.25">
      <c r="AL612" s="140">
        <v>0.17596364239715356</v>
      </c>
      <c r="AM612" s="140">
        <v>8.8087596312390382E-2</v>
      </c>
      <c r="AN612" s="140">
        <v>-0.12568831599796093</v>
      </c>
      <c r="AO612" s="140">
        <v>-0.13836292271156991</v>
      </c>
      <c r="AP612" s="140">
        <v>8.5509587165956136E-2</v>
      </c>
      <c r="AQ612" s="140">
        <v>6.5455870000313721E-2</v>
      </c>
      <c r="AR612" s="140">
        <v>0.16544238885835683</v>
      </c>
      <c r="AS612" s="140">
        <v>0.22295579222449113</v>
      </c>
      <c r="AT612" s="140">
        <v>6.5173803030149857E-2</v>
      </c>
      <c r="AU612" s="140">
        <v>0.15513346330536881</v>
      </c>
      <c r="AV612" s="140">
        <v>0.16152533936182456</v>
      </c>
      <c r="AW612" s="140">
        <v>7.8803756053555052E-2</v>
      </c>
      <c r="BQ612" s="140" t="s">
        <v>227</v>
      </c>
    </row>
    <row r="613" spans="34:78" ht="20.100000000000001" customHeight="1" x14ac:dyDescent="0.25">
      <c r="AH613" s="147"/>
      <c r="AI613" s="147"/>
      <c r="AJ613" s="147"/>
      <c r="AK613" s="153"/>
      <c r="AL613" s="147">
        <v>-8.9626002011798378E-2</v>
      </c>
      <c r="AM613" s="147">
        <v>-3.1910770395408905E-2</v>
      </c>
      <c r="AN613" s="147">
        <v>6.401857286557644E-2</v>
      </c>
      <c r="AO613" s="147">
        <v>5.7518199541644943E-2</v>
      </c>
      <c r="AP613" s="147">
        <v>0.23451133452935546</v>
      </c>
      <c r="AQ613" s="147">
        <v>0.25163549584677303</v>
      </c>
      <c r="AR613" s="147">
        <v>0.13160874096504549</v>
      </c>
      <c r="AS613" s="147">
        <v>6.5173803030146527E-2</v>
      </c>
      <c r="AT613" s="147">
        <v>0.21722954755213869</v>
      </c>
      <c r="AU613" s="147">
        <v>0.10576487332911688</v>
      </c>
      <c r="AV613" s="147">
        <v>-3.8280480343457102E-2</v>
      </c>
      <c r="AW613" s="147">
        <v>3.2356685090896065E-2</v>
      </c>
      <c r="AX613" s="147"/>
      <c r="AY613" s="147"/>
      <c r="AZ613" s="147"/>
      <c r="BA613" s="147"/>
      <c r="BB613" s="147"/>
      <c r="BC613" s="147"/>
      <c r="BD613" s="147"/>
      <c r="BE613" s="147"/>
      <c r="BF613" s="147"/>
      <c r="BG613" s="147"/>
      <c r="BH613" s="147"/>
      <c r="BI613" s="147"/>
      <c r="BJ613" s="147"/>
      <c r="BK613" s="147"/>
      <c r="BL613" s="180" cm="1">
        <f t="array" ref="BL613:BM614">MINVERSE(_xlfn.ANCHORARRAY(BL609))</f>
        <v>3.9231105692941863</v>
      </c>
      <c r="BM613" s="180">
        <v>-5.3214889463571709E-12</v>
      </c>
      <c r="BO613" s="164">
        <f>$CA$606*(SQRT(BL613))</f>
        <v>132534.43517794562</v>
      </c>
      <c r="BQ613" s="164">
        <f>ABS(BL621/BO613)</f>
        <v>0.92689525087927405</v>
      </c>
      <c r="BR613" s="181">
        <f>_xlfn.T.DIST.2T(ABS(BQ613),$BZ$613)</f>
        <v>0.3758097332709992</v>
      </c>
      <c r="BY613" s="140" t="s">
        <v>171</v>
      </c>
      <c r="BZ613" s="140">
        <f>BZ609-BZ611</f>
        <v>10</v>
      </c>
    </row>
    <row r="614" spans="34:78" ht="20.100000000000001" customHeight="1" x14ac:dyDescent="0.25">
      <c r="AH614" s="147"/>
      <c r="AI614" s="147"/>
      <c r="AJ614" s="147"/>
      <c r="AK614" s="153"/>
      <c r="AL614" s="147">
        <v>5.3864161939626065E-2</v>
      </c>
      <c r="AM614" s="147">
        <v>2.6771085024527297E-2</v>
      </c>
      <c r="AN614" s="147">
        <v>-3.8474401385441226E-2</v>
      </c>
      <c r="AO614" s="147">
        <v>-4.2160845578699035E-2</v>
      </c>
      <c r="AP614" s="147">
        <v>0.11157731953417771</v>
      </c>
      <c r="AQ614" s="147">
        <v>0.10533555080835211</v>
      </c>
      <c r="AR614" s="147">
        <v>0.13697371695824223</v>
      </c>
      <c r="AS614" s="147">
        <v>0.15513346330536848</v>
      </c>
      <c r="AT614" s="147">
        <v>0.1057648733291196</v>
      </c>
      <c r="AU614" s="147">
        <v>0.13428215511609398</v>
      </c>
      <c r="AV614" s="147">
        <v>0.13834010847134359</v>
      </c>
      <c r="AW614" s="147">
        <v>0.11259281247731878</v>
      </c>
      <c r="AX614" s="147"/>
      <c r="AY614" s="147"/>
      <c r="AZ614" s="147"/>
      <c r="BA614" s="147"/>
      <c r="BB614" s="147"/>
      <c r="BC614" s="147"/>
      <c r="BD614" s="147"/>
      <c r="BE614" s="147"/>
      <c r="BF614" s="147"/>
      <c r="BG614" s="147"/>
      <c r="BH614" s="147"/>
      <c r="BI614" s="147"/>
      <c r="BJ614" s="147"/>
      <c r="BK614" s="147"/>
      <c r="BL614" s="180">
        <v>-5.3214889463571701E-12</v>
      </c>
      <c r="BM614" s="180">
        <v>7.3749706990789226E-24</v>
      </c>
      <c r="BO614" s="164">
        <f>$CA$606*(SQRT(BM614))</f>
        <v>1.81716183493932E-7</v>
      </c>
      <c r="BQ614" s="164">
        <f>ABS(BL622/BO614)</f>
        <v>0.48854909211213676</v>
      </c>
      <c r="BR614" s="181">
        <f>_xlfn.T.DIST.2T(ABS(BQ614),$BZ$613)</f>
        <v>0.63569701625643837</v>
      </c>
    </row>
    <row r="615" spans="34:78" ht="20.100000000000001" customHeight="1" x14ac:dyDescent="0.25">
      <c r="AH615" s="147"/>
      <c r="AI615" s="147"/>
      <c r="AJ615" s="147"/>
      <c r="AK615" s="153"/>
      <c r="AL615" s="147">
        <v>2.0445188787838742E-2</v>
      </c>
      <c r="AM615" s="147">
        <v>-2.2561468822264841E-2</v>
      </c>
      <c r="AN615" s="147">
        <v>-1.4603706277022344E-2</v>
      </c>
      <c r="AO615" s="147">
        <v>1.6719986311460211E-2</v>
      </c>
      <c r="AP615" s="147">
        <v>-0.10588322220032742</v>
      </c>
      <c r="AQ615" s="147">
        <v>-0.12570464891995159</v>
      </c>
      <c r="AR615" s="147">
        <v>6.0826653254661744E-2</v>
      </c>
      <c r="AS615" s="147">
        <v>0.16152533936182434</v>
      </c>
      <c r="AT615" s="147">
        <v>-3.8280480343454715E-2</v>
      </c>
      <c r="AU615" s="147">
        <v>0.13834010847134326</v>
      </c>
      <c r="AV615" s="147">
        <v>0.49546981779718458</v>
      </c>
      <c r="AW615" s="147">
        <v>0.41370643257874007</v>
      </c>
      <c r="AX615" s="147"/>
      <c r="AY615" s="147"/>
      <c r="AZ615" s="147"/>
      <c r="BA615" s="147"/>
      <c r="BB615" s="147"/>
      <c r="BC615" s="147"/>
      <c r="BD615" s="147"/>
      <c r="BE615" s="147"/>
      <c r="BF615" s="147"/>
      <c r="BG615" s="147"/>
      <c r="BH615" s="147"/>
      <c r="BI615" s="147"/>
      <c r="BJ615" s="147"/>
      <c r="BK615" s="147"/>
    </row>
    <row r="616" spans="34:78" ht="20.100000000000001" customHeight="1" x14ac:dyDescent="0.25">
      <c r="AH616" s="147"/>
      <c r="AI616" s="147"/>
      <c r="AJ616" s="147"/>
      <c r="AK616" s="153"/>
      <c r="AL616" s="147">
        <v>-0.12170749032987027</v>
      </c>
      <c r="AM616" s="147">
        <v>-8.9043590754007695E-2</v>
      </c>
      <c r="AN616" s="147">
        <v>8.6933921664198444E-2</v>
      </c>
      <c r="AO616" s="147">
        <v>0.12381715941969151</v>
      </c>
      <c r="AP616" s="147">
        <v>-4.1691079632066308E-2</v>
      </c>
      <c r="AQ616" s="147">
        <v>-4.2816236479969128E-2</v>
      </c>
      <c r="AR616" s="147">
        <v>3.7982469330405499E-2</v>
      </c>
      <c r="AS616" s="147">
        <v>7.8803756053553053E-2</v>
      </c>
      <c r="AT616" s="147">
        <v>3.2356685090896786E-2</v>
      </c>
      <c r="AU616" s="147">
        <v>0.11259281247731678</v>
      </c>
      <c r="AV616" s="147">
        <v>0.41370643257873807</v>
      </c>
      <c r="AW616" s="147">
        <v>0.40906516058114506</v>
      </c>
      <c r="AX616" s="147"/>
      <c r="AY616" s="147"/>
      <c r="AZ616" s="147"/>
      <c r="BA616" s="147"/>
      <c r="BB616" s="147"/>
      <c r="BC616" s="147"/>
      <c r="BD616" s="147"/>
      <c r="BE616" s="147"/>
      <c r="BF616" s="147"/>
      <c r="BG616" s="147"/>
      <c r="BH616" s="147"/>
      <c r="BI616" s="147"/>
      <c r="BJ616" s="147"/>
      <c r="BK616" s="147"/>
    </row>
    <row r="617" spans="34:78" ht="20.100000000000001" customHeight="1" x14ac:dyDescent="0.25">
      <c r="AH617" s="147"/>
      <c r="AI617" s="147"/>
      <c r="AJ617" s="147"/>
      <c r="AK617" s="153"/>
      <c r="AL617" s="147"/>
      <c r="AM617" s="147"/>
      <c r="AN617" s="147"/>
      <c r="AO617" s="147"/>
      <c r="AP617" s="147"/>
      <c r="AQ617" s="147"/>
      <c r="AR617" s="147"/>
      <c r="AS617" s="147"/>
      <c r="AT617" s="147"/>
      <c r="AU617" s="147"/>
      <c r="AV617" s="147"/>
      <c r="AW617" s="147"/>
      <c r="AX617" s="147"/>
      <c r="AY617" s="147"/>
      <c r="AZ617" s="147"/>
      <c r="BA617" s="147"/>
      <c r="BB617" s="147"/>
      <c r="BC617" s="147"/>
      <c r="BD617" s="147"/>
      <c r="BE617" s="147"/>
      <c r="BF617" s="147"/>
      <c r="BG617" s="147"/>
      <c r="BH617" s="147"/>
      <c r="BI617" s="147"/>
      <c r="BJ617" s="147"/>
      <c r="BK617" s="147"/>
      <c r="BL617" s="140" cm="1">
        <f t="array" ref="BL617:BL618">MMULT(_xlfn.ANCHORARRAY(BL606),BS583:BS594)</f>
        <v>705448.14815763384</v>
      </c>
    </row>
    <row r="618" spans="34:78" ht="20.100000000000001" customHeight="1" x14ac:dyDescent="0.25">
      <c r="AH618" s="147"/>
      <c r="AI618" s="147"/>
      <c r="AJ618" s="147"/>
      <c r="AK618" s="153"/>
      <c r="AL618" s="147"/>
      <c r="AM618" s="147"/>
      <c r="AN618" s="147"/>
      <c r="AO618" s="147"/>
      <c r="AP618" s="147"/>
      <c r="AQ618" s="147"/>
      <c r="AR618" s="147"/>
      <c r="AS618" s="147"/>
      <c r="AT618" s="147"/>
      <c r="AU618" s="147"/>
      <c r="AV618" s="147"/>
      <c r="AW618" s="147"/>
      <c r="AX618" s="147"/>
      <c r="AY618" s="147"/>
      <c r="AZ618" s="147"/>
      <c r="BA618" s="147"/>
      <c r="BB618" s="147"/>
      <c r="BC618" s="147"/>
      <c r="BD618" s="147"/>
      <c r="BE618" s="147"/>
      <c r="BF618" s="147"/>
      <c r="BG618" s="147"/>
      <c r="BH618" s="147"/>
      <c r="BI618" s="147"/>
      <c r="BJ618" s="147"/>
      <c r="BK618" s="147"/>
      <c r="BL618" s="140">
        <v>4.9698600790898099E+17</v>
      </c>
    </row>
    <row r="619" spans="34:78" ht="20.100000000000001" customHeight="1" x14ac:dyDescent="0.25">
      <c r="AL619" s="147"/>
      <c r="AM619" s="147"/>
      <c r="AN619" s="147"/>
      <c r="AO619" s="147"/>
      <c r="AP619" s="147"/>
      <c r="AQ619" s="147"/>
      <c r="AR619" s="147"/>
      <c r="AS619" s="147"/>
      <c r="AT619" s="147"/>
      <c r="AU619" s="147"/>
      <c r="AV619" s="147"/>
      <c r="AW619" s="147"/>
      <c r="AX619" s="147"/>
      <c r="AY619" s="147"/>
      <c r="AZ619" s="147"/>
      <c r="BA619" s="147"/>
      <c r="BB619" s="147"/>
      <c r="BC619" s="147"/>
      <c r="BD619" s="147"/>
      <c r="BE619" s="147"/>
      <c r="BF619" s="147"/>
      <c r="BG619" s="147"/>
      <c r="BH619" s="147"/>
      <c r="BI619" s="147"/>
      <c r="BJ619" s="147"/>
      <c r="BK619" s="147"/>
    </row>
    <row r="620" spans="34:78" ht="20.100000000000001" customHeight="1" x14ac:dyDescent="0.25">
      <c r="AL620" s="147"/>
      <c r="AM620" s="147"/>
      <c r="AN620" s="147"/>
      <c r="AO620" s="147"/>
      <c r="AP620" s="147"/>
      <c r="AQ620" s="147"/>
      <c r="AR620" s="147"/>
      <c r="AS620" s="147"/>
      <c r="AT620" s="147"/>
      <c r="AU620" s="147"/>
      <c r="AV620" s="147"/>
      <c r="AW620" s="147"/>
      <c r="AX620" s="147"/>
      <c r="AY620" s="147"/>
      <c r="AZ620" s="147"/>
      <c r="BA620" s="147"/>
      <c r="BB620" s="147"/>
      <c r="BC620" s="147"/>
      <c r="BD620" s="147"/>
      <c r="BE620" s="147"/>
      <c r="BF620" s="147"/>
      <c r="BG620" s="147"/>
      <c r="BH620" s="147"/>
      <c r="BI620" s="147"/>
      <c r="BJ620" s="147"/>
      <c r="BK620" s="147"/>
    </row>
    <row r="621" spans="34:78" ht="20.100000000000001" customHeight="1" x14ac:dyDescent="0.25">
      <c r="AL621" s="147"/>
      <c r="AM621" s="147"/>
      <c r="AN621" s="147"/>
      <c r="AO621" s="147"/>
      <c r="AP621" s="147"/>
      <c r="AQ621" s="147"/>
      <c r="AR621" s="147"/>
      <c r="AS621" s="147"/>
      <c r="AT621" s="147"/>
      <c r="AU621" s="147"/>
      <c r="AV621" s="147"/>
      <c r="AW621" s="147"/>
      <c r="AX621" s="147"/>
      <c r="AY621" s="147"/>
      <c r="AZ621" s="147"/>
      <c r="BA621" s="147"/>
      <c r="BB621" s="147"/>
      <c r="BC621" s="147"/>
      <c r="BD621" s="147"/>
      <c r="BE621" s="147"/>
      <c r="BF621" s="147"/>
      <c r="BG621" s="147"/>
      <c r="BH621" s="147"/>
      <c r="BI621" s="147"/>
      <c r="BJ621" s="147"/>
      <c r="BK621" s="147"/>
      <c r="BL621" s="182" cm="1">
        <f t="array" ref="BL621:BL622">MMULT(_xlfn.ANCHORARRAY(BL613),_xlfn.ANCHORARRAY(BL617))</f>
        <v>122845.53854440479</v>
      </c>
    </row>
    <row r="622" spans="34:78" ht="20.100000000000001" customHeight="1" x14ac:dyDescent="0.25">
      <c r="AL622" s="147"/>
      <c r="AM622" s="147"/>
      <c r="AN622" s="147"/>
      <c r="AO622" s="147"/>
      <c r="AP622" s="147"/>
      <c r="AQ622" s="147"/>
      <c r="AR622" s="147"/>
      <c r="AS622" s="147"/>
      <c r="AT622" s="147"/>
      <c r="AU622" s="147"/>
      <c r="AV622" s="147"/>
      <c r="AW622" s="147"/>
      <c r="AX622" s="147"/>
      <c r="AY622" s="147"/>
      <c r="AZ622" s="147"/>
      <c r="BA622" s="147"/>
      <c r="BB622" s="147"/>
      <c r="BC622" s="147"/>
      <c r="BD622" s="147"/>
      <c r="BE622" s="147"/>
      <c r="BF622" s="147"/>
      <c r="BG622" s="147"/>
      <c r="BH622" s="147"/>
      <c r="BI622" s="147"/>
      <c r="BJ622" s="147"/>
      <c r="BK622" s="147"/>
      <c r="BL622" s="182">
        <v>-8.8777276468042928E-8</v>
      </c>
    </row>
    <row r="624" spans="34:78" ht="20.100000000000001" customHeight="1" x14ac:dyDescent="0.25">
      <c r="AL624" s="160" t="s">
        <v>139</v>
      </c>
    </row>
    <row r="625" spans="34:43" ht="20.100000000000001" customHeight="1" x14ac:dyDescent="0.25">
      <c r="AI625" s="140" t="str">
        <f>C10</f>
        <v>Área edificada</v>
      </c>
      <c r="AJ625" s="140" t="str">
        <f>D10</f>
        <v>Quartos</v>
      </c>
      <c r="AL625" s="160" t="str">
        <f>B10</f>
        <v>Área do terreno</v>
      </c>
      <c r="AO625" s="140" t="s">
        <v>132</v>
      </c>
      <c r="AP625" s="140" t="s">
        <v>133</v>
      </c>
      <c r="AQ625" s="140" t="s">
        <v>134</v>
      </c>
    </row>
    <row r="626" spans="34:43" ht="20.100000000000001" customHeight="1" x14ac:dyDescent="0.25">
      <c r="AH626" s="141">
        <v>1</v>
      </c>
      <c r="AI626" s="140">
        <f>C11</f>
        <v>150</v>
      </c>
      <c r="AJ626" s="140">
        <f>D11</f>
        <v>3</v>
      </c>
      <c r="AL626" s="140">
        <f>B11</f>
        <v>300</v>
      </c>
      <c r="AN626" s="140" cm="1">
        <f t="array" ref="AN626:AN628">MMULT((MINVERSE(MMULT(TRANSPOSE(AH626:AJ637),AH626:AJ637))),MMULT(TRANSPOSE(AH626:AJ637),AL626:AL637))</f>
        <v>272.52654057352265</v>
      </c>
      <c r="AO626" s="140" cm="1">
        <f t="array" ref="AO626:AO637">MMULT(AH626:AJ637,(MMULT((MINVERSE(MMULT(TRANSPOSE(AH626:AJ637),AH626:AJ637))),MMULT(TRANSPOSE(AH626:AJ637),AL626:AL637))))</f>
        <v>360.82611348383318</v>
      </c>
      <c r="AP626" s="140">
        <f t="shared" ref="AP626:AP637" si="84">AL626</f>
        <v>300</v>
      </c>
      <c r="AQ626" s="140">
        <f t="shared" ref="AQ626:AQ637" si="85">AVERAGE($AL$626:$AL$637)</f>
        <v>380.25</v>
      </c>
    </row>
    <row r="627" spans="34:43" ht="20.100000000000001" customHeight="1" x14ac:dyDescent="0.25">
      <c r="AH627" s="141">
        <v>1</v>
      </c>
      <c r="AI627" s="140">
        <f>C12</f>
        <v>155</v>
      </c>
      <c r="AJ627" s="140">
        <f>D12</f>
        <v>3</v>
      </c>
      <c r="AL627" s="140">
        <f>B12</f>
        <v>330</v>
      </c>
      <c r="AN627" s="140">
        <v>-0.47577791336181008</v>
      </c>
      <c r="AO627" s="140">
        <v>358.44722391702413</v>
      </c>
      <c r="AP627" s="140">
        <f t="shared" si="84"/>
        <v>330</v>
      </c>
      <c r="AQ627" s="140">
        <f t="shared" si="85"/>
        <v>380.25</v>
      </c>
    </row>
    <row r="628" spans="34:43" ht="20.100000000000001" customHeight="1" x14ac:dyDescent="0.25">
      <c r="AH628" s="141">
        <v>1</v>
      </c>
      <c r="AI628" s="140">
        <f>C13</f>
        <v>180</v>
      </c>
      <c r="AJ628" s="140">
        <f>D13</f>
        <v>3</v>
      </c>
      <c r="AL628" s="140">
        <f>B13</f>
        <v>390</v>
      </c>
      <c r="AN628" s="140">
        <v>53.222086638194014</v>
      </c>
      <c r="AO628" s="140">
        <v>346.55277608297888</v>
      </c>
      <c r="AP628" s="140">
        <f t="shared" si="84"/>
        <v>390</v>
      </c>
      <c r="AQ628" s="140">
        <f t="shared" si="85"/>
        <v>380.25</v>
      </c>
    </row>
    <row r="629" spans="34:43" ht="20.100000000000001" customHeight="1" x14ac:dyDescent="0.25">
      <c r="AH629" s="141">
        <v>1</v>
      </c>
      <c r="AI629" s="140">
        <f>C14</f>
        <v>185</v>
      </c>
      <c r="AJ629" s="140">
        <f>D14</f>
        <v>3</v>
      </c>
      <c r="AL629" s="140">
        <f>B14</f>
        <v>390</v>
      </c>
      <c r="AO629" s="140">
        <v>344.17388651616983</v>
      </c>
      <c r="AP629" s="140">
        <f t="shared" si="84"/>
        <v>390</v>
      </c>
      <c r="AQ629" s="140">
        <f t="shared" si="85"/>
        <v>380.25</v>
      </c>
    </row>
    <row r="630" spans="34:43" ht="20.100000000000001" customHeight="1" x14ac:dyDescent="0.25">
      <c r="AH630" s="141">
        <v>1</v>
      </c>
      <c r="AI630" s="140">
        <f>C15</f>
        <v>170</v>
      </c>
      <c r="AJ630" s="140">
        <f>D15</f>
        <v>4</v>
      </c>
      <c r="AL630" s="140">
        <f>B15</f>
        <v>432</v>
      </c>
      <c r="AO630" s="140">
        <v>404.532641854791</v>
      </c>
      <c r="AP630" s="140">
        <f t="shared" si="84"/>
        <v>432</v>
      </c>
      <c r="AQ630" s="140">
        <f t="shared" si="85"/>
        <v>380.25</v>
      </c>
    </row>
    <row r="631" spans="34:43" ht="20.100000000000001" customHeight="1" x14ac:dyDescent="0.25">
      <c r="AH631" s="141">
        <v>1</v>
      </c>
      <c r="AI631" s="140">
        <f>C16</f>
        <v>170</v>
      </c>
      <c r="AJ631" s="140">
        <f>D16</f>
        <v>4</v>
      </c>
      <c r="AL631" s="140">
        <f>B16</f>
        <v>440</v>
      </c>
      <c r="AO631" s="140">
        <v>404.532641854791</v>
      </c>
      <c r="AP631" s="140">
        <f t="shared" si="84"/>
        <v>440</v>
      </c>
      <c r="AQ631" s="140">
        <f t="shared" si="85"/>
        <v>380.25</v>
      </c>
    </row>
    <row r="632" spans="34:43" ht="20.100000000000001" customHeight="1" x14ac:dyDescent="0.25">
      <c r="AH632" s="141">
        <v>1</v>
      </c>
      <c r="AI632" s="140">
        <f>C17</f>
        <v>180</v>
      </c>
      <c r="AJ632" s="140">
        <f>D17</f>
        <v>4</v>
      </c>
      <c r="AL632" s="140">
        <f>B17</f>
        <v>390</v>
      </c>
      <c r="AO632" s="140">
        <v>399.77486272117289</v>
      </c>
      <c r="AP632" s="140">
        <f t="shared" si="84"/>
        <v>390</v>
      </c>
      <c r="AQ632" s="140">
        <f t="shared" si="85"/>
        <v>380.25</v>
      </c>
    </row>
    <row r="633" spans="34:43" ht="20.100000000000001" customHeight="1" x14ac:dyDescent="0.25">
      <c r="AH633" s="141">
        <v>1</v>
      </c>
      <c r="AI633" s="140">
        <f>C18</f>
        <v>185</v>
      </c>
      <c r="AJ633" s="140">
        <f>D18</f>
        <v>4</v>
      </c>
      <c r="AL633" s="140">
        <f>B18</f>
        <v>362</v>
      </c>
      <c r="AO633" s="140">
        <v>397.39597315436384</v>
      </c>
      <c r="AP633" s="140">
        <f t="shared" si="84"/>
        <v>362</v>
      </c>
      <c r="AQ633" s="140">
        <f t="shared" si="85"/>
        <v>380.25</v>
      </c>
    </row>
    <row r="634" spans="34:43" ht="20.100000000000001" customHeight="1" x14ac:dyDescent="0.25">
      <c r="AH634" s="141">
        <v>1</v>
      </c>
      <c r="AI634" s="140">
        <f>C19</f>
        <v>180</v>
      </c>
      <c r="AJ634" s="140">
        <f>D19</f>
        <v>4</v>
      </c>
      <c r="AL634" s="140">
        <f>B19</f>
        <v>430</v>
      </c>
      <c r="AO634" s="140">
        <v>399.77486272117289</v>
      </c>
      <c r="AP634" s="140">
        <f t="shared" si="84"/>
        <v>430</v>
      </c>
      <c r="AQ634" s="140">
        <f t="shared" si="85"/>
        <v>380.25</v>
      </c>
    </row>
    <row r="635" spans="34:43" ht="20.100000000000001" customHeight="1" x14ac:dyDescent="0.25">
      <c r="AH635" s="141">
        <v>1</v>
      </c>
      <c r="AI635" s="140">
        <f>C20</f>
        <v>190</v>
      </c>
      <c r="AJ635" s="140">
        <f>D20</f>
        <v>4</v>
      </c>
      <c r="AL635" s="140">
        <f>B20</f>
        <v>384</v>
      </c>
      <c r="AO635" s="140">
        <v>395.01708358755479</v>
      </c>
      <c r="AP635" s="140">
        <f t="shared" si="84"/>
        <v>384</v>
      </c>
      <c r="AQ635" s="140">
        <f t="shared" si="85"/>
        <v>380.25</v>
      </c>
    </row>
    <row r="636" spans="34:43" ht="20.100000000000001" customHeight="1" x14ac:dyDescent="0.25">
      <c r="AH636" s="141">
        <v>1</v>
      </c>
      <c r="AI636" s="140">
        <f>C21</f>
        <v>230</v>
      </c>
      <c r="AJ636" s="140">
        <f>D21</f>
        <v>4</v>
      </c>
      <c r="AL636" s="140">
        <f>B21</f>
        <v>341</v>
      </c>
      <c r="AO636" s="140">
        <v>375.98596705308239</v>
      </c>
      <c r="AP636" s="140">
        <f t="shared" si="84"/>
        <v>341</v>
      </c>
      <c r="AQ636" s="140">
        <f t="shared" si="85"/>
        <v>380.25</v>
      </c>
    </row>
    <row r="637" spans="34:43" ht="20.100000000000001" customHeight="1" x14ac:dyDescent="0.25">
      <c r="AH637" s="141">
        <v>1</v>
      </c>
      <c r="AI637" s="140">
        <f>C22</f>
        <v>230</v>
      </c>
      <c r="AJ637" s="140">
        <f>D22</f>
        <v>4</v>
      </c>
      <c r="AL637" s="140">
        <f>B22</f>
        <v>374</v>
      </c>
      <c r="AO637" s="140">
        <v>375.98596705308239</v>
      </c>
      <c r="AP637" s="140">
        <f t="shared" si="84"/>
        <v>374</v>
      </c>
      <c r="AQ637" s="140">
        <f t="shared" si="85"/>
        <v>380.25</v>
      </c>
    </row>
    <row r="639" spans="34:43" ht="20.100000000000001" customHeight="1" x14ac:dyDescent="0.25">
      <c r="AO639" s="140" t="s">
        <v>140</v>
      </c>
      <c r="AP639" s="140" t="s">
        <v>135</v>
      </c>
      <c r="AQ639" s="140" t="s">
        <v>136</v>
      </c>
    </row>
    <row r="640" spans="34:43" ht="20.100000000000001" customHeight="1" x14ac:dyDescent="0.25">
      <c r="AO640" s="140">
        <f t="shared" ref="AO640:AO651" si="86">AO626-AQ626</f>
        <v>-19.423886516166817</v>
      </c>
      <c r="AP640" s="140">
        <f t="shared" ref="AP640:AP651" si="87">AP626-AO626</f>
        <v>-60.826113483833183</v>
      </c>
      <c r="AQ640" s="140">
        <f t="shared" ref="AQ640:AQ651" si="88">AP626-AQ626</f>
        <v>-80.25</v>
      </c>
    </row>
    <row r="641" spans="41:43" ht="20.100000000000001" customHeight="1" x14ac:dyDescent="0.25">
      <c r="AO641" s="140">
        <f t="shared" si="86"/>
        <v>-21.802776082975868</v>
      </c>
      <c r="AP641" s="140">
        <f t="shared" si="87"/>
        <v>-28.447223917024132</v>
      </c>
      <c r="AQ641" s="140">
        <f t="shared" si="88"/>
        <v>-50.25</v>
      </c>
    </row>
    <row r="642" spans="41:43" ht="20.100000000000001" customHeight="1" x14ac:dyDescent="0.25">
      <c r="AO642" s="140">
        <f t="shared" si="86"/>
        <v>-33.69722391702112</v>
      </c>
      <c r="AP642" s="140">
        <f t="shared" si="87"/>
        <v>43.44722391702112</v>
      </c>
      <c r="AQ642" s="140">
        <f t="shared" si="88"/>
        <v>9.75</v>
      </c>
    </row>
    <row r="643" spans="41:43" ht="20.100000000000001" customHeight="1" x14ac:dyDescent="0.25">
      <c r="AO643" s="140">
        <f t="shared" si="86"/>
        <v>-36.07611348383017</v>
      </c>
      <c r="AP643" s="140">
        <f t="shared" si="87"/>
        <v>45.82611348383017</v>
      </c>
      <c r="AQ643" s="140">
        <f t="shared" si="88"/>
        <v>9.75</v>
      </c>
    </row>
    <row r="644" spans="41:43" ht="20.100000000000001" customHeight="1" x14ac:dyDescent="0.25">
      <c r="AO644" s="140">
        <f t="shared" si="86"/>
        <v>24.282641854790995</v>
      </c>
      <c r="AP644" s="140">
        <f t="shared" si="87"/>
        <v>27.467358145209005</v>
      </c>
      <c r="AQ644" s="140">
        <f t="shared" si="88"/>
        <v>51.75</v>
      </c>
    </row>
    <row r="645" spans="41:43" ht="20.100000000000001" customHeight="1" x14ac:dyDescent="0.25">
      <c r="AO645" s="140">
        <f t="shared" si="86"/>
        <v>24.282641854790995</v>
      </c>
      <c r="AP645" s="140">
        <f t="shared" si="87"/>
        <v>35.467358145209005</v>
      </c>
      <c r="AQ645" s="140">
        <f t="shared" si="88"/>
        <v>59.75</v>
      </c>
    </row>
    <row r="646" spans="41:43" ht="20.100000000000001" customHeight="1" x14ac:dyDescent="0.25">
      <c r="AO646" s="140">
        <f t="shared" si="86"/>
        <v>19.524862721172894</v>
      </c>
      <c r="AP646" s="140">
        <f t="shared" si="87"/>
        <v>-9.7748627211728945</v>
      </c>
      <c r="AQ646" s="140">
        <f t="shared" si="88"/>
        <v>9.75</v>
      </c>
    </row>
    <row r="647" spans="41:43" ht="20.100000000000001" customHeight="1" x14ac:dyDescent="0.25">
      <c r="AO647" s="140">
        <f t="shared" si="86"/>
        <v>17.145973154363844</v>
      </c>
      <c r="AP647" s="140">
        <f t="shared" si="87"/>
        <v>-35.395973154363844</v>
      </c>
      <c r="AQ647" s="140">
        <f t="shared" si="88"/>
        <v>-18.25</v>
      </c>
    </row>
    <row r="648" spans="41:43" ht="20.100000000000001" customHeight="1" x14ac:dyDescent="0.25">
      <c r="AO648" s="140">
        <f t="shared" si="86"/>
        <v>19.524862721172894</v>
      </c>
      <c r="AP648" s="140">
        <f t="shared" si="87"/>
        <v>30.225137278827106</v>
      </c>
      <c r="AQ648" s="140">
        <f t="shared" si="88"/>
        <v>49.75</v>
      </c>
    </row>
    <row r="649" spans="41:43" ht="20.100000000000001" customHeight="1" x14ac:dyDescent="0.25">
      <c r="AO649" s="140">
        <f t="shared" si="86"/>
        <v>14.767083587554794</v>
      </c>
      <c r="AP649" s="140">
        <f t="shared" si="87"/>
        <v>-11.017083587554794</v>
      </c>
      <c r="AQ649" s="140">
        <f t="shared" si="88"/>
        <v>3.75</v>
      </c>
    </row>
    <row r="650" spans="41:43" ht="20.100000000000001" customHeight="1" x14ac:dyDescent="0.25">
      <c r="AO650" s="140">
        <f t="shared" si="86"/>
        <v>-4.2640329469176095</v>
      </c>
      <c r="AP650" s="140">
        <f t="shared" si="87"/>
        <v>-34.985967053082391</v>
      </c>
      <c r="AQ650" s="140">
        <f t="shared" si="88"/>
        <v>-39.25</v>
      </c>
    </row>
    <row r="651" spans="41:43" ht="20.100000000000001" customHeight="1" x14ac:dyDescent="0.25">
      <c r="AO651" s="140">
        <f t="shared" si="86"/>
        <v>-4.2640329469176095</v>
      </c>
      <c r="AP651" s="140">
        <f t="shared" si="87"/>
        <v>-1.9859670530823905</v>
      </c>
      <c r="AQ651" s="140">
        <f t="shared" si="88"/>
        <v>-6.25</v>
      </c>
    </row>
    <row r="652" spans="41:43" ht="20.100000000000001" customHeight="1" x14ac:dyDescent="0.25">
      <c r="AO652" s="140" t="s">
        <v>140</v>
      </c>
      <c r="AP652" s="140" t="s">
        <v>135</v>
      </c>
      <c r="AQ652" s="140" t="s">
        <v>136</v>
      </c>
    </row>
    <row r="653" spans="41:43" ht="20.100000000000001" customHeight="1" x14ac:dyDescent="0.25">
      <c r="AO653" s="140">
        <f>SUMSQ(AO640:AO651)</f>
        <v>5779.7863026235473</v>
      </c>
      <c r="AP653" s="140">
        <f>SUMSQ(AP640:AP651)</f>
        <v>14120.463697376446</v>
      </c>
      <c r="AQ653" s="140">
        <f>SUMSQ(AQ640:AQ651)</f>
        <v>19900.25</v>
      </c>
    </row>
    <row r="655" spans="41:43" ht="20.100000000000001" customHeight="1" x14ac:dyDescent="0.25">
      <c r="AO655" s="140" t="s">
        <v>138</v>
      </c>
      <c r="AP655" s="140">
        <f>AO653</f>
        <v>5779.7863026235473</v>
      </c>
    </row>
    <row r="656" spans="41:43" ht="20.100000000000001" customHeight="1" x14ac:dyDescent="0.25">
      <c r="AO656" s="140" t="s">
        <v>137</v>
      </c>
      <c r="AP656" s="140">
        <f>AP653</f>
        <v>14120.463697376446</v>
      </c>
    </row>
    <row r="657" spans="34:45" ht="20.100000000000001" customHeight="1" x14ac:dyDescent="0.25">
      <c r="AO657" s="140" t="s">
        <v>136</v>
      </c>
      <c r="AP657" s="140">
        <f>AQ653</f>
        <v>19900.25</v>
      </c>
    </row>
    <row r="659" spans="34:45" ht="20.100000000000001" customHeight="1" x14ac:dyDescent="0.25">
      <c r="AO659" s="160" t="s">
        <v>7</v>
      </c>
      <c r="AP659" s="164">
        <f>SQRT(AP660)</f>
        <v>0.53892288319191961</v>
      </c>
      <c r="AR659" s="160" t="s">
        <v>141</v>
      </c>
      <c r="AS659" s="140">
        <f>1/(1-AP660)</f>
        <v>1.4093198655861008</v>
      </c>
    </row>
    <row r="660" spans="34:45" ht="20.100000000000001" customHeight="1" x14ac:dyDescent="0.25">
      <c r="AO660" s="160" t="s">
        <v>281</v>
      </c>
      <c r="AP660" s="164">
        <f>AO653/AQ653</f>
        <v>0.29043787402789145</v>
      </c>
    </row>
    <row r="661" spans="34:45" ht="20.100000000000001" customHeight="1" x14ac:dyDescent="0.25">
      <c r="AO661" s="160" t="s">
        <v>282</v>
      </c>
      <c r="AP661" s="164">
        <f>1-(((C95-1)/(C95-C96-1))*(1-AP660))</f>
        <v>2.4352076788350718E-2</v>
      </c>
    </row>
    <row r="663" spans="34:45" ht="20.100000000000001" customHeight="1" x14ac:dyDescent="0.25">
      <c r="AL663" s="160" t="s">
        <v>139</v>
      </c>
    </row>
    <row r="664" spans="34:45" ht="20.100000000000001" customHeight="1" x14ac:dyDescent="0.25">
      <c r="AI664" s="140" t="str">
        <f>B10</f>
        <v>Área do terreno</v>
      </c>
      <c r="AJ664" s="140" t="str">
        <f>D10</f>
        <v>Quartos</v>
      </c>
      <c r="AL664" s="160" t="str">
        <f>C10</f>
        <v>Área edificada</v>
      </c>
      <c r="AO664" s="140" t="s">
        <v>132</v>
      </c>
      <c r="AP664" s="140" t="s">
        <v>133</v>
      </c>
      <c r="AQ664" s="140" t="s">
        <v>134</v>
      </c>
    </row>
    <row r="665" spans="34:45" ht="20.100000000000001" customHeight="1" x14ac:dyDescent="0.25">
      <c r="AH665" s="141">
        <v>1</v>
      </c>
      <c r="AI665" s="140">
        <f>B11</f>
        <v>300</v>
      </c>
      <c r="AJ665" s="140">
        <f>D11</f>
        <v>3</v>
      </c>
      <c r="AL665" s="140">
        <f>C11</f>
        <v>150</v>
      </c>
      <c r="AN665" s="140" cm="1">
        <f t="array" ref="AN665:AN667">MMULT((MINVERSE(MMULT(TRANSPOSE(AH665:AJ676),AH665:AJ676))),MMULT(TRANSPOSE(AH665:AJ676),AL665:AL676))</f>
        <v>130.67723885175837</v>
      </c>
      <c r="AO665" s="140" cm="1">
        <f t="array" ref="AO665:AO676">MMULT(AH665:AJ676,_xlfn.ANCHORARRAY(AN665))</f>
        <v>175.87283927388071</v>
      </c>
      <c r="AP665" s="140">
        <f t="shared" ref="AP665:AP676" si="89">AL665</f>
        <v>150</v>
      </c>
      <c r="AQ665" s="140">
        <f t="shared" ref="AQ665:AQ676" si="90">AVERAGE($AL$665:$AL$676)</f>
        <v>183.75</v>
      </c>
    </row>
    <row r="666" spans="34:45" ht="20.100000000000001" customHeight="1" x14ac:dyDescent="0.25">
      <c r="AH666" s="141">
        <v>1</v>
      </c>
      <c r="AI666" s="140">
        <f>B12</f>
        <v>330</v>
      </c>
      <c r="AJ666" s="140">
        <f>D12</f>
        <v>3</v>
      </c>
      <c r="AL666" s="140">
        <f>C12</f>
        <v>155</v>
      </c>
      <c r="AN666" s="140">
        <v>-0.15948265283584107</v>
      </c>
      <c r="AO666" s="140">
        <v>171.0883596888055</v>
      </c>
      <c r="AP666" s="140">
        <f t="shared" si="89"/>
        <v>155</v>
      </c>
      <c r="AQ666" s="140">
        <f t="shared" si="90"/>
        <v>183.75</v>
      </c>
    </row>
    <row r="667" spans="34:45" ht="20.100000000000001" customHeight="1" x14ac:dyDescent="0.25">
      <c r="AH667" s="141">
        <v>1</v>
      </c>
      <c r="AI667" s="140">
        <f>B13</f>
        <v>390</v>
      </c>
      <c r="AJ667" s="140">
        <f>D13</f>
        <v>3</v>
      </c>
      <c r="AL667" s="140">
        <f>C13</f>
        <v>180</v>
      </c>
      <c r="AN667" s="140">
        <v>31.013465424291553</v>
      </c>
      <c r="AO667" s="140">
        <v>161.519400518655</v>
      </c>
      <c r="AP667" s="140">
        <f t="shared" si="89"/>
        <v>180</v>
      </c>
      <c r="AQ667" s="140">
        <f t="shared" si="90"/>
        <v>183.75</v>
      </c>
    </row>
    <row r="668" spans="34:45" ht="20.100000000000001" customHeight="1" x14ac:dyDescent="0.25">
      <c r="AH668" s="141">
        <v>1</v>
      </c>
      <c r="AI668" s="140">
        <f>B14</f>
        <v>390</v>
      </c>
      <c r="AJ668" s="140">
        <f>D14</f>
        <v>3</v>
      </c>
      <c r="AL668" s="140">
        <f>C14</f>
        <v>185</v>
      </c>
      <c r="AO668" s="140">
        <v>161.519400518655</v>
      </c>
      <c r="AP668" s="140">
        <f t="shared" si="89"/>
        <v>185</v>
      </c>
      <c r="AQ668" s="140">
        <f t="shared" si="90"/>
        <v>183.75</v>
      </c>
    </row>
    <row r="669" spans="34:45" ht="20.100000000000001" customHeight="1" x14ac:dyDescent="0.25">
      <c r="AH669" s="141">
        <v>1</v>
      </c>
      <c r="AI669" s="140">
        <f>B15</f>
        <v>432</v>
      </c>
      <c r="AJ669" s="140">
        <f>D15</f>
        <v>4</v>
      </c>
      <c r="AL669" s="140">
        <f>C15</f>
        <v>170</v>
      </c>
      <c r="AO669" s="140">
        <v>185.83459452384125</v>
      </c>
      <c r="AP669" s="140">
        <f t="shared" si="89"/>
        <v>170</v>
      </c>
      <c r="AQ669" s="140">
        <f t="shared" si="90"/>
        <v>183.75</v>
      </c>
    </row>
    <row r="670" spans="34:45" ht="20.100000000000001" customHeight="1" x14ac:dyDescent="0.25">
      <c r="AH670" s="141">
        <v>1</v>
      </c>
      <c r="AI670" s="140">
        <f>B16</f>
        <v>440</v>
      </c>
      <c r="AJ670" s="140">
        <f>D16</f>
        <v>4</v>
      </c>
      <c r="AL670" s="140">
        <f>C16</f>
        <v>170</v>
      </c>
      <c r="AO670" s="140">
        <v>184.55873330115452</v>
      </c>
      <c r="AP670" s="140">
        <f t="shared" si="89"/>
        <v>170</v>
      </c>
      <c r="AQ670" s="140">
        <f t="shared" si="90"/>
        <v>183.75</v>
      </c>
    </row>
    <row r="671" spans="34:45" ht="20.100000000000001" customHeight="1" x14ac:dyDescent="0.25">
      <c r="AH671" s="141">
        <v>1</v>
      </c>
      <c r="AI671" s="140">
        <f>B17</f>
        <v>390</v>
      </c>
      <c r="AJ671" s="140">
        <f>D17</f>
        <v>4</v>
      </c>
      <c r="AL671" s="140">
        <f>C17</f>
        <v>180</v>
      </c>
      <c r="AO671" s="140">
        <v>192.53286594294656</v>
      </c>
      <c r="AP671" s="140">
        <f t="shared" si="89"/>
        <v>180</v>
      </c>
      <c r="AQ671" s="140">
        <f t="shared" si="90"/>
        <v>183.75</v>
      </c>
    </row>
    <row r="672" spans="34:45" ht="20.100000000000001" customHeight="1" x14ac:dyDescent="0.25">
      <c r="AH672" s="141">
        <v>1</v>
      </c>
      <c r="AI672" s="140">
        <f>B18</f>
        <v>362</v>
      </c>
      <c r="AJ672" s="140">
        <f>D18</f>
        <v>4</v>
      </c>
      <c r="AL672" s="140">
        <f>C18</f>
        <v>185</v>
      </c>
      <c r="AO672" s="140">
        <v>196.99838022235014</v>
      </c>
      <c r="AP672" s="140">
        <f t="shared" si="89"/>
        <v>185</v>
      </c>
      <c r="AQ672" s="140">
        <f t="shared" si="90"/>
        <v>183.75</v>
      </c>
    </row>
    <row r="673" spans="34:43" ht="20.100000000000001" customHeight="1" x14ac:dyDescent="0.25">
      <c r="AH673" s="141">
        <v>1</v>
      </c>
      <c r="AI673" s="140">
        <f>B19</f>
        <v>430</v>
      </c>
      <c r="AJ673" s="140">
        <f>D19</f>
        <v>4</v>
      </c>
      <c r="AL673" s="140">
        <f>C19</f>
        <v>180</v>
      </c>
      <c r="AO673" s="140">
        <v>186.15355982951291</v>
      </c>
      <c r="AP673" s="140">
        <f t="shared" si="89"/>
        <v>180</v>
      </c>
      <c r="AQ673" s="140">
        <f t="shared" si="90"/>
        <v>183.75</v>
      </c>
    </row>
    <row r="674" spans="34:43" ht="20.100000000000001" customHeight="1" x14ac:dyDescent="0.25">
      <c r="AH674" s="141">
        <v>1</v>
      </c>
      <c r="AI674" s="140">
        <f>B20</f>
        <v>384</v>
      </c>
      <c r="AJ674" s="140">
        <f>D20</f>
        <v>4</v>
      </c>
      <c r="AL674" s="140">
        <f>C20</f>
        <v>190</v>
      </c>
      <c r="AO674" s="140">
        <v>193.48976185996162</v>
      </c>
      <c r="AP674" s="140">
        <f t="shared" si="89"/>
        <v>190</v>
      </c>
      <c r="AQ674" s="140">
        <f t="shared" si="90"/>
        <v>183.75</v>
      </c>
    </row>
    <row r="675" spans="34:43" ht="20.100000000000001" customHeight="1" x14ac:dyDescent="0.25">
      <c r="AH675" s="141">
        <v>1</v>
      </c>
      <c r="AI675" s="140">
        <f>B21</f>
        <v>341</v>
      </c>
      <c r="AJ675" s="140">
        <f>D21</f>
        <v>4</v>
      </c>
      <c r="AL675" s="140">
        <f>C21</f>
        <v>230</v>
      </c>
      <c r="AO675" s="140">
        <v>200.34751593190279</v>
      </c>
      <c r="AP675" s="140">
        <f t="shared" si="89"/>
        <v>230</v>
      </c>
      <c r="AQ675" s="140">
        <f t="shared" si="90"/>
        <v>183.75</v>
      </c>
    </row>
    <row r="676" spans="34:43" ht="20.100000000000001" customHeight="1" x14ac:dyDescent="0.25">
      <c r="AH676" s="141">
        <v>1</v>
      </c>
      <c r="AI676" s="140">
        <f>B22</f>
        <v>374</v>
      </c>
      <c r="AJ676" s="140">
        <f>D22</f>
        <v>4</v>
      </c>
      <c r="AL676" s="140">
        <f>C22</f>
        <v>230</v>
      </c>
      <c r="AO676" s="140">
        <v>195.08458838832001</v>
      </c>
      <c r="AP676" s="140">
        <f t="shared" si="89"/>
        <v>230</v>
      </c>
      <c r="AQ676" s="140">
        <f t="shared" si="90"/>
        <v>183.75</v>
      </c>
    </row>
    <row r="678" spans="34:43" ht="20.100000000000001" customHeight="1" x14ac:dyDescent="0.25">
      <c r="AO678" s="140" t="s">
        <v>140</v>
      </c>
      <c r="AP678" s="140" t="s">
        <v>135</v>
      </c>
      <c r="AQ678" s="140" t="s">
        <v>136</v>
      </c>
    </row>
    <row r="679" spans="34:43" ht="20.100000000000001" customHeight="1" x14ac:dyDescent="0.25">
      <c r="AO679" s="140">
        <f t="shared" ref="AO679:AO690" si="91">AO665-AQ665</f>
        <v>-7.8771607261192855</v>
      </c>
      <c r="AP679" s="140">
        <f t="shared" ref="AP679:AP690" si="92">AP665-AO665</f>
        <v>-25.872839273880714</v>
      </c>
      <c r="AQ679" s="140">
        <f t="shared" ref="AQ679:AQ690" si="93">AP665-AQ665</f>
        <v>-33.75</v>
      </c>
    </row>
    <row r="680" spans="34:43" ht="20.100000000000001" customHeight="1" x14ac:dyDescent="0.25">
      <c r="AO680" s="140">
        <f t="shared" si="91"/>
        <v>-12.661640311194503</v>
      </c>
      <c r="AP680" s="140">
        <f t="shared" si="92"/>
        <v>-16.088359688805497</v>
      </c>
      <c r="AQ680" s="140">
        <f t="shared" si="93"/>
        <v>-28.75</v>
      </c>
    </row>
    <row r="681" spans="34:43" ht="20.100000000000001" customHeight="1" x14ac:dyDescent="0.25">
      <c r="AO681" s="140">
        <f t="shared" si="91"/>
        <v>-22.230599481344996</v>
      </c>
      <c r="AP681" s="140">
        <f t="shared" si="92"/>
        <v>18.480599481344996</v>
      </c>
      <c r="AQ681" s="140">
        <f t="shared" si="93"/>
        <v>-3.75</v>
      </c>
    </row>
    <row r="682" spans="34:43" ht="20.100000000000001" customHeight="1" x14ac:dyDescent="0.25">
      <c r="AO682" s="140">
        <f t="shared" si="91"/>
        <v>-22.230599481344996</v>
      </c>
      <c r="AP682" s="140">
        <f t="shared" si="92"/>
        <v>23.480599481344996</v>
      </c>
      <c r="AQ682" s="140">
        <f t="shared" si="93"/>
        <v>1.25</v>
      </c>
    </row>
    <row r="683" spans="34:43" ht="20.100000000000001" customHeight="1" x14ac:dyDescent="0.25">
      <c r="AO683" s="140">
        <f t="shared" si="91"/>
        <v>2.0845945238412469</v>
      </c>
      <c r="AP683" s="140">
        <f t="shared" si="92"/>
        <v>-15.834594523841247</v>
      </c>
      <c r="AQ683" s="140">
        <f t="shared" si="93"/>
        <v>-13.75</v>
      </c>
    </row>
    <row r="684" spans="34:43" ht="20.100000000000001" customHeight="1" x14ac:dyDescent="0.25">
      <c r="AO684" s="140">
        <f t="shared" si="91"/>
        <v>0.80873330115451836</v>
      </c>
      <c r="AP684" s="140">
        <f t="shared" si="92"/>
        <v>-14.558733301154518</v>
      </c>
      <c r="AQ684" s="140">
        <f t="shared" si="93"/>
        <v>-13.75</v>
      </c>
    </row>
    <row r="685" spans="34:43" ht="20.100000000000001" customHeight="1" x14ac:dyDescent="0.25">
      <c r="AO685" s="140">
        <f t="shared" si="91"/>
        <v>8.7828659429465574</v>
      </c>
      <c r="AP685" s="140">
        <f t="shared" si="92"/>
        <v>-12.532865942946557</v>
      </c>
      <c r="AQ685" s="140">
        <f t="shared" si="93"/>
        <v>-3.75</v>
      </c>
    </row>
    <row r="686" spans="34:43" ht="20.100000000000001" customHeight="1" x14ac:dyDescent="0.25">
      <c r="AO686" s="140">
        <f t="shared" si="91"/>
        <v>13.248380222350136</v>
      </c>
      <c r="AP686" s="140">
        <f t="shared" si="92"/>
        <v>-11.998380222350136</v>
      </c>
      <c r="AQ686" s="140">
        <f t="shared" si="93"/>
        <v>1.25</v>
      </c>
    </row>
    <row r="687" spans="34:43" ht="20.100000000000001" customHeight="1" x14ac:dyDescent="0.25">
      <c r="AO687" s="140">
        <f t="shared" si="91"/>
        <v>2.4035598295129148</v>
      </c>
      <c r="AP687" s="140">
        <f t="shared" si="92"/>
        <v>-6.1535598295129148</v>
      </c>
      <c r="AQ687" s="140">
        <f t="shared" si="93"/>
        <v>-3.75</v>
      </c>
    </row>
    <row r="688" spans="34:43" ht="20.100000000000001" customHeight="1" x14ac:dyDescent="0.25">
      <c r="AO688" s="140">
        <f t="shared" si="91"/>
        <v>9.739761859961618</v>
      </c>
      <c r="AP688" s="140">
        <f t="shared" si="92"/>
        <v>-3.489761859961618</v>
      </c>
      <c r="AQ688" s="140">
        <f t="shared" si="93"/>
        <v>6.25</v>
      </c>
    </row>
    <row r="689" spans="34:72" ht="20.100000000000001" customHeight="1" x14ac:dyDescent="0.25">
      <c r="AO689" s="140">
        <f t="shared" si="91"/>
        <v>16.597515931902791</v>
      </c>
      <c r="AP689" s="140">
        <f t="shared" si="92"/>
        <v>29.652484068097209</v>
      </c>
      <c r="AQ689" s="140">
        <f t="shared" si="93"/>
        <v>46.25</v>
      </c>
      <c r="BL689" s="140" t="s">
        <v>155</v>
      </c>
    </row>
    <row r="690" spans="34:72" ht="20.100000000000001" customHeight="1" x14ac:dyDescent="0.25">
      <c r="AO690" s="140">
        <f t="shared" si="91"/>
        <v>11.334588388320014</v>
      </c>
      <c r="AP690" s="140">
        <f t="shared" si="92"/>
        <v>34.915411611679986</v>
      </c>
      <c r="AQ690" s="140">
        <f t="shared" si="93"/>
        <v>46.25</v>
      </c>
      <c r="BL690" s="140" t="s">
        <v>133</v>
      </c>
      <c r="BM690" s="140" t="s">
        <v>132</v>
      </c>
      <c r="BO690" s="140" t="s">
        <v>150</v>
      </c>
      <c r="BP690" s="140" t="s">
        <v>158</v>
      </c>
      <c r="BQ690" s="140" t="s">
        <v>159</v>
      </c>
      <c r="BR690" s="140" t="s">
        <v>160</v>
      </c>
      <c r="BS690" s="140" t="s">
        <v>161</v>
      </c>
    </row>
    <row r="691" spans="34:72" ht="20.100000000000001" customHeight="1" x14ac:dyDescent="0.25">
      <c r="AO691" s="140" t="s">
        <v>140</v>
      </c>
      <c r="AP691" s="140" t="s">
        <v>135</v>
      </c>
      <c r="AQ691" s="140" t="s">
        <v>136</v>
      </c>
      <c r="BL691" s="140">
        <f>B182</f>
        <v>715500</v>
      </c>
      <c r="BM691" s="140">
        <f>C182</f>
        <v>715670.48233972606</v>
      </c>
      <c r="BO691" s="140">
        <f t="shared" ref="BO691:BO702" si="94">BL691-BM691</f>
        <v>-170.48233972606249</v>
      </c>
      <c r="BP691" s="140">
        <v>0</v>
      </c>
      <c r="BQ691" s="140">
        <v>0</v>
      </c>
      <c r="BR691" s="140">
        <f>BQ691^2</f>
        <v>0</v>
      </c>
      <c r="BS691" s="140">
        <f>BO691^2</f>
        <v>29064.228158472586</v>
      </c>
      <c r="BT691" s="179"/>
    </row>
    <row r="692" spans="34:72" ht="20.100000000000001" customHeight="1" x14ac:dyDescent="0.25">
      <c r="AO692" s="140">
        <f>SUMSQ(AO679:AO690)</f>
        <v>1973.0142896293059</v>
      </c>
      <c r="AP692" s="140">
        <f>SUMSQ(AP679:AP690)</f>
        <v>4733.235710370669</v>
      </c>
      <c r="AQ692" s="140">
        <f>SUMSQ(AQ679:AQ690)</f>
        <v>6706.25</v>
      </c>
      <c r="BL692" s="140">
        <f>B183</f>
        <v>743400</v>
      </c>
      <c r="BM692" s="140">
        <f>C183</f>
        <v>743134.38410627353</v>
      </c>
      <c r="BO692" s="140">
        <f t="shared" si="94"/>
        <v>265.61589372646995</v>
      </c>
      <c r="BP692" s="140">
        <f>BO691</f>
        <v>-170.48233972606249</v>
      </c>
      <c r="BQ692" s="140">
        <f t="shared" ref="BQ692:BQ702" si="95">BO692-BP692</f>
        <v>436.09823345253244</v>
      </c>
      <c r="BR692" s="140">
        <f t="shared" ref="BR692:BR702" si="96">BQ692^2</f>
        <v>190181.66922041948</v>
      </c>
      <c r="BS692" s="140">
        <f t="shared" ref="BS692:BS702" si="97">BO692^2</f>
        <v>70551.80300011138</v>
      </c>
    </row>
    <row r="693" spans="34:72" ht="20.100000000000001" customHeight="1" x14ac:dyDescent="0.25">
      <c r="BL693" s="140">
        <f>B184</f>
        <v>831600</v>
      </c>
      <c r="BM693" s="140">
        <f>C184</f>
        <v>831863.94118594611</v>
      </c>
      <c r="BO693" s="140">
        <f t="shared" si="94"/>
        <v>-263.94118594611064</v>
      </c>
      <c r="BP693" s="140">
        <f t="shared" ref="BP693:BP702" si="98">BO692</f>
        <v>265.61589372646995</v>
      </c>
      <c r="BQ693" s="140">
        <f t="shared" si="95"/>
        <v>-529.55707967258058</v>
      </c>
      <c r="BR693" s="140">
        <f t="shared" si="96"/>
        <v>280430.70063135185</v>
      </c>
      <c r="BS693" s="140">
        <f t="shared" si="97"/>
        <v>69664.949638639344</v>
      </c>
    </row>
    <row r="694" spans="34:72" ht="20.100000000000001" customHeight="1" x14ac:dyDescent="0.25">
      <c r="AO694" s="140" t="s">
        <v>138</v>
      </c>
      <c r="AP694" s="140">
        <f>AO692</f>
        <v>1973.0142896293059</v>
      </c>
      <c r="BL694" s="140">
        <f>B185</f>
        <v>843300</v>
      </c>
      <c r="BM694" s="140">
        <f>C185</f>
        <v>843131.19236813881</v>
      </c>
      <c r="BO694" s="140">
        <f t="shared" si="94"/>
        <v>168.80763186118565</v>
      </c>
      <c r="BP694" s="140">
        <f t="shared" si="98"/>
        <v>-263.94118594611064</v>
      </c>
      <c r="BQ694" s="140">
        <f t="shared" si="95"/>
        <v>432.74881780729629</v>
      </c>
      <c r="BR694" s="140">
        <f t="shared" si="96"/>
        <v>187271.53931361251</v>
      </c>
      <c r="BS694" s="140">
        <f t="shared" si="97"/>
        <v>28496.016574581583</v>
      </c>
    </row>
    <row r="695" spans="34:72" ht="20.100000000000001" customHeight="1" x14ac:dyDescent="0.25">
      <c r="AO695" s="140" t="s">
        <v>137</v>
      </c>
      <c r="AP695" s="140">
        <f>AP692</f>
        <v>4733.235710370669</v>
      </c>
      <c r="BL695" s="140">
        <f>B186</f>
        <v>850500</v>
      </c>
      <c r="BM695" s="140">
        <f>C186</f>
        <v>850004.04744067951</v>
      </c>
      <c r="BO695" s="140">
        <f t="shared" si="94"/>
        <v>495.95255932048894</v>
      </c>
      <c r="BP695" s="140">
        <f t="shared" si="98"/>
        <v>168.80763186118565</v>
      </c>
      <c r="BQ695" s="140">
        <f t="shared" si="95"/>
        <v>327.14492745930329</v>
      </c>
      <c r="BR695" s="140">
        <f t="shared" si="96"/>
        <v>107023.80356235281</v>
      </c>
      <c r="BS695" s="140">
        <f t="shared" si="97"/>
        <v>245968.9410965431</v>
      </c>
    </row>
    <row r="696" spans="34:72" ht="20.100000000000001" customHeight="1" x14ac:dyDescent="0.25">
      <c r="AO696" s="140" t="s">
        <v>136</v>
      </c>
      <c r="AP696" s="140">
        <f>AQ692</f>
        <v>6706.25</v>
      </c>
      <c r="BL696" s="140">
        <f>B187</f>
        <v>854100</v>
      </c>
      <c r="BM696" s="140">
        <f>C187</f>
        <v>854323.15426317416</v>
      </c>
      <c r="BO696" s="140">
        <f t="shared" si="94"/>
        <v>-223.15426317416131</v>
      </c>
      <c r="BP696" s="140">
        <f t="shared" si="98"/>
        <v>495.95255932048894</v>
      </c>
      <c r="BQ696" s="140">
        <f t="shared" si="95"/>
        <v>-719.10682249465026</v>
      </c>
      <c r="BR696" s="140">
        <f t="shared" si="96"/>
        <v>517114.62215835246</v>
      </c>
      <c r="BS696" s="140">
        <f t="shared" si="97"/>
        <v>49797.825172802848</v>
      </c>
    </row>
    <row r="697" spans="34:72" ht="20.100000000000001" customHeight="1" x14ac:dyDescent="0.25">
      <c r="BL697" s="140">
        <f>B188</f>
        <v>849600</v>
      </c>
      <c r="BM697" s="140">
        <f>C188</f>
        <v>849863.2389869676</v>
      </c>
      <c r="BO697" s="140">
        <f t="shared" si="94"/>
        <v>-263.23898696759716</v>
      </c>
      <c r="BP697" s="140">
        <f t="shared" si="98"/>
        <v>-223.15426317416131</v>
      </c>
      <c r="BQ697" s="140">
        <f t="shared" si="95"/>
        <v>-40.084723793435842</v>
      </c>
      <c r="BR697" s="140">
        <f t="shared" si="96"/>
        <v>1606.7850815960414</v>
      </c>
      <c r="BS697" s="140">
        <f t="shared" si="97"/>
        <v>69294.764259726784</v>
      </c>
    </row>
    <row r="698" spans="34:72" ht="20.100000000000001" customHeight="1" x14ac:dyDescent="0.25">
      <c r="AO698" s="160" t="s">
        <v>7</v>
      </c>
      <c r="AP698" s="164">
        <f>SQRT(AP699)</f>
        <v>0.54240695006493123</v>
      </c>
      <c r="AR698" s="160" t="s">
        <v>141</v>
      </c>
      <c r="AS698" s="140">
        <f>1/(1-AP699)</f>
        <v>1.4168426020505083</v>
      </c>
      <c r="BL698" s="140">
        <f>B189</f>
        <v>846000</v>
      </c>
      <c r="BM698" s="140">
        <f>C189</f>
        <v>846013.61629042891</v>
      </c>
      <c r="BO698" s="140">
        <f t="shared" si="94"/>
        <v>-13.616290428908542</v>
      </c>
      <c r="BP698" s="140">
        <f t="shared" si="98"/>
        <v>-263.23898696759716</v>
      </c>
      <c r="BQ698" s="140">
        <f t="shared" si="95"/>
        <v>249.62269653868861</v>
      </c>
      <c r="BR698" s="140">
        <f t="shared" si="96"/>
        <v>62311.490627246225</v>
      </c>
      <c r="BS698" s="140">
        <f t="shared" si="97"/>
        <v>185.40336504438636</v>
      </c>
    </row>
    <row r="699" spans="34:72" ht="20.100000000000001" customHeight="1" x14ac:dyDescent="0.25">
      <c r="AO699" s="160" t="s">
        <v>281</v>
      </c>
      <c r="AP699" s="164">
        <f>AO692/AQ692</f>
        <v>0.29420529947874086</v>
      </c>
      <c r="BL699" s="140">
        <f>B190</f>
        <v>871200</v>
      </c>
      <c r="BM699" s="140">
        <f>C190</f>
        <v>871458.77309944085</v>
      </c>
      <c r="BO699" s="140">
        <f t="shared" si="94"/>
        <v>-258.77309944084845</v>
      </c>
      <c r="BP699" s="140">
        <f t="shared" si="98"/>
        <v>-13.616290428908542</v>
      </c>
      <c r="BQ699" s="140">
        <f t="shared" si="95"/>
        <v>-245.15680901193991</v>
      </c>
      <c r="BR699" s="140">
        <f t="shared" si="96"/>
        <v>60101.861004916784</v>
      </c>
      <c r="BS699" s="140">
        <f t="shared" si="97"/>
        <v>66963.516994223246</v>
      </c>
    </row>
    <row r="700" spans="34:72" ht="20.100000000000001" customHeight="1" x14ac:dyDescent="0.25">
      <c r="AO700" s="160" t="s">
        <v>282</v>
      </c>
      <c r="AP700" s="164">
        <f>1-(((C95-1)/(C95-C96-1))*(1-AP699))</f>
        <v>2.9532286783268691E-2</v>
      </c>
      <c r="BL700" s="140">
        <f>B191</f>
        <v>869400</v>
      </c>
      <c r="BM700" s="140">
        <f>C191</f>
        <v>869158.41123448173</v>
      </c>
      <c r="BO700" s="140">
        <f t="shared" si="94"/>
        <v>241.58876551827416</v>
      </c>
      <c r="BP700" s="140">
        <f t="shared" si="98"/>
        <v>-258.77309944084845</v>
      </c>
      <c r="BQ700" s="140">
        <f t="shared" si="95"/>
        <v>500.36186495912261</v>
      </c>
      <c r="BR700" s="140">
        <f t="shared" si="96"/>
        <v>250361.99590537127</v>
      </c>
      <c r="BS700" s="140">
        <f t="shared" si="97"/>
        <v>58365.131624643655</v>
      </c>
    </row>
    <row r="701" spans="34:72" ht="20.100000000000001" customHeight="1" x14ac:dyDescent="0.25">
      <c r="BL701" s="140">
        <f>B192</f>
        <v>936000</v>
      </c>
      <c r="BM701" s="140">
        <f>C192</f>
        <v>936081.22152111353</v>
      </c>
      <c r="BO701" s="140">
        <f t="shared" si="94"/>
        <v>-81.221521113533527</v>
      </c>
      <c r="BP701" s="140">
        <f t="shared" si="98"/>
        <v>241.58876551827416</v>
      </c>
      <c r="BQ701" s="140">
        <f t="shared" si="95"/>
        <v>-322.81028663180768</v>
      </c>
      <c r="BR701" s="140">
        <f t="shared" si="96"/>
        <v>104206.48115530984</v>
      </c>
      <c r="BS701" s="140">
        <f t="shared" si="97"/>
        <v>6596.9354919961725</v>
      </c>
    </row>
    <row r="702" spans="34:72" ht="20.100000000000001" customHeight="1" x14ac:dyDescent="0.25">
      <c r="AL702" s="160" t="s">
        <v>139</v>
      </c>
      <c r="BL702" s="140">
        <f>B193</f>
        <v>954000</v>
      </c>
      <c r="BM702" s="140">
        <f>C193</f>
        <v>953897.53716390394</v>
      </c>
      <c r="BO702" s="140">
        <f t="shared" si="94"/>
        <v>102.46283609606326</v>
      </c>
      <c r="BP702" s="140">
        <f t="shared" si="98"/>
        <v>-81.221521113533527</v>
      </c>
      <c r="BQ702" s="140">
        <f t="shared" si="95"/>
        <v>183.68435720959678</v>
      </c>
      <c r="BR702" s="140">
        <f t="shared" si="96"/>
        <v>33739.943083502752</v>
      </c>
      <c r="BS702" s="140">
        <f t="shared" si="97"/>
        <v>10498.632780848724</v>
      </c>
    </row>
    <row r="703" spans="34:72" ht="20.100000000000001" customHeight="1" x14ac:dyDescent="0.25">
      <c r="AI703" s="140" t="str">
        <f>B10</f>
        <v>Área do terreno</v>
      </c>
      <c r="AJ703" s="140" t="str">
        <f>C10</f>
        <v>Área edificada</v>
      </c>
      <c r="AL703" s="160" t="str">
        <f>D10</f>
        <v>Quartos</v>
      </c>
      <c r="AO703" s="140" t="s">
        <v>132</v>
      </c>
      <c r="AP703" s="140" t="s">
        <v>133</v>
      </c>
      <c r="AQ703" s="140" t="s">
        <v>134</v>
      </c>
    </row>
    <row r="704" spans="34:72" ht="20.100000000000001" customHeight="1" x14ac:dyDescent="0.25">
      <c r="AH704" s="141">
        <v>1</v>
      </c>
      <c r="AI704" s="140">
        <f>B11</f>
        <v>300</v>
      </c>
      <c r="AJ704" s="140">
        <f>C11</f>
        <v>150</v>
      </c>
      <c r="AL704" s="140">
        <f>D11</f>
        <v>3</v>
      </c>
      <c r="AN704" s="140" cm="1">
        <f t="array" ref="AN704:AN706">MMULT((MINVERSE(MMULT(TRANSPOSE(AH704:AJ715),AH704:AJ715))),MMULT(TRANSPOSE(AH704:AJ715),AL704:AL715))</f>
        <v>-0.1465044580930055</v>
      </c>
      <c r="AO704" s="140" cm="1">
        <f t="array" ref="AO704:AO715">MMULT(AH704:AJ715,_xlfn.ANCHORARRAY(AN704))</f>
        <v>2.9095651215579657</v>
      </c>
      <c r="AP704" s="140">
        <f t="shared" ref="AP704:AP715" si="99">AL704</f>
        <v>3</v>
      </c>
      <c r="AQ704" s="140">
        <f t="shared" ref="AQ704:AQ715" si="100">AVERAGE($AL$704:$AL$715)</f>
        <v>3.6666666666666665</v>
      </c>
      <c r="BO704" s="183"/>
      <c r="BP704" s="183"/>
      <c r="BR704" s="140">
        <f>SUM(BR691:BR702)</f>
        <v>1794350.891744032</v>
      </c>
      <c r="BS704" s="140">
        <f>SUM(BS691:BS702)</f>
        <v>705448.14815763384</v>
      </c>
    </row>
    <row r="705" spans="34:77" ht="20.100000000000001" customHeight="1" x14ac:dyDescent="0.25">
      <c r="AH705" s="141">
        <v>1</v>
      </c>
      <c r="AI705" s="140">
        <f>B12</f>
        <v>330</v>
      </c>
      <c r="AJ705" s="140">
        <f>C12</f>
        <v>155</v>
      </c>
      <c r="AL705" s="140">
        <f>D12</f>
        <v>3</v>
      </c>
      <c r="AN705" s="140">
        <v>5.4498737009527135E-3</v>
      </c>
      <c r="AO705" s="140">
        <v>3.1204315815653856</v>
      </c>
      <c r="AP705" s="140">
        <f t="shared" si="99"/>
        <v>3</v>
      </c>
      <c r="AQ705" s="140">
        <f t="shared" si="100"/>
        <v>3.6666666666666665</v>
      </c>
    </row>
    <row r="706" spans="34:77" ht="20.100000000000001" customHeight="1" x14ac:dyDescent="0.25">
      <c r="AH706" s="141">
        <v>1</v>
      </c>
      <c r="AI706" s="140">
        <f>B13</f>
        <v>390</v>
      </c>
      <c r="AJ706" s="140">
        <f>C13</f>
        <v>180</v>
      </c>
      <c r="AL706" s="140">
        <f>D13</f>
        <v>3</v>
      </c>
      <c r="AN706" s="140">
        <v>9.4740497957677139E-3</v>
      </c>
      <c r="AO706" s="140">
        <v>3.6842752485167414</v>
      </c>
      <c r="AP706" s="140">
        <f t="shared" si="99"/>
        <v>3</v>
      </c>
      <c r="AQ706" s="140">
        <f t="shared" si="100"/>
        <v>3.6666666666666665</v>
      </c>
      <c r="BQ706" s="140" t="s">
        <v>156</v>
      </c>
      <c r="BR706" s="183">
        <f>BR704/BS704</f>
        <v>2.543561701069319</v>
      </c>
      <c r="BY706" s="180"/>
    </row>
    <row r="707" spans="34:77" ht="20.100000000000001" customHeight="1" x14ac:dyDescent="0.25">
      <c r="AH707" s="141">
        <v>1</v>
      </c>
      <c r="AI707" s="140">
        <f>B14</f>
        <v>390</v>
      </c>
      <c r="AJ707" s="140">
        <f>C14</f>
        <v>185</v>
      </c>
      <c r="AL707" s="140">
        <f>D14</f>
        <v>3</v>
      </c>
      <c r="AO707" s="140">
        <v>3.7316454974955802</v>
      </c>
      <c r="AP707" s="140">
        <f t="shared" si="99"/>
        <v>3</v>
      </c>
      <c r="AQ707" s="140">
        <f t="shared" si="100"/>
        <v>3.6666666666666665</v>
      </c>
      <c r="BN707" s="183"/>
      <c r="BY707" s="180"/>
    </row>
    <row r="708" spans="34:77" ht="20.100000000000001" customHeight="1" x14ac:dyDescent="0.25">
      <c r="AH708" s="141">
        <v>1</v>
      </c>
      <c r="AI708" s="140">
        <f>B15</f>
        <v>432</v>
      </c>
      <c r="AJ708" s="140">
        <f>C15</f>
        <v>170</v>
      </c>
      <c r="AL708" s="140">
        <f>D15</f>
        <v>4</v>
      </c>
      <c r="AO708" s="140">
        <v>3.8184294459990782</v>
      </c>
      <c r="AP708" s="140">
        <f t="shared" si="99"/>
        <v>4</v>
      </c>
      <c r="AQ708" s="140">
        <f t="shared" si="100"/>
        <v>3.6666666666666665</v>
      </c>
    </row>
    <row r="709" spans="34:77" ht="20.100000000000001" customHeight="1" x14ac:dyDescent="0.25">
      <c r="AH709" s="141">
        <v>1</v>
      </c>
      <c r="AI709" s="140">
        <f>B16</f>
        <v>440</v>
      </c>
      <c r="AJ709" s="140">
        <f>C16</f>
        <v>170</v>
      </c>
      <c r="AL709" s="140">
        <f>D16</f>
        <v>4</v>
      </c>
      <c r="AO709" s="140">
        <v>3.8620284356066996</v>
      </c>
      <c r="AP709" s="140">
        <f t="shared" si="99"/>
        <v>4</v>
      </c>
      <c r="AQ709" s="140">
        <f t="shared" si="100"/>
        <v>3.6666666666666665</v>
      </c>
      <c r="BW709" s="183"/>
      <c r="BX709" s="183"/>
    </row>
    <row r="710" spans="34:77" ht="20.100000000000001" customHeight="1" x14ac:dyDescent="0.25">
      <c r="AH710" s="141">
        <v>1</v>
      </c>
      <c r="AI710" s="140">
        <f>B17</f>
        <v>390</v>
      </c>
      <c r="AJ710" s="140">
        <f>C17</f>
        <v>180</v>
      </c>
      <c r="AL710" s="140">
        <f>D17</f>
        <v>4</v>
      </c>
      <c r="AO710" s="140">
        <v>3.6842752485167414</v>
      </c>
      <c r="AP710" s="140">
        <f t="shared" si="99"/>
        <v>4</v>
      </c>
      <c r="AQ710" s="140">
        <f t="shared" si="100"/>
        <v>3.6666666666666665</v>
      </c>
      <c r="BW710" s="183"/>
      <c r="BX710" s="183"/>
    </row>
    <row r="711" spans="34:77" ht="20.100000000000001" customHeight="1" x14ac:dyDescent="0.25">
      <c r="AH711" s="141">
        <v>1</v>
      </c>
      <c r="AI711" s="140">
        <f>B18</f>
        <v>362</v>
      </c>
      <c r="AJ711" s="140">
        <f>C18</f>
        <v>185</v>
      </c>
      <c r="AL711" s="140">
        <f>D18</f>
        <v>4</v>
      </c>
      <c r="AO711" s="140">
        <v>3.5790490338689036</v>
      </c>
      <c r="AP711" s="140">
        <f t="shared" si="99"/>
        <v>4</v>
      </c>
      <c r="AQ711" s="140">
        <f t="shared" si="100"/>
        <v>3.6666666666666665</v>
      </c>
    </row>
    <row r="712" spans="34:77" ht="20.100000000000001" customHeight="1" x14ac:dyDescent="0.25">
      <c r="AH712" s="141">
        <v>1</v>
      </c>
      <c r="AI712" s="140">
        <f>B19</f>
        <v>430</v>
      </c>
      <c r="AJ712" s="140">
        <f>C19</f>
        <v>180</v>
      </c>
      <c r="AL712" s="140">
        <f>D19</f>
        <v>4</v>
      </c>
      <c r="AO712" s="140">
        <v>3.9022701965548499</v>
      </c>
      <c r="AP712" s="140">
        <f t="shared" si="99"/>
        <v>4</v>
      </c>
      <c r="AQ712" s="140">
        <f t="shared" si="100"/>
        <v>3.6666666666666665</v>
      </c>
    </row>
    <row r="713" spans="34:77" ht="20.100000000000001" customHeight="1" x14ac:dyDescent="0.25">
      <c r="AH713" s="141">
        <v>1</v>
      </c>
      <c r="AI713" s="140">
        <f>B20</f>
        <v>384</v>
      </c>
      <c r="AJ713" s="140">
        <f>C20</f>
        <v>190</v>
      </c>
      <c r="AL713" s="140">
        <f>D20</f>
        <v>4</v>
      </c>
      <c r="AO713" s="140">
        <v>3.7463165042687021</v>
      </c>
      <c r="AP713" s="140">
        <f t="shared" si="99"/>
        <v>4</v>
      </c>
      <c r="AQ713" s="140">
        <f t="shared" si="100"/>
        <v>3.6666666666666665</v>
      </c>
    </row>
    <row r="714" spans="34:77" ht="20.100000000000001" customHeight="1" x14ac:dyDescent="0.25">
      <c r="AH714" s="141">
        <v>1</v>
      </c>
      <c r="AI714" s="140">
        <f>B21</f>
        <v>341</v>
      </c>
      <c r="AJ714" s="140">
        <f>C21</f>
        <v>230</v>
      </c>
      <c r="AL714" s="140">
        <f>D21</f>
        <v>4</v>
      </c>
      <c r="AO714" s="140">
        <v>3.8909339269584438</v>
      </c>
      <c r="AP714" s="140">
        <f t="shared" si="99"/>
        <v>4</v>
      </c>
      <c r="AQ714" s="140">
        <f t="shared" si="100"/>
        <v>3.6666666666666665</v>
      </c>
    </row>
    <row r="715" spans="34:77" ht="20.100000000000001" customHeight="1" x14ac:dyDescent="0.25">
      <c r="AH715" s="141">
        <v>1</v>
      </c>
      <c r="AI715" s="140">
        <f>B22</f>
        <v>374</v>
      </c>
      <c r="AJ715" s="140">
        <f>C22</f>
        <v>230</v>
      </c>
      <c r="AL715" s="140">
        <f>D22</f>
        <v>4</v>
      </c>
      <c r="AO715" s="140">
        <v>4.0707797590898833</v>
      </c>
      <c r="AP715" s="140">
        <f t="shared" si="99"/>
        <v>4</v>
      </c>
      <c r="AQ715" s="140">
        <f t="shared" si="100"/>
        <v>3.6666666666666665</v>
      </c>
    </row>
    <row r="717" spans="34:77" ht="20.100000000000001" customHeight="1" x14ac:dyDescent="0.25">
      <c r="AO717" s="140" t="s">
        <v>140</v>
      </c>
      <c r="AP717" s="140" t="s">
        <v>135</v>
      </c>
      <c r="AQ717" s="140" t="s">
        <v>136</v>
      </c>
    </row>
    <row r="718" spans="34:77" ht="20.100000000000001" customHeight="1" x14ac:dyDescent="0.25">
      <c r="AO718" s="140">
        <f t="shared" ref="AO718:AO729" si="101">AO704-AQ704</f>
        <v>-0.75710154510870087</v>
      </c>
      <c r="AP718" s="140">
        <f t="shared" ref="AP718:AP729" si="102">AP704-AO704</f>
        <v>9.043487844203435E-2</v>
      </c>
      <c r="AQ718" s="140">
        <f t="shared" ref="AQ718:AQ729" si="103">AP704-AQ704</f>
        <v>-0.66666666666666652</v>
      </c>
    </row>
    <row r="719" spans="34:77" ht="20.100000000000001" customHeight="1" x14ac:dyDescent="0.25">
      <c r="AO719" s="140">
        <f t="shared" si="101"/>
        <v>-0.54623508510128094</v>
      </c>
      <c r="AP719" s="140">
        <f t="shared" si="102"/>
        <v>-0.12043158156538558</v>
      </c>
      <c r="AQ719" s="140">
        <f t="shared" si="103"/>
        <v>-0.66666666666666652</v>
      </c>
    </row>
    <row r="720" spans="34:77" ht="20.100000000000001" customHeight="1" x14ac:dyDescent="0.25">
      <c r="AO720" s="140">
        <f t="shared" si="101"/>
        <v>1.7608581850074856E-2</v>
      </c>
      <c r="AP720" s="140">
        <f t="shared" si="102"/>
        <v>-0.68427524851674137</v>
      </c>
      <c r="AQ720" s="140">
        <f t="shared" si="103"/>
        <v>-0.66666666666666652</v>
      </c>
    </row>
    <row r="721" spans="41:43" ht="20.100000000000001" customHeight="1" x14ac:dyDescent="0.25">
      <c r="AO721" s="140">
        <f t="shared" si="101"/>
        <v>6.4978830828913647E-2</v>
      </c>
      <c r="AP721" s="140">
        <f t="shared" si="102"/>
        <v>-0.73164549749558017</v>
      </c>
      <c r="AQ721" s="140">
        <f t="shared" si="103"/>
        <v>-0.66666666666666652</v>
      </c>
    </row>
    <row r="722" spans="41:43" ht="20.100000000000001" customHeight="1" x14ac:dyDescent="0.25">
      <c r="AO722" s="140">
        <f t="shared" si="101"/>
        <v>0.15176277933241167</v>
      </c>
      <c r="AP722" s="140">
        <f t="shared" si="102"/>
        <v>0.18157055400092181</v>
      </c>
      <c r="AQ722" s="140">
        <f t="shared" si="103"/>
        <v>0.33333333333333348</v>
      </c>
    </row>
    <row r="723" spans="41:43" ht="20.100000000000001" customHeight="1" x14ac:dyDescent="0.25">
      <c r="AO723" s="140">
        <f t="shared" si="101"/>
        <v>0.1953617689400331</v>
      </c>
      <c r="AP723" s="140">
        <f t="shared" si="102"/>
        <v>0.13797156439330038</v>
      </c>
      <c r="AQ723" s="140">
        <f t="shared" si="103"/>
        <v>0.33333333333333348</v>
      </c>
    </row>
    <row r="724" spans="41:43" ht="20.100000000000001" customHeight="1" x14ac:dyDescent="0.25">
      <c r="AO724" s="140">
        <f t="shared" si="101"/>
        <v>1.7608581850074856E-2</v>
      </c>
      <c r="AP724" s="140">
        <f t="shared" si="102"/>
        <v>0.31572475148325863</v>
      </c>
      <c r="AQ724" s="140">
        <f t="shared" si="103"/>
        <v>0.33333333333333348</v>
      </c>
    </row>
    <row r="725" spans="41:43" ht="20.100000000000001" customHeight="1" x14ac:dyDescent="0.25">
      <c r="AO725" s="140">
        <f t="shared" si="101"/>
        <v>-8.7617632797762912E-2</v>
      </c>
      <c r="AP725" s="140">
        <f t="shared" si="102"/>
        <v>0.42095096613109639</v>
      </c>
      <c r="AQ725" s="140">
        <f t="shared" si="103"/>
        <v>0.33333333333333348</v>
      </c>
    </row>
    <row r="726" spans="41:43" ht="20.100000000000001" customHeight="1" x14ac:dyDescent="0.25">
      <c r="AO726" s="140">
        <f t="shared" si="101"/>
        <v>0.23560352988818334</v>
      </c>
      <c r="AP726" s="140">
        <f t="shared" si="102"/>
        <v>9.7729803445150143E-2</v>
      </c>
      <c r="AQ726" s="140">
        <f t="shared" si="103"/>
        <v>0.33333333333333348</v>
      </c>
    </row>
    <row r="727" spans="41:43" ht="20.100000000000001" customHeight="1" x14ac:dyDescent="0.25">
      <c r="AO727" s="140">
        <f t="shared" si="101"/>
        <v>7.9649837602035589E-2</v>
      </c>
      <c r="AP727" s="140">
        <f t="shared" si="102"/>
        <v>0.25368349573129789</v>
      </c>
      <c r="AQ727" s="140">
        <f t="shared" si="103"/>
        <v>0.33333333333333348</v>
      </c>
    </row>
    <row r="728" spans="41:43" ht="20.100000000000001" customHeight="1" x14ac:dyDescent="0.25">
      <c r="AO728" s="140">
        <f t="shared" si="101"/>
        <v>0.22426726029177724</v>
      </c>
      <c r="AP728" s="140">
        <f t="shared" si="102"/>
        <v>0.10906607304155624</v>
      </c>
      <c r="AQ728" s="140">
        <f t="shared" si="103"/>
        <v>0.33333333333333348</v>
      </c>
    </row>
    <row r="729" spans="41:43" ht="20.100000000000001" customHeight="1" x14ac:dyDescent="0.25">
      <c r="AO729" s="140">
        <f t="shared" si="101"/>
        <v>0.4041130924232168</v>
      </c>
      <c r="AP729" s="140">
        <f t="shared" si="102"/>
        <v>-7.0779759089883321E-2</v>
      </c>
      <c r="AQ729" s="140">
        <f t="shared" si="103"/>
        <v>0.33333333333333348</v>
      </c>
    </row>
    <row r="730" spans="41:43" ht="20.100000000000001" customHeight="1" x14ac:dyDescent="0.25">
      <c r="AO730" s="140" t="s">
        <v>140</v>
      </c>
      <c r="AP730" s="140" t="s">
        <v>135</v>
      </c>
      <c r="AQ730" s="140" t="s">
        <v>136</v>
      </c>
    </row>
    <row r="731" spans="41:43" ht="20.100000000000001" customHeight="1" x14ac:dyDescent="0.25">
      <c r="AO731" s="140">
        <f>SUMSQ(AO718:AO729)</f>
        <v>1.2207492175306185</v>
      </c>
      <c r="AP731" s="140">
        <f>SUMSQ(AP718:AP729)</f>
        <v>1.4459174491359814</v>
      </c>
      <c r="AQ731" s="140">
        <f>SUMSQ(AQ718:AQ729)</f>
        <v>2.6666666666666665</v>
      </c>
    </row>
    <row r="733" spans="41:43" ht="20.100000000000001" customHeight="1" x14ac:dyDescent="0.25">
      <c r="AO733" s="140" t="s">
        <v>138</v>
      </c>
      <c r="AP733" s="140">
        <f>AO731</f>
        <v>1.2207492175306185</v>
      </c>
    </row>
    <row r="734" spans="41:43" ht="20.100000000000001" customHeight="1" x14ac:dyDescent="0.25">
      <c r="AO734" s="140" t="s">
        <v>137</v>
      </c>
      <c r="AP734" s="140">
        <f>AP731</f>
        <v>1.4459174491359814</v>
      </c>
    </row>
    <row r="735" spans="41:43" ht="20.100000000000001" customHeight="1" x14ac:dyDescent="0.25">
      <c r="AO735" s="140" t="s">
        <v>136</v>
      </c>
      <c r="AP735" s="140">
        <f>AQ731</f>
        <v>2.6666666666666665</v>
      </c>
    </row>
    <row r="737" spans="41:45" ht="20.100000000000001" customHeight="1" x14ac:dyDescent="0.25">
      <c r="AO737" s="160" t="s">
        <v>7</v>
      </c>
      <c r="AP737" s="164">
        <f>SQRT(AP738)</f>
        <v>0.67659512012279688</v>
      </c>
      <c r="AR737" s="160" t="s">
        <v>141</v>
      </c>
      <c r="AS737" s="140">
        <f>1/(1-AP738)</f>
        <v>1.8442731071957321</v>
      </c>
    </row>
    <row r="738" spans="41:45" ht="20.100000000000001" customHeight="1" x14ac:dyDescent="0.25">
      <c r="AO738" s="160" t="s">
        <v>281</v>
      </c>
      <c r="AP738" s="164">
        <f>AO731/AQ731</f>
        <v>0.45778095657398193</v>
      </c>
    </row>
    <row r="739" spans="41:45" ht="20.100000000000001" customHeight="1" x14ac:dyDescent="0.25">
      <c r="AO739" s="160" t="s">
        <v>282</v>
      </c>
      <c r="AP739" s="164">
        <f>1-(((C95-1)/(C95-C96-1))*(1-AP738))</f>
        <v>0.25444881528922503</v>
      </c>
    </row>
    <row r="753" spans="32:42" ht="20.100000000000001" customHeight="1" x14ac:dyDescent="0.25">
      <c r="AF753" s="140" t="s">
        <v>163</v>
      </c>
      <c r="AH753" s="140">
        <f>B11</f>
        <v>300</v>
      </c>
      <c r="AI753" s="140">
        <f>C11</f>
        <v>150</v>
      </c>
      <c r="AJ753" s="140">
        <f>D11</f>
        <v>3</v>
      </c>
      <c r="AN753" s="140">
        <f t="shared" ref="AN753:AN764" si="104">AH753-AH$770</f>
        <v>-80.25</v>
      </c>
      <c r="AO753" s="140">
        <f t="shared" ref="AO753:AO764" si="105">AI753-AI$770</f>
        <v>-33.75</v>
      </c>
      <c r="AP753" s="140">
        <f t="shared" ref="AP753:AP764" si="106">AJ753-AJ$770</f>
        <v>-0.66666666666666652</v>
      </c>
    </row>
    <row r="754" spans="32:42" ht="20.100000000000001" customHeight="1" x14ac:dyDescent="0.25">
      <c r="AF754" s="140">
        <v>0</v>
      </c>
      <c r="AG754" s="140">
        <v>0.2</v>
      </c>
      <c r="AH754" s="140">
        <f>B12</f>
        <v>330</v>
      </c>
      <c r="AI754" s="140">
        <f>C12</f>
        <v>155</v>
      </c>
      <c r="AJ754" s="140">
        <f>D12</f>
        <v>3</v>
      </c>
      <c r="AN754" s="140">
        <f t="shared" si="104"/>
        <v>-50.25</v>
      </c>
      <c r="AO754" s="140">
        <f t="shared" si="105"/>
        <v>-28.75</v>
      </c>
      <c r="AP754" s="140">
        <f t="shared" si="106"/>
        <v>-0.66666666666666652</v>
      </c>
    </row>
    <row r="755" spans="32:42" ht="20.100000000000001" customHeight="1" x14ac:dyDescent="0.25">
      <c r="AF755" s="140">
        <f>B165</f>
        <v>715670.48233972606</v>
      </c>
      <c r="AH755" s="140">
        <f>B13</f>
        <v>390</v>
      </c>
      <c r="AI755" s="140">
        <f>C13</f>
        <v>180</v>
      </c>
      <c r="AJ755" s="140">
        <f>D13</f>
        <v>3</v>
      </c>
      <c r="AN755" s="140">
        <f t="shared" si="104"/>
        <v>9.75</v>
      </c>
      <c r="AO755" s="140">
        <f t="shared" si="105"/>
        <v>-3.75</v>
      </c>
      <c r="AP755" s="140">
        <f t="shared" si="106"/>
        <v>-0.66666666666666652</v>
      </c>
    </row>
    <row r="756" spans="32:42" ht="20.100000000000001" customHeight="1" x14ac:dyDescent="0.25">
      <c r="AF756" s="140">
        <f>B166</f>
        <v>743134.38410627353</v>
      </c>
      <c r="AH756" s="140">
        <f>B14</f>
        <v>390</v>
      </c>
      <c r="AI756" s="140">
        <f>C14</f>
        <v>185</v>
      </c>
      <c r="AJ756" s="140">
        <f>D14</f>
        <v>3</v>
      </c>
      <c r="AN756" s="140">
        <f t="shared" si="104"/>
        <v>9.75</v>
      </c>
      <c r="AO756" s="140">
        <f t="shared" si="105"/>
        <v>1.25</v>
      </c>
      <c r="AP756" s="140">
        <f t="shared" si="106"/>
        <v>-0.66666666666666652</v>
      </c>
    </row>
    <row r="757" spans="32:42" ht="20.100000000000001" customHeight="1" x14ac:dyDescent="0.25">
      <c r="AF757" s="140">
        <f>B167</f>
        <v>831863.94118594611</v>
      </c>
      <c r="AH757" s="140">
        <f>B15</f>
        <v>432</v>
      </c>
      <c r="AI757" s="140">
        <f>C15</f>
        <v>170</v>
      </c>
      <c r="AJ757" s="140">
        <f>D15</f>
        <v>4</v>
      </c>
      <c r="AN757" s="140">
        <f t="shared" si="104"/>
        <v>51.75</v>
      </c>
      <c r="AO757" s="140">
        <f t="shared" si="105"/>
        <v>-13.75</v>
      </c>
      <c r="AP757" s="140">
        <f t="shared" si="106"/>
        <v>0.33333333333333348</v>
      </c>
    </row>
    <row r="758" spans="32:42" ht="20.100000000000001" customHeight="1" x14ac:dyDescent="0.25">
      <c r="AF758" s="140">
        <f>B168</f>
        <v>843131.19236813881</v>
      </c>
      <c r="AH758" s="140">
        <f>B16</f>
        <v>440</v>
      </c>
      <c r="AI758" s="140">
        <f>C16</f>
        <v>170</v>
      </c>
      <c r="AJ758" s="140">
        <f>D16</f>
        <v>4</v>
      </c>
      <c r="AN758" s="140">
        <f t="shared" si="104"/>
        <v>59.75</v>
      </c>
      <c r="AO758" s="140">
        <f t="shared" si="105"/>
        <v>-13.75</v>
      </c>
      <c r="AP758" s="140">
        <f t="shared" si="106"/>
        <v>0.33333333333333348</v>
      </c>
    </row>
    <row r="759" spans="32:42" ht="20.100000000000001" customHeight="1" x14ac:dyDescent="0.25">
      <c r="AF759" s="140">
        <f>B169</f>
        <v>850004.04744067951</v>
      </c>
      <c r="AH759" s="140">
        <f>B17</f>
        <v>390</v>
      </c>
      <c r="AI759" s="140">
        <f>C17</f>
        <v>180</v>
      </c>
      <c r="AJ759" s="140">
        <f>D17</f>
        <v>4</v>
      </c>
      <c r="AN759" s="140">
        <f t="shared" si="104"/>
        <v>9.75</v>
      </c>
      <c r="AO759" s="140">
        <f t="shared" si="105"/>
        <v>-3.75</v>
      </c>
      <c r="AP759" s="140">
        <f t="shared" si="106"/>
        <v>0.33333333333333348</v>
      </c>
    </row>
    <row r="760" spans="32:42" ht="20.100000000000001" customHeight="1" x14ac:dyDescent="0.25">
      <c r="AF760" s="140">
        <f>B170</f>
        <v>854323.15426317416</v>
      </c>
      <c r="AH760" s="140">
        <f>B18</f>
        <v>362</v>
      </c>
      <c r="AI760" s="140">
        <f>C18</f>
        <v>185</v>
      </c>
      <c r="AJ760" s="140">
        <f>D18</f>
        <v>4</v>
      </c>
      <c r="AN760" s="140">
        <f t="shared" si="104"/>
        <v>-18.25</v>
      </c>
      <c r="AO760" s="140">
        <f t="shared" si="105"/>
        <v>1.25</v>
      </c>
      <c r="AP760" s="140">
        <f t="shared" si="106"/>
        <v>0.33333333333333348</v>
      </c>
    </row>
    <row r="761" spans="32:42" ht="20.100000000000001" customHeight="1" x14ac:dyDescent="0.25">
      <c r="AF761" s="140">
        <f>B171</f>
        <v>849863.2389869676</v>
      </c>
      <c r="AH761" s="140">
        <f>B19</f>
        <v>430</v>
      </c>
      <c r="AI761" s="140">
        <f>C19</f>
        <v>180</v>
      </c>
      <c r="AJ761" s="140">
        <f>D19</f>
        <v>4</v>
      </c>
      <c r="AN761" s="140">
        <f t="shared" si="104"/>
        <v>49.75</v>
      </c>
      <c r="AO761" s="140">
        <f t="shared" si="105"/>
        <v>-3.75</v>
      </c>
      <c r="AP761" s="140">
        <f t="shared" si="106"/>
        <v>0.33333333333333348</v>
      </c>
    </row>
    <row r="762" spans="32:42" ht="20.100000000000001" customHeight="1" x14ac:dyDescent="0.25">
      <c r="AF762" s="140">
        <f>B172</f>
        <v>846013.61629042891</v>
      </c>
      <c r="AH762" s="140">
        <f>B20</f>
        <v>384</v>
      </c>
      <c r="AI762" s="140">
        <f>C20</f>
        <v>190</v>
      </c>
      <c r="AJ762" s="140">
        <f>D20</f>
        <v>4</v>
      </c>
      <c r="AN762" s="140">
        <f t="shared" si="104"/>
        <v>3.75</v>
      </c>
      <c r="AO762" s="140">
        <f t="shared" si="105"/>
        <v>6.25</v>
      </c>
      <c r="AP762" s="140">
        <f t="shared" si="106"/>
        <v>0.33333333333333348</v>
      </c>
    </row>
    <row r="763" spans="32:42" ht="20.100000000000001" customHeight="1" x14ac:dyDescent="0.25">
      <c r="AF763" s="140">
        <f>B173</f>
        <v>871458.77309944085</v>
      </c>
      <c r="AH763" s="140">
        <f>B21</f>
        <v>341</v>
      </c>
      <c r="AI763" s="140">
        <f>C21</f>
        <v>230</v>
      </c>
      <c r="AJ763" s="140">
        <f>D21</f>
        <v>4</v>
      </c>
      <c r="AN763" s="140">
        <f t="shared" si="104"/>
        <v>-39.25</v>
      </c>
      <c r="AO763" s="140">
        <f t="shared" si="105"/>
        <v>46.25</v>
      </c>
      <c r="AP763" s="140">
        <f t="shared" si="106"/>
        <v>0.33333333333333348</v>
      </c>
    </row>
    <row r="764" spans="32:42" ht="20.100000000000001" customHeight="1" x14ac:dyDescent="0.25">
      <c r="AF764" s="140">
        <f>B174</f>
        <v>869158.41123448173</v>
      </c>
      <c r="AH764" s="140">
        <f>B22</f>
        <v>374</v>
      </c>
      <c r="AI764" s="140">
        <f>C22</f>
        <v>230</v>
      </c>
      <c r="AJ764" s="140">
        <f>D22</f>
        <v>4</v>
      </c>
      <c r="AN764" s="140">
        <f t="shared" si="104"/>
        <v>-6.25</v>
      </c>
      <c r="AO764" s="140">
        <f t="shared" si="105"/>
        <v>46.25</v>
      </c>
      <c r="AP764" s="140">
        <f t="shared" si="106"/>
        <v>0.33333333333333348</v>
      </c>
    </row>
    <row r="765" spans="32:42" ht="20.100000000000001" customHeight="1" x14ac:dyDescent="0.25">
      <c r="AF765" s="140">
        <f>B175</f>
        <v>936081.22152111353</v>
      </c>
    </row>
    <row r="766" spans="32:42" ht="20.100000000000001" customHeight="1" x14ac:dyDescent="0.25">
      <c r="AF766" s="140">
        <f>B176</f>
        <v>953897.53716390394</v>
      </c>
    </row>
    <row r="767" spans="32:42" ht="20.100000000000001" customHeight="1" x14ac:dyDescent="0.25">
      <c r="AF767" s="140">
        <f>MAX(AF754:AF766)*(1+AG754)</f>
        <v>1144677.0445966846</v>
      </c>
    </row>
    <row r="769" spans="34:51" ht="20.100000000000001" customHeight="1" x14ac:dyDescent="0.25">
      <c r="AL769" s="140" t="s">
        <v>166</v>
      </c>
    </row>
    <row r="770" spans="34:51" ht="20.100000000000001" customHeight="1" x14ac:dyDescent="0.25">
      <c r="AH770" s="140">
        <f>AVERAGE(AH753:AH764)</f>
        <v>380.25</v>
      </c>
      <c r="AI770" s="140">
        <f t="shared" ref="AI770:AJ770" si="107">AVERAGE(AI753:AI764)</f>
        <v>183.75</v>
      </c>
      <c r="AJ770" s="140">
        <f t="shared" si="107"/>
        <v>3.6666666666666665</v>
      </c>
      <c r="AL770" s="180">
        <f>AN770</f>
        <v>5.3732497848202341</v>
      </c>
      <c r="AN770" s="140" cm="1">
        <f t="array" ref="AN770:AY781">MMULT(MMULT(AN753:AP764,MINVERSE(AH772:AJ774)),TRANSPOSE(AN753:AP764))</f>
        <v>5.3732497848202341</v>
      </c>
      <c r="AO770" s="140">
        <v>3.6510816888068494</v>
      </c>
      <c r="AP770" s="140">
        <v>-0.69517841772873923</v>
      </c>
      <c r="AQ770" s="140">
        <v>-0.99581972256501261</v>
      </c>
      <c r="AR770" s="140">
        <v>-1.3960385318690736</v>
      </c>
      <c r="AS770" s="140">
        <v>-1.7751123428496367</v>
      </c>
      <c r="AT770" s="140">
        <v>-7.1836338936644428E-3</v>
      </c>
      <c r="AU770" s="140">
        <v>1.0189333997020327</v>
      </c>
      <c r="AV770" s="140">
        <v>-1.9025526887964794</v>
      </c>
      <c r="AW770" s="140">
        <v>-0.32416088533078879</v>
      </c>
      <c r="AX770" s="140">
        <v>-0.69176959000044869</v>
      </c>
      <c r="AY770" s="140">
        <v>-2.255449060295271</v>
      </c>
    </row>
    <row r="771" spans="34:51" ht="20.100000000000001" customHeight="1" x14ac:dyDescent="0.25">
      <c r="AL771" s="180">
        <f>AO771</f>
        <v>2.7993144061556956</v>
      </c>
      <c r="AN771" s="140">
        <v>3.6510816888068489</v>
      </c>
      <c r="AO771" s="140">
        <v>2.7993144061556956</v>
      </c>
      <c r="AP771" s="140">
        <v>0.53494165085224887</v>
      </c>
      <c r="AQ771" s="140">
        <v>0.34799558751853538</v>
      </c>
      <c r="AR771" s="140">
        <v>-0.93811442896993702</v>
      </c>
      <c r="AS771" s="140">
        <v>-1.1154000874545875</v>
      </c>
      <c r="AT771" s="140">
        <v>-0.38125684859294873</v>
      </c>
      <c r="AU771" s="140">
        <v>5.2296892769614634E-2</v>
      </c>
      <c r="AV771" s="140">
        <v>-1.2676851410162016</v>
      </c>
      <c r="AW771" s="140">
        <v>-0.6221847313968879</v>
      </c>
      <c r="AX771" s="140">
        <v>-1.1648428237115993</v>
      </c>
      <c r="AY771" s="140">
        <v>-1.8961461649607829</v>
      </c>
    </row>
    <row r="772" spans="34:51" ht="20.100000000000001" customHeight="1" x14ac:dyDescent="0.25">
      <c r="AH772" s="140">
        <f>_xlfn.COVARIANCE.S(AH753:AH764,$AH$753:$AH$764)</f>
        <v>1809.1136363636363</v>
      </c>
      <c r="AI772" s="140">
        <f t="shared" ref="AI772:AJ772" si="108">_xlfn.COVARIANCE.S(AI753:AI764,$AH$753:$AH$764)</f>
        <v>24.431818181818183</v>
      </c>
      <c r="AJ772" s="140">
        <f t="shared" si="108"/>
        <v>10.09090909090909</v>
      </c>
      <c r="AL772" s="180">
        <f>AP772</f>
        <v>3.6394131555205265</v>
      </c>
      <c r="AN772" s="140">
        <v>-0.69517841772874034</v>
      </c>
      <c r="AO772" s="140">
        <v>0.53494165085224887</v>
      </c>
      <c r="AP772" s="140">
        <v>3.6394131555205265</v>
      </c>
      <c r="AQ772" s="140">
        <v>3.8541569446892927</v>
      </c>
      <c r="AR772" s="140">
        <v>-0.57425819152209057</v>
      </c>
      <c r="AS772" s="140">
        <v>-0.30349118367883121</v>
      </c>
      <c r="AT772" s="140">
        <v>-1.5662974043616684</v>
      </c>
      <c r="AU772" s="140">
        <v>-2.2992381426443091</v>
      </c>
      <c r="AV772" s="140">
        <v>-0.21246236514537209</v>
      </c>
      <c r="AW772" s="140">
        <v>-1.3398850819065795</v>
      </c>
      <c r="AX772" s="140">
        <v>-1.0773074357139649</v>
      </c>
      <c r="AY772" s="140">
        <v>3.9606471639479279E-2</v>
      </c>
    </row>
    <row r="773" spans="34:51" ht="20.100000000000001" customHeight="1" x14ac:dyDescent="0.25">
      <c r="AH773" s="140">
        <f>_xlfn.COVARIANCE.S(AH753:AH764,$AI$753:$AI$764)</f>
        <v>24.431818181818183</v>
      </c>
      <c r="AI773" s="140">
        <f t="shared" ref="AI773:AJ773" si="109">_xlfn.COVARIANCE.S(AI753:AI764,$AI$753:$AI$764)</f>
        <v>609.65909090909088</v>
      </c>
      <c r="AJ773" s="140">
        <f t="shared" si="109"/>
        <v>5.9090909090909092</v>
      </c>
      <c r="AL773" s="180">
        <f>AQ773</f>
        <v>4.127000523690513</v>
      </c>
      <c r="AN773" s="140">
        <v>-0.99581972256501272</v>
      </c>
      <c r="AO773" s="140">
        <v>0.34799558751853521</v>
      </c>
      <c r="AP773" s="140">
        <v>3.8541569446892927</v>
      </c>
      <c r="AQ773" s="140">
        <v>4.127000523690513</v>
      </c>
      <c r="AR773" s="140">
        <v>-0.75825551430556626</v>
      </c>
      <c r="AS773" s="140">
        <v>-0.47266305268361197</v>
      </c>
      <c r="AT773" s="140">
        <v>-1.7119287798183853</v>
      </c>
      <c r="AU773" s="140">
        <v>-2.4386588164940046</v>
      </c>
      <c r="AV773" s="140">
        <v>-0.28396647170861433</v>
      </c>
      <c r="AW773" s="140">
        <v>-1.3804359680324105</v>
      </c>
      <c r="AX773" s="140">
        <v>-0.73274681724065216</v>
      </c>
      <c r="AY773" s="140">
        <v>0.44532208694990905</v>
      </c>
    </row>
    <row r="774" spans="34:51" ht="20.100000000000001" customHeight="1" x14ac:dyDescent="0.25">
      <c r="AH774" s="140">
        <f>_xlfn.COVARIANCE.S(AH753:AH764,$AJ$753:$AJ$764)</f>
        <v>10.09090909090909</v>
      </c>
      <c r="AI774" s="140">
        <f t="shared" ref="AI774:AJ774" si="110">_xlfn.COVARIANCE.S(AI753:AI764,$AJ$753:$AJ$764)</f>
        <v>5.9090909090909092</v>
      </c>
      <c r="AJ774" s="140">
        <f t="shared" si="110"/>
        <v>0.2424242424242424</v>
      </c>
      <c r="AL774" s="180">
        <f>AR774</f>
        <v>2.0737474204353377</v>
      </c>
      <c r="AN774" s="140">
        <v>-1.396038531869074</v>
      </c>
      <c r="AO774" s="140">
        <v>-0.93811442896993713</v>
      </c>
      <c r="AP774" s="140">
        <v>-0.57425819152209123</v>
      </c>
      <c r="AQ774" s="140">
        <v>-0.75825551430556681</v>
      </c>
      <c r="AR774" s="140">
        <v>2.0737474204353377</v>
      </c>
      <c r="AS774" s="140">
        <v>2.2449264672840341</v>
      </c>
      <c r="AT774" s="140">
        <v>0.80706277891272937</v>
      </c>
      <c r="AU774" s="140">
        <v>2.393879215881578E-2</v>
      </c>
      <c r="AV774" s="140">
        <v>1.6629580131562121</v>
      </c>
      <c r="AW774" s="140">
        <v>0.31068384820925571</v>
      </c>
      <c r="AX774" s="140">
        <v>-2.0813821108702935</v>
      </c>
      <c r="AY774" s="140">
        <v>-1.3752685426194202</v>
      </c>
    </row>
    <row r="775" spans="34:51" ht="20.100000000000001" customHeight="1" x14ac:dyDescent="0.25">
      <c r="AL775" s="180">
        <f>AS775</f>
        <v>2.4659622337906555</v>
      </c>
      <c r="AN775" s="140">
        <v>-1.7751123428496371</v>
      </c>
      <c r="AO775" s="140">
        <v>-1.115400087454588</v>
      </c>
      <c r="AP775" s="140">
        <v>-0.30349118367883193</v>
      </c>
      <c r="AQ775" s="140">
        <v>-0.47266305268361264</v>
      </c>
      <c r="AR775" s="140">
        <v>2.2449264672840346</v>
      </c>
      <c r="AS775" s="140">
        <v>2.4659622337906555</v>
      </c>
      <c r="AT775" s="140">
        <v>0.74614495511471146</v>
      </c>
      <c r="AU775" s="140">
        <v>-0.19665209666324363</v>
      </c>
      <c r="AV775" s="140">
        <v>1.8513237876478177</v>
      </c>
      <c r="AW775" s="140">
        <v>0.24202439222518415</v>
      </c>
      <c r="AX775" s="140">
        <v>-2.2994178047861507</v>
      </c>
      <c r="AY775" s="140">
        <v>-1.3876452679463378</v>
      </c>
    </row>
    <row r="776" spans="34:51" ht="20.100000000000001" customHeight="1" x14ac:dyDescent="0.25">
      <c r="AL776" s="180">
        <f>AT776</f>
        <v>0.83561860293888979</v>
      </c>
      <c r="AN776" s="140">
        <v>-7.1836338936641653E-3</v>
      </c>
      <c r="AO776" s="140">
        <v>-0.38125684859294862</v>
      </c>
      <c r="AP776" s="140">
        <v>-1.5662974043616684</v>
      </c>
      <c r="AQ776" s="140">
        <v>-1.7119287798183853</v>
      </c>
      <c r="AR776" s="140">
        <v>0.80706277891272926</v>
      </c>
      <c r="AS776" s="140">
        <v>0.74614495511471124</v>
      </c>
      <c r="AT776" s="140">
        <v>0.83561860293888979</v>
      </c>
      <c r="AU776" s="140">
        <v>0.9031996107752357</v>
      </c>
      <c r="AV776" s="140">
        <v>0.53102948394879979</v>
      </c>
      <c r="AW776" s="140">
        <v>0.59004421987396927</v>
      </c>
      <c r="AX776" s="140">
        <v>-0.24757348086541986</v>
      </c>
      <c r="AY776" s="140">
        <v>-0.49885950403224399</v>
      </c>
    </row>
    <row r="777" spans="34:51" ht="20.100000000000001" customHeight="1" x14ac:dyDescent="0.25">
      <c r="AL777" s="180">
        <f>AU777</f>
        <v>1.5358470478027477</v>
      </c>
      <c r="AN777" s="140">
        <v>1.0189333997020329</v>
      </c>
      <c r="AO777" s="140">
        <v>5.2296892769614356E-2</v>
      </c>
      <c r="AP777" s="140">
        <v>-2.2992381426443091</v>
      </c>
      <c r="AQ777" s="140">
        <v>-2.4386588164940051</v>
      </c>
      <c r="AR777" s="140">
        <v>2.3938792158815669E-2</v>
      </c>
      <c r="AS777" s="140">
        <v>-0.19665209666324368</v>
      </c>
      <c r="AT777" s="140">
        <v>0.9031996107752357</v>
      </c>
      <c r="AU777" s="140">
        <v>1.5358470478027477</v>
      </c>
      <c r="AV777" s="140">
        <v>-0.19975483333506094</v>
      </c>
      <c r="AW777" s="140">
        <v>0.78980142969238876</v>
      </c>
      <c r="AX777" s="140">
        <v>0.8601120663133921</v>
      </c>
      <c r="AY777" s="140">
        <v>-4.9825350077602693E-2</v>
      </c>
    </row>
    <row r="778" spans="34:51" ht="20.100000000000001" customHeight="1" x14ac:dyDescent="0.25">
      <c r="AL778" s="180">
        <f>AV778</f>
        <v>1.4728583564068267</v>
      </c>
      <c r="AN778" s="140">
        <v>-1.9025526887964794</v>
      </c>
      <c r="AO778" s="140">
        <v>-1.2676851410162016</v>
      </c>
      <c r="AP778" s="140">
        <v>-0.21246236514537253</v>
      </c>
      <c r="AQ778" s="140">
        <v>-0.28396647170861472</v>
      </c>
      <c r="AR778" s="140">
        <v>1.6629580131562123</v>
      </c>
      <c r="AS778" s="140">
        <v>1.8513237876478179</v>
      </c>
      <c r="AT778" s="140">
        <v>0.5310294839487999</v>
      </c>
      <c r="AU778" s="140">
        <v>-0.199754833335061</v>
      </c>
      <c r="AV778" s="140">
        <v>1.4728583564068267</v>
      </c>
      <c r="AW778" s="140">
        <v>0.24674693995361152</v>
      </c>
      <c r="AX778" s="140">
        <v>-1.3377519504447046</v>
      </c>
      <c r="AY778" s="140">
        <v>-0.56074313066683257</v>
      </c>
    </row>
    <row r="779" spans="34:51" ht="20.100000000000001" customHeight="1" x14ac:dyDescent="0.25">
      <c r="AL779" s="180">
        <f>AW779</f>
        <v>0.56043703961036107</v>
      </c>
      <c r="AN779" s="140">
        <v>-0.32416088533078857</v>
      </c>
      <c r="AO779" s="140">
        <v>-0.62218473139688801</v>
      </c>
      <c r="AP779" s="140">
        <v>-1.3398850819065797</v>
      </c>
      <c r="AQ779" s="140">
        <v>-1.3804359680324108</v>
      </c>
      <c r="AR779" s="140">
        <v>0.31068384820925543</v>
      </c>
      <c r="AS779" s="140">
        <v>0.2420243922251839</v>
      </c>
      <c r="AT779" s="140">
        <v>0.59004421987396927</v>
      </c>
      <c r="AU779" s="140">
        <v>0.78980142969238887</v>
      </c>
      <c r="AV779" s="140">
        <v>0.24674693995361136</v>
      </c>
      <c r="AW779" s="140">
        <v>0.56043703961036107</v>
      </c>
      <c r="AX779" s="140">
        <v>0.60507452651809801</v>
      </c>
      <c r="AY779" s="140">
        <v>0.32185427058380273</v>
      </c>
    </row>
    <row r="780" spans="34:51" ht="20.100000000000001" customHeight="1" x14ac:dyDescent="0.25">
      <c r="AL780" s="180">
        <f>AX780</f>
        <v>4.5335013291023296</v>
      </c>
      <c r="AN780" s="140">
        <v>-0.69176959000044946</v>
      </c>
      <c r="AO780" s="140">
        <v>-1.1648428237116002</v>
      </c>
      <c r="AP780" s="140">
        <v>-1.0773074357139651</v>
      </c>
      <c r="AQ780" s="140">
        <v>-0.7327468172406526</v>
      </c>
      <c r="AR780" s="140">
        <v>-2.0813821108702939</v>
      </c>
      <c r="AS780" s="140">
        <v>-2.2994178047861507</v>
      </c>
      <c r="AT780" s="140">
        <v>-0.24757348086541991</v>
      </c>
      <c r="AU780" s="140">
        <v>0.8601120663133921</v>
      </c>
      <c r="AV780" s="140">
        <v>-1.3377519504447046</v>
      </c>
      <c r="AW780" s="140">
        <v>0.6050745265180979</v>
      </c>
      <c r="AX780" s="140">
        <v>4.5335013291023296</v>
      </c>
      <c r="AY780" s="140">
        <v>3.6341040916994194</v>
      </c>
    </row>
    <row r="781" spans="34:51" ht="20.100000000000001" customHeight="1" x14ac:dyDescent="0.25">
      <c r="AL781" s="180">
        <f>AY781</f>
        <v>3.5830500997258827</v>
      </c>
      <c r="AN781" s="140">
        <v>-2.2554490602952715</v>
      </c>
      <c r="AO781" s="140">
        <v>-1.8961461649607838</v>
      </c>
      <c r="AP781" s="140">
        <v>3.9606471639479057E-2</v>
      </c>
      <c r="AQ781" s="140">
        <v>0.44532208694990821</v>
      </c>
      <c r="AR781" s="140">
        <v>-1.3752685426194202</v>
      </c>
      <c r="AS781" s="140">
        <v>-1.387645267946338</v>
      </c>
      <c r="AT781" s="140">
        <v>-0.49885950403224388</v>
      </c>
      <c r="AU781" s="140">
        <v>-4.982535007760272E-2</v>
      </c>
      <c r="AV781" s="140">
        <v>-0.56074313066683246</v>
      </c>
      <c r="AW781" s="140">
        <v>0.32185427058380278</v>
      </c>
      <c r="AX781" s="140">
        <v>3.6341040916994185</v>
      </c>
      <c r="AY781" s="140">
        <v>3.5830500997258827</v>
      </c>
    </row>
    <row r="782" spans="34:51" ht="20.100000000000001" customHeight="1" x14ac:dyDescent="0.25">
      <c r="AL782" s="180"/>
    </row>
    <row r="783" spans="34:51" ht="20.100000000000001" customHeight="1" x14ac:dyDescent="0.25">
      <c r="AL783" s="180"/>
    </row>
    <row r="784" spans="34:51" ht="20.100000000000001" customHeight="1" x14ac:dyDescent="0.25">
      <c r="AL784" s="180"/>
    </row>
    <row r="785" spans="36:43" ht="20.100000000000001" customHeight="1" x14ac:dyDescent="0.25">
      <c r="AL785" s="180"/>
    </row>
    <row r="791" spans="36:43" ht="20.100000000000001" customHeight="1" x14ac:dyDescent="0.25">
      <c r="AJ791" s="140" t="s">
        <v>177</v>
      </c>
      <c r="AK791" s="141" t="s">
        <v>144</v>
      </c>
      <c r="AL791" s="140" t="str">
        <f>B10</f>
        <v>Área do terreno</v>
      </c>
      <c r="AM791" s="140" t="str">
        <f>C10</f>
        <v>Área edificada</v>
      </c>
      <c r="AN791" s="140" t="str">
        <f>D10</f>
        <v>Quartos</v>
      </c>
      <c r="AO791" s="140" t="str">
        <f>I10</f>
        <v>Valor observado</v>
      </c>
      <c r="AP791" s="140" t="s">
        <v>145</v>
      </c>
      <c r="AQ791" s="140" t="s">
        <v>3</v>
      </c>
    </row>
    <row r="792" spans="36:43" ht="20.100000000000001" customHeight="1" x14ac:dyDescent="0.25">
      <c r="AJ792" s="141">
        <v>1</v>
      </c>
      <c r="AK792" s="141">
        <v>1</v>
      </c>
      <c r="AL792" s="140">
        <f>B11</f>
        <v>300</v>
      </c>
      <c r="AM792" s="140">
        <f>C11</f>
        <v>150</v>
      </c>
      <c r="AN792" s="140">
        <f>D11</f>
        <v>3</v>
      </c>
      <c r="AO792" s="140">
        <f>I11</f>
        <v>715500</v>
      </c>
      <c r="AP792" s="140" cm="1">
        <f t="array" ref="AP792:AP803">MMULT(AK792:AN803,MMULT((MINVERSE(MMULT(TRANSPOSE(AK792:AN803),AK792:AN803))),MMULT(TRANSPOSE(AK792:AN803),AO792:AO803)))</f>
        <v>715670.48233972606</v>
      </c>
      <c r="AQ792" s="140">
        <f>AO792-AP792</f>
        <v>-170.48233972606249</v>
      </c>
    </row>
    <row r="793" spans="36:43" ht="20.100000000000001" customHeight="1" x14ac:dyDescent="0.25">
      <c r="AJ793" s="141">
        <v>2</v>
      </c>
      <c r="AK793" s="141">
        <v>1</v>
      </c>
      <c r="AL793" s="140">
        <f>B12</f>
        <v>330</v>
      </c>
      <c r="AM793" s="140">
        <f>C12</f>
        <v>155</v>
      </c>
      <c r="AN793" s="140">
        <f>D12</f>
        <v>3</v>
      </c>
      <c r="AO793" s="140">
        <f>I12</f>
        <v>743400</v>
      </c>
      <c r="AP793" s="140">
        <v>743134.38410627353</v>
      </c>
      <c r="AQ793" s="140">
        <f t="shared" ref="AQ793:AQ803" si="111">AO793-AP793</f>
        <v>265.61589372646995</v>
      </c>
    </row>
    <row r="794" spans="36:43" ht="20.100000000000001" customHeight="1" x14ac:dyDescent="0.25">
      <c r="AJ794" s="141">
        <v>3</v>
      </c>
      <c r="AK794" s="141">
        <v>1</v>
      </c>
      <c r="AL794" s="140">
        <f>B13</f>
        <v>390</v>
      </c>
      <c r="AM794" s="140">
        <f>C13</f>
        <v>180</v>
      </c>
      <c r="AN794" s="140">
        <f>D13</f>
        <v>3</v>
      </c>
      <c r="AO794" s="140">
        <f>I13</f>
        <v>831600</v>
      </c>
      <c r="AP794" s="140">
        <v>831863.94118594611</v>
      </c>
      <c r="AQ794" s="140">
        <f t="shared" si="111"/>
        <v>-263.94118594611064</v>
      </c>
    </row>
    <row r="795" spans="36:43" ht="20.100000000000001" customHeight="1" x14ac:dyDescent="0.25">
      <c r="AJ795" s="141">
        <v>4</v>
      </c>
      <c r="AK795" s="141">
        <v>1</v>
      </c>
      <c r="AL795" s="140">
        <f>B14</f>
        <v>390</v>
      </c>
      <c r="AM795" s="140">
        <f>C14</f>
        <v>185</v>
      </c>
      <c r="AN795" s="140">
        <f>D14</f>
        <v>3</v>
      </c>
      <c r="AO795" s="140">
        <f>I14</f>
        <v>843300</v>
      </c>
      <c r="AP795" s="140">
        <v>843131.19236813881</v>
      </c>
      <c r="AQ795" s="140">
        <f t="shared" si="111"/>
        <v>168.80763186118565</v>
      </c>
    </row>
    <row r="796" spans="36:43" ht="20.100000000000001" customHeight="1" x14ac:dyDescent="0.25">
      <c r="AJ796" s="141">
        <v>5</v>
      </c>
      <c r="AK796" s="141">
        <v>1</v>
      </c>
      <c r="AL796" s="140">
        <f>B15</f>
        <v>432</v>
      </c>
      <c r="AM796" s="140">
        <f>C15</f>
        <v>170</v>
      </c>
      <c r="AN796" s="140">
        <f>D15</f>
        <v>4</v>
      </c>
      <c r="AO796" s="140">
        <f>I15</f>
        <v>850500</v>
      </c>
      <c r="AP796" s="140">
        <v>850004.04744067951</v>
      </c>
      <c r="AQ796" s="140">
        <f t="shared" si="111"/>
        <v>495.95255932048894</v>
      </c>
    </row>
    <row r="797" spans="36:43" ht="20.100000000000001" customHeight="1" x14ac:dyDescent="0.25">
      <c r="AJ797" s="141">
        <v>6</v>
      </c>
      <c r="AK797" s="141">
        <v>1</v>
      </c>
      <c r="AL797" s="140">
        <f>B16</f>
        <v>440</v>
      </c>
      <c r="AM797" s="140">
        <f>C16</f>
        <v>170</v>
      </c>
      <c r="AN797" s="140">
        <f>D16</f>
        <v>4</v>
      </c>
      <c r="AO797" s="140">
        <f>I16</f>
        <v>854100</v>
      </c>
      <c r="AP797" s="140">
        <v>854323.15426317416</v>
      </c>
      <c r="AQ797" s="140">
        <f t="shared" si="111"/>
        <v>-223.15426317416131</v>
      </c>
    </row>
    <row r="798" spans="36:43" ht="20.100000000000001" customHeight="1" x14ac:dyDescent="0.25">
      <c r="AJ798" s="141">
        <v>7</v>
      </c>
      <c r="AK798" s="141">
        <v>1</v>
      </c>
      <c r="AL798" s="140">
        <f>B17</f>
        <v>390</v>
      </c>
      <c r="AM798" s="140">
        <f>C17</f>
        <v>180</v>
      </c>
      <c r="AN798" s="140">
        <f>D17</f>
        <v>4</v>
      </c>
      <c r="AO798" s="140">
        <f>I17</f>
        <v>849600</v>
      </c>
      <c r="AP798" s="140">
        <v>849863.2389869676</v>
      </c>
      <c r="AQ798" s="140">
        <f t="shared" si="111"/>
        <v>-263.23898696759716</v>
      </c>
    </row>
    <row r="799" spans="36:43" ht="20.100000000000001" customHeight="1" x14ac:dyDescent="0.25">
      <c r="AJ799" s="141">
        <v>8</v>
      </c>
      <c r="AK799" s="141">
        <v>1</v>
      </c>
      <c r="AL799" s="140">
        <f>B18</f>
        <v>362</v>
      </c>
      <c r="AM799" s="140">
        <f>C18</f>
        <v>185</v>
      </c>
      <c r="AN799" s="140">
        <f>D18</f>
        <v>4</v>
      </c>
      <c r="AO799" s="140">
        <f>I18</f>
        <v>846000</v>
      </c>
      <c r="AP799" s="140">
        <v>846013.61629042891</v>
      </c>
      <c r="AQ799" s="140">
        <f t="shared" si="111"/>
        <v>-13.616290428908542</v>
      </c>
    </row>
    <row r="800" spans="36:43" ht="20.100000000000001" customHeight="1" x14ac:dyDescent="0.25">
      <c r="AJ800" s="141">
        <v>9</v>
      </c>
      <c r="AK800" s="141">
        <v>1</v>
      </c>
      <c r="AL800" s="140">
        <f>B19</f>
        <v>430</v>
      </c>
      <c r="AM800" s="140">
        <f>C19</f>
        <v>180</v>
      </c>
      <c r="AN800" s="140">
        <f>D19</f>
        <v>4</v>
      </c>
      <c r="AO800" s="140">
        <f>I19</f>
        <v>871200</v>
      </c>
      <c r="AP800" s="140">
        <v>871458.77309944085</v>
      </c>
      <c r="AQ800" s="140">
        <f t="shared" si="111"/>
        <v>-258.77309944084845</v>
      </c>
    </row>
    <row r="801" spans="36:43" ht="20.100000000000001" customHeight="1" x14ac:dyDescent="0.25">
      <c r="AJ801" s="141">
        <v>10</v>
      </c>
      <c r="AK801" s="141">
        <v>1</v>
      </c>
      <c r="AL801" s="140">
        <f>B20</f>
        <v>384</v>
      </c>
      <c r="AM801" s="140">
        <f>C20</f>
        <v>190</v>
      </c>
      <c r="AN801" s="140">
        <f>D20</f>
        <v>4</v>
      </c>
      <c r="AO801" s="140">
        <f>I20</f>
        <v>869400</v>
      </c>
      <c r="AP801" s="140">
        <v>869158.41123448173</v>
      </c>
      <c r="AQ801" s="140">
        <f t="shared" si="111"/>
        <v>241.58876551827416</v>
      </c>
    </row>
    <row r="802" spans="36:43" ht="20.100000000000001" customHeight="1" x14ac:dyDescent="0.25">
      <c r="AJ802" s="141">
        <v>11</v>
      </c>
      <c r="AK802" s="141">
        <v>1</v>
      </c>
      <c r="AL802" s="140">
        <f>B21</f>
        <v>341</v>
      </c>
      <c r="AM802" s="140">
        <f>C21</f>
        <v>230</v>
      </c>
      <c r="AN802" s="140">
        <f>D21</f>
        <v>4</v>
      </c>
      <c r="AO802" s="140">
        <f>I21</f>
        <v>936000</v>
      </c>
      <c r="AP802" s="140">
        <v>936081.22152111353</v>
      </c>
      <c r="AQ802" s="140">
        <f t="shared" si="111"/>
        <v>-81.221521113533527</v>
      </c>
    </row>
    <row r="803" spans="36:43" ht="20.100000000000001" customHeight="1" x14ac:dyDescent="0.25">
      <c r="AJ803" s="141">
        <v>12</v>
      </c>
      <c r="AK803" s="141">
        <v>1</v>
      </c>
      <c r="AL803" s="140">
        <f>B22</f>
        <v>374</v>
      </c>
      <c r="AM803" s="140">
        <f>C22</f>
        <v>230</v>
      </c>
      <c r="AN803" s="140">
        <f>D22</f>
        <v>4</v>
      </c>
      <c r="AO803" s="140">
        <f>I22</f>
        <v>954000</v>
      </c>
      <c r="AP803" s="140">
        <v>953897.53716390394</v>
      </c>
      <c r="AQ803" s="140">
        <f t="shared" si="111"/>
        <v>102.46283609606326</v>
      </c>
    </row>
    <row r="805" spans="36:43" ht="20.100000000000001" customHeight="1" x14ac:dyDescent="0.25">
      <c r="AL805" s="140" t="s">
        <v>168</v>
      </c>
      <c r="AM805" s="140">
        <f>COUNT(AK792:AK803)</f>
        <v>12</v>
      </c>
      <c r="AP805" s="140" t="s">
        <v>172</v>
      </c>
      <c r="AQ805" s="140">
        <f>SUMSQ(AQ792:AQ803)</f>
        <v>705448.14815763384</v>
      </c>
    </row>
    <row r="806" spans="36:43" ht="20.100000000000001" customHeight="1" x14ac:dyDescent="0.25">
      <c r="AL806" s="140" t="s">
        <v>169</v>
      </c>
      <c r="AM806" s="140">
        <f>COUNTA(AL791:AN791)</f>
        <v>3</v>
      </c>
      <c r="AP806" s="140" t="s">
        <v>173</v>
      </c>
      <c r="AQ806" s="140">
        <f>AQ805/AM808</f>
        <v>88181.01851970423</v>
      </c>
    </row>
    <row r="807" spans="36:43" ht="20.100000000000001" customHeight="1" x14ac:dyDescent="0.25">
      <c r="AL807" s="140" t="s">
        <v>170</v>
      </c>
      <c r="AM807" s="140">
        <f>AM806+1</f>
        <v>4</v>
      </c>
    </row>
    <row r="808" spans="36:43" ht="20.100000000000001" customHeight="1" x14ac:dyDescent="0.25">
      <c r="AL808" s="140" t="s">
        <v>171</v>
      </c>
      <c r="AM808" s="140">
        <f>AM805-AM807</f>
        <v>8</v>
      </c>
      <c r="AP808" s="140" t="s">
        <v>174</v>
      </c>
      <c r="AQ808" s="140">
        <f>(AQ805/AM808)^(1/2)</f>
        <v>296.95288939443617</v>
      </c>
    </row>
    <row r="810" spans="36:43" ht="20.100000000000001" customHeight="1" x14ac:dyDescent="0.25">
      <c r="AP810" s="140" t="s">
        <v>175</v>
      </c>
      <c r="AQ810" s="183">
        <f>AQ792/AQ808</f>
        <v>-0.57410567741475804</v>
      </c>
    </row>
    <row r="811" spans="36:43" ht="20.100000000000001" customHeight="1" x14ac:dyDescent="0.25">
      <c r="AQ811" s="183"/>
    </row>
    <row r="812" spans="36:43" ht="20.100000000000001" customHeight="1" x14ac:dyDescent="0.25">
      <c r="AP812" s="140" t="s">
        <v>176</v>
      </c>
      <c r="AQ812" s="183">
        <f>(AQ792)/((AQ806*(1-E250))^(1/2))</f>
        <v>-0.87735201703517951</v>
      </c>
    </row>
    <row r="815" spans="36:43" ht="20.100000000000001" customHeight="1" x14ac:dyDescent="0.25">
      <c r="AJ815" s="140" t="s">
        <v>177</v>
      </c>
      <c r="AK815" s="141" t="s">
        <v>144</v>
      </c>
      <c r="AL815" s="140" t="str">
        <f>B10</f>
        <v>Área do terreno</v>
      </c>
      <c r="AM815" s="140" t="str">
        <f>C10</f>
        <v>Área edificada</v>
      </c>
      <c r="AN815" s="140" t="str">
        <f>D10</f>
        <v>Quartos</v>
      </c>
      <c r="AO815" s="140" t="str">
        <f>I10</f>
        <v>Valor observado</v>
      </c>
      <c r="AP815" s="140" t="s">
        <v>145</v>
      </c>
      <c r="AQ815" s="140" t="s">
        <v>3</v>
      </c>
    </row>
    <row r="816" spans="36:43" ht="20.100000000000001" customHeight="1" x14ac:dyDescent="0.25">
      <c r="AJ816" s="141">
        <v>2</v>
      </c>
      <c r="AK816" s="141">
        <v>1</v>
      </c>
      <c r="AL816" s="140">
        <f>B12</f>
        <v>330</v>
      </c>
      <c r="AM816" s="140">
        <f>C12</f>
        <v>155</v>
      </c>
      <c r="AN816" s="140">
        <f>D12</f>
        <v>3</v>
      </c>
      <c r="AO816" s="140">
        <f>I12</f>
        <v>743400</v>
      </c>
      <c r="AP816" s="140" cm="1">
        <f t="array" ref="AP816:AP826">MMULT(AK816:AN826,MMULT((MINVERSE(MMULT(TRANSPOSE(AK816:AN826),AK816:AN826))),MMULT(TRANSPOSE(AK816:AN826),AO816:AO826)))</f>
        <v>743299.71459746454</v>
      </c>
      <c r="AQ816" s="140">
        <f t="shared" ref="AQ816:AQ826" si="112">AO816-AP816</f>
        <v>100.28540253546089</v>
      </c>
    </row>
    <row r="817" spans="36:43" ht="20.100000000000001" customHeight="1" x14ac:dyDescent="0.25">
      <c r="AJ817" s="141">
        <v>3</v>
      </c>
      <c r="AK817" s="141">
        <v>1</v>
      </c>
      <c r="AL817" s="140">
        <f>B13</f>
        <v>390</v>
      </c>
      <c r="AM817" s="140">
        <f>C13</f>
        <v>180</v>
      </c>
      <c r="AN817" s="140">
        <f>D13</f>
        <v>3</v>
      </c>
      <c r="AO817" s="140">
        <f>I13</f>
        <v>831600</v>
      </c>
      <c r="AP817" s="140">
        <v>831871.95799378632</v>
      </c>
      <c r="AQ817" s="140">
        <f t="shared" si="112"/>
        <v>-271.95799378631637</v>
      </c>
    </row>
    <row r="818" spans="36:43" ht="20.100000000000001" customHeight="1" x14ac:dyDescent="0.25">
      <c r="AJ818" s="141">
        <v>4</v>
      </c>
      <c r="AK818" s="141">
        <v>1</v>
      </c>
      <c r="AL818" s="140">
        <f>B14</f>
        <v>390</v>
      </c>
      <c r="AM818" s="140">
        <f>C14</f>
        <v>185</v>
      </c>
      <c r="AN818" s="140">
        <f>D14</f>
        <v>3</v>
      </c>
      <c r="AO818" s="140">
        <f>I14</f>
        <v>843300</v>
      </c>
      <c r="AP818" s="140">
        <v>843128.32740869536</v>
      </c>
      <c r="AQ818" s="140">
        <f t="shared" si="112"/>
        <v>171.67259130463935</v>
      </c>
    </row>
    <row r="819" spans="36:43" ht="20.100000000000001" customHeight="1" x14ac:dyDescent="0.25">
      <c r="AJ819" s="141">
        <v>5</v>
      </c>
      <c r="AK819" s="141">
        <v>1</v>
      </c>
      <c r="AL819" s="140">
        <f>B15</f>
        <v>432</v>
      </c>
      <c r="AM819" s="140">
        <f>C15</f>
        <v>170</v>
      </c>
      <c r="AN819" s="140">
        <f>D15</f>
        <v>4</v>
      </c>
      <c r="AO819" s="140">
        <f>I15</f>
        <v>850500</v>
      </c>
      <c r="AP819" s="140">
        <v>849986.69648787228</v>
      </c>
      <c r="AQ819" s="140">
        <f t="shared" si="112"/>
        <v>513.30351212772075</v>
      </c>
    </row>
    <row r="820" spans="36:43" ht="20.100000000000001" customHeight="1" x14ac:dyDescent="0.25">
      <c r="AJ820" s="141">
        <v>6</v>
      </c>
      <c r="AK820" s="141">
        <v>1</v>
      </c>
      <c r="AL820" s="140">
        <f>B16</f>
        <v>440</v>
      </c>
      <c r="AM820" s="140">
        <f>C16</f>
        <v>170</v>
      </c>
      <c r="AN820" s="140">
        <f>D16</f>
        <v>4</v>
      </c>
      <c r="AO820" s="140">
        <f>I16</f>
        <v>854100</v>
      </c>
      <c r="AP820" s="140">
        <v>854292.08266410918</v>
      </c>
      <c r="AQ820" s="140">
        <f t="shared" si="112"/>
        <v>-192.08266410918441</v>
      </c>
    </row>
    <row r="821" spans="36:43" ht="20.100000000000001" customHeight="1" x14ac:dyDescent="0.25">
      <c r="AJ821" s="141">
        <v>7</v>
      </c>
      <c r="AK821" s="141">
        <v>1</v>
      </c>
      <c r="AL821" s="140">
        <f>B17</f>
        <v>390</v>
      </c>
      <c r="AM821" s="140">
        <f>C17</f>
        <v>180</v>
      </c>
      <c r="AN821" s="140">
        <f>D17</f>
        <v>4</v>
      </c>
      <c r="AO821" s="140">
        <f>I17</f>
        <v>849600</v>
      </c>
      <c r="AP821" s="140">
        <v>849896.1578924465</v>
      </c>
      <c r="AQ821" s="140">
        <f t="shared" si="112"/>
        <v>-296.15789244649932</v>
      </c>
    </row>
    <row r="822" spans="36:43" ht="20.100000000000001" customHeight="1" x14ac:dyDescent="0.25">
      <c r="AJ822" s="141">
        <v>8</v>
      </c>
      <c r="AK822" s="141">
        <v>1</v>
      </c>
      <c r="AL822" s="140">
        <f>B18</f>
        <v>362</v>
      </c>
      <c r="AM822" s="140">
        <f>C18</f>
        <v>185</v>
      </c>
      <c r="AN822" s="140">
        <f>D18</f>
        <v>4</v>
      </c>
      <c r="AO822" s="140">
        <f>I18</f>
        <v>846000</v>
      </c>
      <c r="AP822" s="140">
        <v>846083.67569052638</v>
      </c>
      <c r="AQ822" s="140">
        <f t="shared" si="112"/>
        <v>-83.675690526375547</v>
      </c>
    </row>
    <row r="823" spans="36:43" ht="20.100000000000001" customHeight="1" x14ac:dyDescent="0.25">
      <c r="AJ823" s="141">
        <v>9</v>
      </c>
      <c r="AK823" s="141">
        <v>1</v>
      </c>
      <c r="AL823" s="140">
        <f>B19</f>
        <v>430</v>
      </c>
      <c r="AM823" s="140">
        <f>C19</f>
        <v>180</v>
      </c>
      <c r="AN823" s="140">
        <f>D19</f>
        <v>4</v>
      </c>
      <c r="AO823" s="140">
        <f>I19</f>
        <v>871200</v>
      </c>
      <c r="AP823" s="140">
        <v>871423.08877363103</v>
      </c>
      <c r="AQ823" s="140">
        <f t="shared" si="112"/>
        <v>-223.08877363102511</v>
      </c>
    </row>
    <row r="824" spans="36:43" ht="20.100000000000001" customHeight="1" x14ac:dyDescent="0.25">
      <c r="AJ824" s="141">
        <v>10</v>
      </c>
      <c r="AK824" s="141">
        <v>1</v>
      </c>
      <c r="AL824" s="140">
        <f>B20</f>
        <v>384</v>
      </c>
      <c r="AM824" s="140">
        <f>C20</f>
        <v>190</v>
      </c>
      <c r="AN824" s="140">
        <f>D20</f>
        <v>4</v>
      </c>
      <c r="AO824" s="140">
        <f>I20</f>
        <v>869400</v>
      </c>
      <c r="AP824" s="140">
        <v>869179.85709008679</v>
      </c>
      <c r="AQ824" s="140">
        <f t="shared" si="112"/>
        <v>220.1429099132074</v>
      </c>
    </row>
    <row r="825" spans="36:43" ht="20.100000000000001" customHeight="1" x14ac:dyDescent="0.25">
      <c r="AJ825" s="141">
        <v>11</v>
      </c>
      <c r="AK825" s="141">
        <v>1</v>
      </c>
      <c r="AL825" s="140">
        <f>B21</f>
        <v>341</v>
      </c>
      <c r="AM825" s="140">
        <f>C21</f>
        <v>230</v>
      </c>
      <c r="AN825" s="140">
        <f>D21</f>
        <v>4</v>
      </c>
      <c r="AO825" s="140">
        <f>I21</f>
        <v>936000</v>
      </c>
      <c r="AP825" s="140">
        <v>936089.36171208532</v>
      </c>
      <c r="AQ825" s="140">
        <f t="shared" si="112"/>
        <v>-89.361712085315958</v>
      </c>
    </row>
    <row r="826" spans="36:43" ht="20.100000000000001" customHeight="1" x14ac:dyDescent="0.25">
      <c r="AJ826" s="141">
        <v>12</v>
      </c>
      <c r="AK826" s="141">
        <v>1</v>
      </c>
      <c r="AL826" s="140">
        <f>B22</f>
        <v>374</v>
      </c>
      <c r="AM826" s="140">
        <f>C22</f>
        <v>230</v>
      </c>
      <c r="AN826" s="140">
        <f>D22</f>
        <v>4</v>
      </c>
      <c r="AO826" s="140">
        <f>I22</f>
        <v>954000</v>
      </c>
      <c r="AP826" s="140">
        <v>953849.07968906255</v>
      </c>
      <c r="AQ826" s="140">
        <f t="shared" si="112"/>
        <v>150.92031093745027</v>
      </c>
    </row>
    <row r="828" spans="36:43" ht="20.100000000000001" customHeight="1" x14ac:dyDescent="0.25">
      <c r="AL828" s="140" t="s">
        <v>168</v>
      </c>
      <c r="AM828" s="140">
        <f>COUNT(AK816:AK826)</f>
        <v>11</v>
      </c>
      <c r="AP828" s="140" t="s">
        <v>172</v>
      </c>
      <c r="AQ828" s="140">
        <f>SUMSQ(AQ816:AQ826)</f>
        <v>637571.11235410511</v>
      </c>
    </row>
    <row r="829" spans="36:43" ht="20.100000000000001" customHeight="1" x14ac:dyDescent="0.25">
      <c r="AL829" s="140" t="s">
        <v>169</v>
      </c>
      <c r="AM829" s="140">
        <f>COUNTA(AL815:AN815)</f>
        <v>3</v>
      </c>
      <c r="AP829" s="140" t="s">
        <v>173</v>
      </c>
      <c r="AQ829" s="140">
        <f>AQ828/AM831</f>
        <v>91081.587479157868</v>
      </c>
    </row>
    <row r="830" spans="36:43" ht="20.100000000000001" customHeight="1" x14ac:dyDescent="0.25">
      <c r="AL830" s="140" t="s">
        <v>170</v>
      </c>
      <c r="AM830" s="140">
        <f>AM829+1</f>
        <v>4</v>
      </c>
    </row>
    <row r="831" spans="36:43" ht="20.100000000000001" customHeight="1" x14ac:dyDescent="0.25">
      <c r="AL831" s="140" t="s">
        <v>171</v>
      </c>
      <c r="AM831" s="140">
        <f>AM828-AM830</f>
        <v>7</v>
      </c>
      <c r="AP831" s="140" t="s">
        <v>174</v>
      </c>
      <c r="AQ831" s="140">
        <f>(AQ828/AM831)^(1/2)</f>
        <v>301.79726221282704</v>
      </c>
    </row>
    <row r="833" spans="36:43" ht="20.100000000000001" customHeight="1" x14ac:dyDescent="0.25">
      <c r="AP833" s="140" t="s">
        <v>175</v>
      </c>
      <c r="AQ833" s="183">
        <f>AQ792/AQ831</f>
        <v>-0.56489027924262136</v>
      </c>
    </row>
    <row r="834" spans="36:43" ht="20.100000000000001" customHeight="1" x14ac:dyDescent="0.25">
      <c r="AQ834" s="183"/>
    </row>
    <row r="835" spans="36:43" ht="20.100000000000001" customHeight="1" x14ac:dyDescent="0.25">
      <c r="AP835" s="140" t="s">
        <v>176</v>
      </c>
      <c r="AQ835" s="183">
        <f>(AQ792)/((AQ829*(1-E250))^(1/2))</f>
        <v>-0.86326898582302625</v>
      </c>
    </row>
    <row r="838" spans="36:43" ht="20.100000000000001" customHeight="1" x14ac:dyDescent="0.25">
      <c r="AJ838" s="140" t="s">
        <v>177</v>
      </c>
      <c r="AK838" s="141" t="s">
        <v>144</v>
      </c>
      <c r="AL838" s="140" t="str">
        <f>B10</f>
        <v>Área do terreno</v>
      </c>
      <c r="AM838" s="140" t="str">
        <f>C10</f>
        <v>Área edificada</v>
      </c>
      <c r="AN838" s="140" t="str">
        <f>D10</f>
        <v>Quartos</v>
      </c>
      <c r="AO838" s="140" t="str">
        <f>I10</f>
        <v>Valor observado</v>
      </c>
      <c r="AP838" s="140" t="s">
        <v>145</v>
      </c>
      <c r="AQ838" s="140" t="s">
        <v>3</v>
      </c>
    </row>
    <row r="839" spans="36:43" ht="20.100000000000001" customHeight="1" x14ac:dyDescent="0.25">
      <c r="AJ839" s="141">
        <v>1</v>
      </c>
      <c r="AK839" s="141">
        <v>1</v>
      </c>
      <c r="AL839" s="140">
        <f>B11</f>
        <v>300</v>
      </c>
      <c r="AM839" s="140">
        <f>C11</f>
        <v>150</v>
      </c>
      <c r="AN839" s="140">
        <f>D11</f>
        <v>3</v>
      </c>
      <c r="AO839" s="140">
        <f>I11</f>
        <v>715500</v>
      </c>
      <c r="AP839" s="140" cm="1">
        <f t="array" ref="AP839:AP849">MMULT(AK839:AN849,MMULT((MINVERSE(MMULT(TRANSPOSE(AK839:AN849),AK839:AN849))),MMULT(TRANSPOSE(AK839:AN849),AO839:AO849)))</f>
        <v>715503.91679752094</v>
      </c>
      <c r="AQ839" s="140">
        <f>AO839-AP839</f>
        <v>-3.9167975209420547</v>
      </c>
    </row>
    <row r="840" spans="36:43" ht="20.100000000000001" customHeight="1" x14ac:dyDescent="0.25">
      <c r="AJ840" s="141">
        <v>3</v>
      </c>
      <c r="AK840" s="141">
        <v>1</v>
      </c>
      <c r="AL840" s="140">
        <f>B13</f>
        <v>390</v>
      </c>
      <c r="AM840" s="140">
        <f>C13</f>
        <v>180</v>
      </c>
      <c r="AN840" s="140">
        <f>D13</f>
        <v>3</v>
      </c>
      <c r="AO840" s="140">
        <f>I13</f>
        <v>831600</v>
      </c>
      <c r="AP840" s="140">
        <v>831811.00746287045</v>
      </c>
      <c r="AQ840" s="140">
        <f t="shared" ref="AQ840:AQ849" si="113">AO840-AP840</f>
        <v>-211.00746287044603</v>
      </c>
    </row>
    <row r="841" spans="36:43" ht="20.100000000000001" customHeight="1" x14ac:dyDescent="0.25">
      <c r="AJ841" s="141">
        <v>4</v>
      </c>
      <c r="AK841" s="141">
        <v>1</v>
      </c>
      <c r="AL841" s="140">
        <f>B14</f>
        <v>390</v>
      </c>
      <c r="AM841" s="140">
        <f>C14</f>
        <v>185</v>
      </c>
      <c r="AN841" s="140">
        <f>D14</f>
        <v>3</v>
      </c>
      <c r="AO841" s="140">
        <f>I14</f>
        <v>843300</v>
      </c>
      <c r="AP841" s="140">
        <v>843085.07573960815</v>
      </c>
      <c r="AQ841" s="140">
        <f t="shared" si="113"/>
        <v>214.92426039185375</v>
      </c>
    </row>
    <row r="842" spans="36:43" ht="20.100000000000001" customHeight="1" x14ac:dyDescent="0.25">
      <c r="AJ842" s="141">
        <v>5</v>
      </c>
      <c r="AK842" s="141">
        <v>1</v>
      </c>
      <c r="AL842" s="140">
        <f>B15</f>
        <v>432</v>
      </c>
      <c r="AM842" s="140">
        <f>C15</f>
        <v>170</v>
      </c>
      <c r="AN842" s="140">
        <f>D15</f>
        <v>4</v>
      </c>
      <c r="AO842" s="140">
        <f>I15</f>
        <v>850500</v>
      </c>
      <c r="AP842" s="140">
        <v>850004.82954551745</v>
      </c>
      <c r="AQ842" s="140">
        <f t="shared" si="113"/>
        <v>495.17045448254794</v>
      </c>
    </row>
    <row r="843" spans="36:43" ht="20.100000000000001" customHeight="1" x14ac:dyDescent="0.25">
      <c r="AJ843" s="141">
        <v>6</v>
      </c>
      <c r="AK843" s="141">
        <v>1</v>
      </c>
      <c r="AL843" s="140">
        <f>B16</f>
        <v>440</v>
      </c>
      <c r="AM843" s="140">
        <f>C16</f>
        <v>170</v>
      </c>
      <c r="AN843" s="140">
        <f>D16</f>
        <v>4</v>
      </c>
      <c r="AO843" s="140">
        <f>I16</f>
        <v>854100</v>
      </c>
      <c r="AP843" s="140">
        <v>854330.40119039943</v>
      </c>
      <c r="AQ843" s="140">
        <f t="shared" si="113"/>
        <v>-230.4011903994251</v>
      </c>
    </row>
    <row r="844" spans="36:43" ht="20.100000000000001" customHeight="1" x14ac:dyDescent="0.25">
      <c r="AJ844" s="141">
        <v>7</v>
      </c>
      <c r="AK844" s="141">
        <v>1</v>
      </c>
      <c r="AL844" s="140">
        <f>B17</f>
        <v>390</v>
      </c>
      <c r="AM844" s="140">
        <f>C17</f>
        <v>180</v>
      </c>
      <c r="AN844" s="140">
        <f>D17</f>
        <v>4</v>
      </c>
      <c r="AO844" s="140">
        <f>I17</f>
        <v>849600</v>
      </c>
      <c r="AP844" s="140">
        <v>849843.71496336174</v>
      </c>
      <c r="AQ844" s="140">
        <f t="shared" si="113"/>
        <v>-243.71496336173732</v>
      </c>
    </row>
    <row r="845" spans="36:43" ht="20.100000000000001" customHeight="1" x14ac:dyDescent="0.25">
      <c r="AJ845" s="141">
        <v>8</v>
      </c>
      <c r="AK845" s="141">
        <v>1</v>
      </c>
      <c r="AL845" s="140">
        <f>B18</f>
        <v>362</v>
      </c>
      <c r="AM845" s="140">
        <f>C18</f>
        <v>185</v>
      </c>
      <c r="AN845" s="140">
        <f>D18</f>
        <v>4</v>
      </c>
      <c r="AO845" s="140">
        <f>I18</f>
        <v>846000</v>
      </c>
      <c r="AP845" s="140">
        <v>845978.28248301218</v>
      </c>
      <c r="AQ845" s="140">
        <f t="shared" si="113"/>
        <v>21.717516987817362</v>
      </c>
    </row>
    <row r="846" spans="36:43" ht="20.100000000000001" customHeight="1" x14ac:dyDescent="0.25">
      <c r="AJ846" s="141">
        <v>9</v>
      </c>
      <c r="AK846" s="141">
        <v>1</v>
      </c>
      <c r="AL846" s="140">
        <f>B19</f>
        <v>430</v>
      </c>
      <c r="AM846" s="140">
        <f>C19</f>
        <v>180</v>
      </c>
      <c r="AN846" s="140">
        <f>D19</f>
        <v>4</v>
      </c>
      <c r="AO846" s="140">
        <f>I19</f>
        <v>871200</v>
      </c>
      <c r="AP846" s="140">
        <v>871471.57318777218</v>
      </c>
      <c r="AQ846" s="140">
        <f t="shared" si="113"/>
        <v>-271.57318777218461</v>
      </c>
    </row>
    <row r="847" spans="36:43" ht="20.100000000000001" customHeight="1" x14ac:dyDescent="0.25">
      <c r="AJ847" s="141">
        <v>10</v>
      </c>
      <c r="AK847" s="141">
        <v>1</v>
      </c>
      <c r="AL847" s="140">
        <f>B20</f>
        <v>384</v>
      </c>
      <c r="AM847" s="140">
        <f>C20</f>
        <v>190</v>
      </c>
      <c r="AN847" s="140">
        <f>D20</f>
        <v>4</v>
      </c>
      <c r="AO847" s="140">
        <f>I20</f>
        <v>869400</v>
      </c>
      <c r="AP847" s="140">
        <v>869147.67278317548</v>
      </c>
      <c r="AQ847" s="140">
        <f t="shared" si="113"/>
        <v>252.32721682451665</v>
      </c>
    </row>
    <row r="848" spans="36:43" ht="20.100000000000001" customHeight="1" x14ac:dyDescent="0.25">
      <c r="AJ848" s="141">
        <v>11</v>
      </c>
      <c r="AK848" s="141">
        <v>1</v>
      </c>
      <c r="AL848" s="140">
        <f>B21</f>
        <v>341</v>
      </c>
      <c r="AM848" s="140">
        <f>C21</f>
        <v>230</v>
      </c>
      <c r="AN848" s="140">
        <f>D21</f>
        <v>4</v>
      </c>
      <c r="AO848" s="140">
        <f>I21</f>
        <v>936000</v>
      </c>
      <c r="AP848" s="140">
        <v>936090.27140583564</v>
      </c>
      <c r="AQ848" s="140">
        <f t="shared" si="113"/>
        <v>-90.27140583563596</v>
      </c>
    </row>
    <row r="849" spans="36:43" ht="20.100000000000001" customHeight="1" x14ac:dyDescent="0.25">
      <c r="AJ849" s="141">
        <v>12</v>
      </c>
      <c r="AK849" s="141">
        <v>1</v>
      </c>
      <c r="AL849" s="140">
        <f>B22</f>
        <v>374</v>
      </c>
      <c r="AM849" s="140">
        <f>C22</f>
        <v>230</v>
      </c>
      <c r="AN849" s="140">
        <f>D22</f>
        <v>4</v>
      </c>
      <c r="AO849" s="140">
        <f>I22</f>
        <v>954000</v>
      </c>
      <c r="AP849" s="140">
        <v>953933.25444097421</v>
      </c>
      <c r="AQ849" s="140">
        <f t="shared" si="113"/>
        <v>66.74555902578868</v>
      </c>
    </row>
    <row r="851" spans="36:43" ht="20.100000000000001" customHeight="1" x14ac:dyDescent="0.25">
      <c r="AL851" s="140" t="s">
        <v>168</v>
      </c>
      <c r="AM851" s="140">
        <f>COUNT(AK839:AK849)</f>
        <v>11</v>
      </c>
      <c r="AP851" s="140" t="s">
        <v>172</v>
      </c>
      <c r="AQ851" s="140">
        <f>SUMSQ(AQ839:AQ849)</f>
        <v>598903.96686364233</v>
      </c>
    </row>
    <row r="852" spans="36:43" ht="20.100000000000001" customHeight="1" x14ac:dyDescent="0.25">
      <c r="AL852" s="140" t="s">
        <v>169</v>
      </c>
      <c r="AM852" s="140">
        <f>COUNTA(AL838:AN838)</f>
        <v>3</v>
      </c>
      <c r="AP852" s="140" t="s">
        <v>173</v>
      </c>
      <c r="AQ852" s="140">
        <f>AQ851/AM854</f>
        <v>85557.709551948908</v>
      </c>
    </row>
    <row r="853" spans="36:43" ht="20.100000000000001" customHeight="1" x14ac:dyDescent="0.25">
      <c r="AL853" s="140" t="s">
        <v>170</v>
      </c>
      <c r="AM853" s="140">
        <f>AM852+1</f>
        <v>4</v>
      </c>
    </row>
    <row r="854" spans="36:43" ht="20.100000000000001" customHeight="1" x14ac:dyDescent="0.25">
      <c r="AL854" s="140" t="s">
        <v>171</v>
      </c>
      <c r="AM854" s="140">
        <f>AM851-AM853</f>
        <v>7</v>
      </c>
      <c r="AP854" s="140" t="s">
        <v>174</v>
      </c>
      <c r="AQ854" s="140">
        <f>(AQ851/AM854)^(1/2)</f>
        <v>292.5024949499558</v>
      </c>
    </row>
    <row r="856" spans="36:43" ht="20.100000000000001" customHeight="1" x14ac:dyDescent="0.25">
      <c r="AP856" s="140" t="s">
        <v>175</v>
      </c>
      <c r="AQ856" s="183">
        <f>AQ793/AQ854</f>
        <v>0.90808077986450719</v>
      </c>
    </row>
    <row r="857" spans="36:43" ht="20.100000000000001" customHeight="1" x14ac:dyDescent="0.25">
      <c r="AQ857" s="183"/>
    </row>
    <row r="858" spans="36:43" ht="20.100000000000001" customHeight="1" x14ac:dyDescent="0.25">
      <c r="AP858" s="140" t="s">
        <v>176</v>
      </c>
      <c r="AQ858" s="183">
        <f>(AQ793)/((AQ852*(1-E251))^(1/2))</f>
        <v>1.1159257355168242</v>
      </c>
    </row>
    <row r="861" spans="36:43" ht="20.100000000000001" customHeight="1" x14ac:dyDescent="0.25">
      <c r="AJ861" s="140" t="s">
        <v>177</v>
      </c>
      <c r="AK861" s="141" t="s">
        <v>144</v>
      </c>
      <c r="AL861" s="140" t="str">
        <f>B10</f>
        <v>Área do terreno</v>
      </c>
      <c r="AM861" s="140" t="str">
        <f>C10</f>
        <v>Área edificada</v>
      </c>
      <c r="AN861" s="140" t="str">
        <f>D10</f>
        <v>Quartos</v>
      </c>
      <c r="AO861" s="140" t="str">
        <f>I10</f>
        <v>Valor observado</v>
      </c>
      <c r="AP861" s="140" t="s">
        <v>145</v>
      </c>
      <c r="AQ861" s="140" t="s">
        <v>3</v>
      </c>
    </row>
    <row r="862" spans="36:43" ht="20.100000000000001" customHeight="1" x14ac:dyDescent="0.25">
      <c r="AJ862" s="141">
        <v>1</v>
      </c>
      <c r="AK862" s="141">
        <v>1</v>
      </c>
      <c r="AL862" s="140">
        <f>B11</f>
        <v>300</v>
      </c>
      <c r="AM862" s="140">
        <f>C11</f>
        <v>150</v>
      </c>
      <c r="AN862" s="140">
        <f>D11</f>
        <v>3</v>
      </c>
      <c r="AO862" s="140">
        <f>I11</f>
        <v>715500</v>
      </c>
      <c r="AP862" s="140" cm="1">
        <f t="array" ref="AP862:AP872">MMULT(AK862:AN872,MMULT((MINVERSE(MMULT(TRANSPOSE(AK862:AN872),AK862:AN872))),MMULT(TRANSPOSE(AK862:AN872),AO862:AO872)))</f>
        <v>715679.55443706585</v>
      </c>
      <c r="AQ862" s="140">
        <f>AO862-AP862</f>
        <v>-179.55443706584629</v>
      </c>
    </row>
    <row r="863" spans="36:43" ht="20.100000000000001" customHeight="1" x14ac:dyDescent="0.25">
      <c r="AJ863" s="141">
        <v>2</v>
      </c>
      <c r="AK863" s="141">
        <v>1</v>
      </c>
      <c r="AL863" s="140">
        <f>B12</f>
        <v>330</v>
      </c>
      <c r="AM863" s="140">
        <f>C12</f>
        <v>155</v>
      </c>
      <c r="AN863" s="140">
        <f>D12</f>
        <v>3</v>
      </c>
      <c r="AO863" s="140">
        <f>I12</f>
        <v>743400</v>
      </c>
      <c r="AP863" s="140">
        <v>743193.84158095531</v>
      </c>
      <c r="AQ863" s="140">
        <f t="shared" ref="AQ863:AQ872" si="114">AO863-AP863</f>
        <v>206.15841904468834</v>
      </c>
    </row>
    <row r="864" spans="36:43" ht="20.100000000000001" customHeight="1" x14ac:dyDescent="0.25">
      <c r="AJ864" s="141">
        <v>4</v>
      </c>
      <c r="AK864" s="141">
        <v>1</v>
      </c>
      <c r="AL864" s="140">
        <f>B14</f>
        <v>390</v>
      </c>
      <c r="AM864" s="140">
        <f>C14</f>
        <v>185</v>
      </c>
      <c r="AN864" s="140">
        <f>D14</f>
        <v>3</v>
      </c>
      <c r="AO864" s="140">
        <f>I14</f>
        <v>843300</v>
      </c>
      <c r="AP864" s="140">
        <v>843326.60398203786</v>
      </c>
      <c r="AQ864" s="140">
        <f t="shared" si="114"/>
        <v>-26.603982037864625</v>
      </c>
    </row>
    <row r="865" spans="36:43" ht="20.100000000000001" customHeight="1" x14ac:dyDescent="0.25">
      <c r="AJ865" s="141">
        <v>5</v>
      </c>
      <c r="AK865" s="141">
        <v>1</v>
      </c>
      <c r="AL865" s="140">
        <f>B15</f>
        <v>432</v>
      </c>
      <c r="AM865" s="140">
        <f>C15</f>
        <v>170</v>
      </c>
      <c r="AN865" s="140">
        <f>D15</f>
        <v>4</v>
      </c>
      <c r="AO865" s="140">
        <f>I15</f>
        <v>850500</v>
      </c>
      <c r="AP865" s="140">
        <v>850018.07239699294</v>
      </c>
      <c r="AQ865" s="140">
        <f t="shared" si="114"/>
        <v>481.92760300706141</v>
      </c>
    </row>
    <row r="866" spans="36:43" ht="20.100000000000001" customHeight="1" x14ac:dyDescent="0.25">
      <c r="AJ866" s="141">
        <v>6</v>
      </c>
      <c r="AK866" s="141">
        <v>1</v>
      </c>
      <c r="AL866" s="140">
        <f>B16</f>
        <v>440</v>
      </c>
      <c r="AM866" s="140">
        <f>C16</f>
        <v>170</v>
      </c>
      <c r="AN866" s="140">
        <f>D16</f>
        <v>4</v>
      </c>
      <c r="AO866" s="140">
        <f>I16</f>
        <v>854100</v>
      </c>
      <c r="AP866" s="140">
        <v>854348.26976114325</v>
      </c>
      <c r="AQ866" s="140">
        <f t="shared" si="114"/>
        <v>-248.26976114325225</v>
      </c>
    </row>
    <row r="867" spans="36:43" ht="20.100000000000001" customHeight="1" x14ac:dyDescent="0.25">
      <c r="AJ867" s="141">
        <v>7</v>
      </c>
      <c r="AK867" s="141">
        <v>1</v>
      </c>
      <c r="AL867" s="140">
        <f>B17</f>
        <v>390</v>
      </c>
      <c r="AM867" s="140">
        <f>C17</f>
        <v>180</v>
      </c>
      <c r="AN867" s="140">
        <f>D17</f>
        <v>4</v>
      </c>
      <c r="AO867" s="140">
        <f>I17</f>
        <v>849600</v>
      </c>
      <c r="AP867" s="140">
        <v>849836.63029185543</v>
      </c>
      <c r="AQ867" s="140">
        <f t="shared" si="114"/>
        <v>-236.63029185542837</v>
      </c>
    </row>
    <row r="868" spans="36:43" ht="20.100000000000001" customHeight="1" x14ac:dyDescent="0.25">
      <c r="AJ868" s="141">
        <v>8</v>
      </c>
      <c r="AK868" s="141">
        <v>1</v>
      </c>
      <c r="AL868" s="140">
        <f>B18</f>
        <v>362</v>
      </c>
      <c r="AM868" s="140">
        <f>C18</f>
        <v>185</v>
      </c>
      <c r="AN868" s="140">
        <f>D18</f>
        <v>4</v>
      </c>
      <c r="AO868" s="140">
        <f>I18</f>
        <v>846000</v>
      </c>
      <c r="AP868" s="140">
        <v>845956.98654565518</v>
      </c>
      <c r="AQ868" s="140">
        <f t="shared" si="114"/>
        <v>43.013454344822094</v>
      </c>
    </row>
    <row r="869" spans="36:43" ht="20.100000000000001" customHeight="1" x14ac:dyDescent="0.25">
      <c r="AJ869" s="141">
        <v>9</v>
      </c>
      <c r="AK869" s="141">
        <v>1</v>
      </c>
      <c r="AL869" s="140">
        <f>B19</f>
        <v>430</v>
      </c>
      <c r="AM869" s="140">
        <f>C19</f>
        <v>180</v>
      </c>
      <c r="AN869" s="140">
        <f>D19</f>
        <v>4</v>
      </c>
      <c r="AO869" s="140">
        <f>I19</f>
        <v>871200</v>
      </c>
      <c r="AP869" s="140">
        <v>871487.617112607</v>
      </c>
      <c r="AQ869" s="140">
        <f t="shared" si="114"/>
        <v>-287.61711260699667</v>
      </c>
    </row>
    <row r="870" spans="36:43" ht="20.100000000000001" customHeight="1" x14ac:dyDescent="0.25">
      <c r="AJ870" s="141">
        <v>10</v>
      </c>
      <c r="AK870" s="141">
        <v>1</v>
      </c>
      <c r="AL870" s="140">
        <f>B20</f>
        <v>384</v>
      </c>
      <c r="AM870" s="140">
        <f>C20</f>
        <v>190</v>
      </c>
      <c r="AN870" s="140">
        <f>D20</f>
        <v>4</v>
      </c>
      <c r="AO870" s="140">
        <f>I20</f>
        <v>869400</v>
      </c>
      <c r="AP870" s="140">
        <v>869141.07632539445</v>
      </c>
      <c r="AQ870" s="140">
        <f t="shared" si="114"/>
        <v>258.92367460555397</v>
      </c>
    </row>
    <row r="871" spans="36:43" ht="20.100000000000001" customHeight="1" x14ac:dyDescent="0.25">
      <c r="AJ871" s="141">
        <v>11</v>
      </c>
      <c r="AK871" s="141">
        <v>1</v>
      </c>
      <c r="AL871" s="140">
        <f>B21</f>
        <v>341</v>
      </c>
      <c r="AM871" s="140">
        <f>C21</f>
        <v>230</v>
      </c>
      <c r="AN871" s="140">
        <f>D21</f>
        <v>4</v>
      </c>
      <c r="AO871" s="140">
        <f>I21</f>
        <v>936000</v>
      </c>
      <c r="AP871" s="140">
        <v>936074.64171969332</v>
      </c>
      <c r="AQ871" s="140">
        <f t="shared" si="114"/>
        <v>-74.641719693318009</v>
      </c>
    </row>
    <row r="872" spans="36:43" ht="20.100000000000001" customHeight="1" x14ac:dyDescent="0.25">
      <c r="AJ872" s="141">
        <v>12</v>
      </c>
      <c r="AK872" s="141">
        <v>1</v>
      </c>
      <c r="AL872" s="140">
        <f>B22</f>
        <v>374</v>
      </c>
      <c r="AM872" s="140">
        <f>C22</f>
        <v>230</v>
      </c>
      <c r="AN872" s="140">
        <f>D22</f>
        <v>4</v>
      </c>
      <c r="AO872" s="140">
        <f>I22</f>
        <v>954000</v>
      </c>
      <c r="AP872" s="140">
        <v>953936.70584681327</v>
      </c>
      <c r="AQ872" s="140">
        <f t="shared" si="114"/>
        <v>63.294153186725453</v>
      </c>
    </row>
    <row r="874" spans="36:43" ht="20.100000000000001" customHeight="1" x14ac:dyDescent="0.25">
      <c r="AL874" s="140" t="s">
        <v>168</v>
      </c>
      <c r="AM874" s="140">
        <f>COUNT(AK862:AK872)</f>
        <v>11</v>
      </c>
      <c r="AP874" s="140" t="s">
        <v>172</v>
      </c>
      <c r="AQ874" s="140">
        <f>SUMSQ(AQ862:AQ872)</f>
        <v>586527.61147185706</v>
      </c>
    </row>
    <row r="875" spans="36:43" ht="20.100000000000001" customHeight="1" x14ac:dyDescent="0.25">
      <c r="AL875" s="140" t="s">
        <v>169</v>
      </c>
      <c r="AM875" s="140">
        <f>COUNTA(AL861:AN861)</f>
        <v>3</v>
      </c>
      <c r="AP875" s="140" t="s">
        <v>173</v>
      </c>
      <c r="AQ875" s="140">
        <f>AQ874/AM877</f>
        <v>83789.65878169387</v>
      </c>
    </row>
    <row r="876" spans="36:43" ht="20.100000000000001" customHeight="1" x14ac:dyDescent="0.25">
      <c r="AL876" s="140" t="s">
        <v>170</v>
      </c>
      <c r="AM876" s="140">
        <f>AM875+1</f>
        <v>4</v>
      </c>
    </row>
    <row r="877" spans="36:43" ht="20.100000000000001" customHeight="1" x14ac:dyDescent="0.25">
      <c r="AL877" s="140" t="s">
        <v>171</v>
      </c>
      <c r="AM877" s="140">
        <f>AM874-AM876</f>
        <v>7</v>
      </c>
      <c r="AP877" s="140" t="s">
        <v>174</v>
      </c>
      <c r="AQ877" s="140">
        <f>(AQ874/AM877)^(1/2)</f>
        <v>289.464434398587</v>
      </c>
    </row>
    <row r="879" spans="36:43" ht="20.100000000000001" customHeight="1" x14ac:dyDescent="0.25">
      <c r="AP879" s="140" t="s">
        <v>175</v>
      </c>
      <c r="AQ879" s="183">
        <f>AQ794/AQ877</f>
        <v>-0.91182596056919607</v>
      </c>
    </row>
    <row r="880" spans="36:43" ht="20.100000000000001" customHeight="1" x14ac:dyDescent="0.25">
      <c r="AQ880" s="183"/>
    </row>
    <row r="881" spans="36:43" ht="20.100000000000001" customHeight="1" x14ac:dyDescent="0.25">
      <c r="AP881" s="140" t="s">
        <v>176</v>
      </c>
      <c r="AQ881" s="183">
        <f>(AQ794)/((AQ875*(1-E252))^(1/2))</f>
        <v>-1.1913331301050212</v>
      </c>
    </row>
    <row r="884" spans="36:43" ht="20.100000000000001" customHeight="1" x14ac:dyDescent="0.25">
      <c r="AJ884" s="140" t="s">
        <v>177</v>
      </c>
      <c r="AK884" s="141" t="s">
        <v>144</v>
      </c>
      <c r="AL884" s="140" t="str">
        <f>B10</f>
        <v>Área do terreno</v>
      </c>
      <c r="AM884" s="140" t="str">
        <f>C10</f>
        <v>Área edificada</v>
      </c>
      <c r="AN884" s="140" t="str">
        <f>D10</f>
        <v>Quartos</v>
      </c>
      <c r="AO884" s="140" t="str">
        <f>I10</f>
        <v>Valor observado</v>
      </c>
      <c r="AP884" s="140" t="s">
        <v>145</v>
      </c>
      <c r="AQ884" s="140" t="s">
        <v>3</v>
      </c>
    </row>
    <row r="885" spans="36:43" ht="20.100000000000001" customHeight="1" x14ac:dyDescent="0.25">
      <c r="AJ885" s="141">
        <v>1</v>
      </c>
      <c r="AK885" s="141">
        <v>1</v>
      </c>
      <c r="AL885" s="140">
        <f>B11</f>
        <v>300</v>
      </c>
      <c r="AM885" s="140">
        <f>C11</f>
        <v>150</v>
      </c>
      <c r="AN885" s="140">
        <f>D11</f>
        <v>3</v>
      </c>
      <c r="AO885" s="140">
        <f>I11</f>
        <v>715500</v>
      </c>
      <c r="AP885" s="140" cm="1">
        <f t="array" ref="AP885:AP895">MMULT(AK885:AN895,MMULT((MINVERSE(MMULT(TRANSPOSE(AK885:AN895),AK885:AN895))),MMULT(TRANSPOSE(AK885:AN895),AO885:AO895)))</f>
        <v>715672.72560586396</v>
      </c>
      <c r="AQ885" s="140">
        <f>AO885-AP885</f>
        <v>-172.72560586396139</v>
      </c>
    </row>
    <row r="886" spans="36:43" ht="20.100000000000001" customHeight="1" x14ac:dyDescent="0.25">
      <c r="AJ886" s="141">
        <v>2</v>
      </c>
      <c r="AK886" s="141">
        <v>1</v>
      </c>
      <c r="AL886" s="140">
        <f>B12</f>
        <v>330</v>
      </c>
      <c r="AM886" s="140">
        <f>C12</f>
        <v>155</v>
      </c>
      <c r="AN886" s="140">
        <f>D12</f>
        <v>3</v>
      </c>
      <c r="AO886" s="140">
        <f>I12</f>
        <v>743400</v>
      </c>
      <c r="AP886" s="140">
        <v>743098.54248235445</v>
      </c>
      <c r="AQ886" s="140">
        <f t="shared" ref="AQ886:AQ895" si="115">AO886-AP886</f>
        <v>301.45751764555462</v>
      </c>
    </row>
    <row r="887" spans="36:43" ht="20.100000000000001" customHeight="1" x14ac:dyDescent="0.25">
      <c r="AJ887" s="141">
        <v>3</v>
      </c>
      <c r="AK887" s="141">
        <v>1</v>
      </c>
      <c r="AL887" s="140">
        <f>B13</f>
        <v>390</v>
      </c>
      <c r="AM887" s="140">
        <f>C13</f>
        <v>180</v>
      </c>
      <c r="AN887" s="140">
        <f>D13</f>
        <v>3</v>
      </c>
      <c r="AO887" s="140">
        <f>I13</f>
        <v>831600</v>
      </c>
      <c r="AP887" s="140">
        <v>831728.73191171966</v>
      </c>
      <c r="AQ887" s="140">
        <f t="shared" si="115"/>
        <v>-128.73191171966027</v>
      </c>
    </row>
    <row r="888" spans="36:43" ht="20.100000000000001" customHeight="1" x14ac:dyDescent="0.25">
      <c r="AJ888" s="141">
        <v>5</v>
      </c>
      <c r="AK888" s="141">
        <v>1</v>
      </c>
      <c r="AL888" s="140">
        <f>B15</f>
        <v>432</v>
      </c>
      <c r="AM888" s="140">
        <f>C15</f>
        <v>170</v>
      </c>
      <c r="AN888" s="140">
        <f>D15</f>
        <v>4</v>
      </c>
      <c r="AO888" s="140">
        <f>I15</f>
        <v>850500</v>
      </c>
      <c r="AP888" s="140">
        <v>849999.55793134437</v>
      </c>
      <c r="AQ888" s="140">
        <f t="shared" si="115"/>
        <v>500.44206865562592</v>
      </c>
    </row>
    <row r="889" spans="36:43" ht="20.100000000000001" customHeight="1" x14ac:dyDescent="0.25">
      <c r="AJ889" s="141">
        <v>6</v>
      </c>
      <c r="AK889" s="141">
        <v>1</v>
      </c>
      <c r="AL889" s="140">
        <f>B16</f>
        <v>440</v>
      </c>
      <c r="AM889" s="140">
        <f>C16</f>
        <v>170</v>
      </c>
      <c r="AN889" s="140">
        <f>D16</f>
        <v>4</v>
      </c>
      <c r="AO889" s="140">
        <f>I16</f>
        <v>854100</v>
      </c>
      <c r="AP889" s="140">
        <v>854310.57081606321</v>
      </c>
      <c r="AQ889" s="140">
        <f t="shared" si="115"/>
        <v>-210.57081606320571</v>
      </c>
    </row>
    <row r="890" spans="36:43" ht="20.100000000000001" customHeight="1" x14ac:dyDescent="0.25">
      <c r="AJ890" s="141">
        <v>7</v>
      </c>
      <c r="AK890" s="141">
        <v>1</v>
      </c>
      <c r="AL890" s="140">
        <f>B17</f>
        <v>390</v>
      </c>
      <c r="AM890" s="140">
        <f>C17</f>
        <v>180</v>
      </c>
      <c r="AN890" s="140">
        <f>D17</f>
        <v>4</v>
      </c>
      <c r="AO890" s="140">
        <f>I17</f>
        <v>849600</v>
      </c>
      <c r="AP890" s="140">
        <v>849885.77740416012</v>
      </c>
      <c r="AQ890" s="140">
        <f t="shared" si="115"/>
        <v>-285.77740416012239</v>
      </c>
    </row>
    <row r="891" spans="36:43" ht="20.100000000000001" customHeight="1" x14ac:dyDescent="0.25">
      <c r="AJ891" s="141">
        <v>8</v>
      </c>
      <c r="AK891" s="141">
        <v>1</v>
      </c>
      <c r="AL891" s="140">
        <f>B18</f>
        <v>362</v>
      </c>
      <c r="AM891" s="140">
        <f>C18</f>
        <v>185</v>
      </c>
      <c r="AN891" s="140">
        <f>D18</f>
        <v>4</v>
      </c>
      <c r="AO891" s="140">
        <f>I18</f>
        <v>846000</v>
      </c>
      <c r="AP891" s="140">
        <v>846056.75086643896</v>
      </c>
      <c r="AQ891" s="140">
        <f t="shared" si="115"/>
        <v>-56.750866438960657</v>
      </c>
    </row>
    <row r="892" spans="36:43" ht="20.100000000000001" customHeight="1" x14ac:dyDescent="0.25">
      <c r="AJ892" s="141">
        <v>9</v>
      </c>
      <c r="AK892" s="141">
        <v>1</v>
      </c>
      <c r="AL892" s="140">
        <f>B19</f>
        <v>430</v>
      </c>
      <c r="AM892" s="140">
        <f>C19</f>
        <v>180</v>
      </c>
      <c r="AN892" s="140">
        <f>D19</f>
        <v>4</v>
      </c>
      <c r="AO892" s="140">
        <f>I19</f>
        <v>871200</v>
      </c>
      <c r="AP892" s="140">
        <v>871440.84182775428</v>
      </c>
      <c r="AQ892" s="140">
        <f t="shared" si="115"/>
        <v>-240.84182775428053</v>
      </c>
    </row>
    <row r="893" spans="36:43" ht="20.100000000000001" customHeight="1" x14ac:dyDescent="0.25">
      <c r="AJ893" s="141">
        <v>10</v>
      </c>
      <c r="AK893" s="141">
        <v>1</v>
      </c>
      <c r="AL893" s="140">
        <f>B20</f>
        <v>384</v>
      </c>
      <c r="AM893" s="140">
        <f>C20</f>
        <v>190</v>
      </c>
      <c r="AN893" s="140">
        <f>D20</f>
        <v>4</v>
      </c>
      <c r="AO893" s="140">
        <f>I20</f>
        <v>869400</v>
      </c>
      <c r="AP893" s="140">
        <v>869171.55485821061</v>
      </c>
      <c r="AQ893" s="140">
        <f t="shared" si="115"/>
        <v>228.44514178938698</v>
      </c>
    </row>
    <row r="894" spans="36:43" ht="20.100000000000001" customHeight="1" x14ac:dyDescent="0.25">
      <c r="AJ894" s="141">
        <v>11</v>
      </c>
      <c r="AK894" s="141">
        <v>1</v>
      </c>
      <c r="AL894" s="140">
        <f>B21</f>
        <v>341</v>
      </c>
      <c r="AM894" s="140">
        <f>C21</f>
        <v>230</v>
      </c>
      <c r="AN894" s="140">
        <f>D21</f>
        <v>4</v>
      </c>
      <c r="AO894" s="140">
        <f>I21</f>
        <v>936000</v>
      </c>
      <c r="AP894" s="140">
        <v>936076.00907320529</v>
      </c>
      <c r="AQ894" s="140">
        <f t="shared" si="115"/>
        <v>-76.009073205292225</v>
      </c>
    </row>
    <row r="895" spans="36:43" ht="20.100000000000001" customHeight="1" x14ac:dyDescent="0.25">
      <c r="AJ895" s="141">
        <v>12</v>
      </c>
      <c r="AK895" s="141">
        <v>1</v>
      </c>
      <c r="AL895" s="140">
        <f>B22</f>
        <v>374</v>
      </c>
      <c r="AM895" s="140">
        <f>C22</f>
        <v>230</v>
      </c>
      <c r="AN895" s="140">
        <f>D22</f>
        <v>4</v>
      </c>
      <c r="AO895" s="140">
        <f>I22</f>
        <v>954000</v>
      </c>
      <c r="AP895" s="140">
        <v>953858.93722267053</v>
      </c>
      <c r="AQ895" s="140">
        <f t="shared" si="115"/>
        <v>141.0627773294691</v>
      </c>
    </row>
    <row r="897" spans="36:43" ht="20.100000000000001" customHeight="1" x14ac:dyDescent="0.25">
      <c r="AL897" s="140" t="s">
        <v>168</v>
      </c>
      <c r="AM897" s="140">
        <f>COUNT(AK885:AK895)</f>
        <v>11</v>
      </c>
      <c r="AP897" s="140" t="s">
        <v>172</v>
      </c>
      <c r="AQ897" s="140">
        <f>SUMSQ(AQ885:AQ895)</f>
        <v>652822.44834963465</v>
      </c>
    </row>
    <row r="898" spans="36:43" ht="20.100000000000001" customHeight="1" x14ac:dyDescent="0.25">
      <c r="AL898" s="140" t="s">
        <v>169</v>
      </c>
      <c r="AM898" s="140">
        <f>COUNTA(AL884:AN884)</f>
        <v>3</v>
      </c>
      <c r="AP898" s="140" t="s">
        <v>173</v>
      </c>
      <c r="AQ898" s="140">
        <f>AQ897/AM900</f>
        <v>93260.349764233528</v>
      </c>
    </row>
    <row r="899" spans="36:43" ht="20.100000000000001" customHeight="1" x14ac:dyDescent="0.25">
      <c r="AL899" s="140" t="s">
        <v>170</v>
      </c>
      <c r="AM899" s="140">
        <f>AM898+1</f>
        <v>4</v>
      </c>
    </row>
    <row r="900" spans="36:43" ht="20.100000000000001" customHeight="1" x14ac:dyDescent="0.25">
      <c r="AL900" s="140" t="s">
        <v>171</v>
      </c>
      <c r="AM900" s="140">
        <f>AM897-AM899</f>
        <v>7</v>
      </c>
      <c r="AP900" s="140" t="s">
        <v>174</v>
      </c>
      <c r="AQ900" s="140">
        <f>(AQ897/AM900)^(1/2)</f>
        <v>305.38557556674732</v>
      </c>
    </row>
    <row r="902" spans="36:43" ht="20.100000000000001" customHeight="1" x14ac:dyDescent="0.25">
      <c r="AP902" s="140" t="s">
        <v>175</v>
      </c>
      <c r="AQ902" s="183">
        <f>AQ795/AQ900</f>
        <v>0.55276884491975564</v>
      </c>
    </row>
    <row r="903" spans="36:43" ht="20.100000000000001" customHeight="1" x14ac:dyDescent="0.25">
      <c r="AQ903" s="183"/>
    </row>
    <row r="904" spans="36:43" ht="20.100000000000001" customHeight="1" x14ac:dyDescent="0.25">
      <c r="AP904" s="140" t="s">
        <v>176</v>
      </c>
      <c r="AQ904" s="183">
        <f>(AQ795)/((AQ898*(1-E253))^(1/2))</f>
        <v>0.75119107957811471</v>
      </c>
    </row>
    <row r="907" spans="36:43" ht="20.100000000000001" customHeight="1" x14ac:dyDescent="0.25">
      <c r="AJ907" s="140" t="s">
        <v>177</v>
      </c>
      <c r="AK907" s="141" t="s">
        <v>144</v>
      </c>
      <c r="AL907" s="140" t="str">
        <f>B10</f>
        <v>Área do terreno</v>
      </c>
      <c r="AM907" s="140" t="str">
        <f>C10</f>
        <v>Área edificada</v>
      </c>
      <c r="AN907" s="140" t="str">
        <f>D10</f>
        <v>Quartos</v>
      </c>
      <c r="AO907" s="140" t="str">
        <f>I10</f>
        <v>Valor observado</v>
      </c>
      <c r="AP907" s="140" t="s">
        <v>145</v>
      </c>
      <c r="AQ907" s="140" t="s">
        <v>3</v>
      </c>
    </row>
    <row r="908" spans="36:43" ht="20.100000000000001" customHeight="1" x14ac:dyDescent="0.25">
      <c r="AJ908" s="141">
        <v>1</v>
      </c>
      <c r="AK908" s="141">
        <v>1</v>
      </c>
      <c r="AL908" s="140">
        <f>B11</f>
        <v>300</v>
      </c>
      <c r="AM908" s="140">
        <f>C11</f>
        <v>150</v>
      </c>
      <c r="AN908" s="140">
        <f>D11</f>
        <v>3</v>
      </c>
      <c r="AO908" s="140">
        <f>I11</f>
        <v>715500</v>
      </c>
      <c r="AP908" s="140" cm="1">
        <f t="array" ref="AP908:AP918">MMULT(AK908:AN918,MMULT((MINVERSE(MMULT(TRANSPOSE(AK908:AN918),AK908:AN918))),MMULT(TRANSPOSE(AK908:AN918),AO908:AO918)))</f>
        <v>715700.16498574847</v>
      </c>
      <c r="AQ908" s="140">
        <f>AO908-AP908</f>
        <v>-200.16498574847355</v>
      </c>
    </row>
    <row r="909" spans="36:43" ht="20.100000000000001" customHeight="1" x14ac:dyDescent="0.25">
      <c r="AJ909" s="141">
        <v>2</v>
      </c>
      <c r="AK909" s="141">
        <v>1</v>
      </c>
      <c r="AL909" s="140">
        <f>B12</f>
        <v>330</v>
      </c>
      <c r="AM909" s="140">
        <f>C12</f>
        <v>155</v>
      </c>
      <c r="AN909" s="140">
        <f>D12</f>
        <v>3</v>
      </c>
      <c r="AO909" s="140">
        <f>I12</f>
        <v>743400</v>
      </c>
      <c r="AP909" s="140">
        <v>743135.71214903961</v>
      </c>
      <c r="AQ909" s="140">
        <f t="shared" ref="AQ909:AQ918" si="116">AO909-AP909</f>
        <v>264.28785096039064</v>
      </c>
    </row>
    <row r="910" spans="36:43" ht="20.100000000000001" customHeight="1" x14ac:dyDescent="0.25">
      <c r="AJ910" s="141">
        <v>3</v>
      </c>
      <c r="AK910" s="141">
        <v>1</v>
      </c>
      <c r="AL910" s="140">
        <f>B13</f>
        <v>390</v>
      </c>
      <c r="AM910" s="140">
        <f>C13</f>
        <v>180</v>
      </c>
      <c r="AN910" s="140">
        <f>D13</f>
        <v>3</v>
      </c>
      <c r="AO910" s="140">
        <f>I13</f>
        <v>831600</v>
      </c>
      <c r="AP910" s="140">
        <v>831842.73929593596</v>
      </c>
      <c r="AQ910" s="140">
        <f t="shared" si="116"/>
        <v>-242.73929593595676</v>
      </c>
    </row>
    <row r="911" spans="36:43" ht="20.100000000000001" customHeight="1" x14ac:dyDescent="0.25">
      <c r="AJ911" s="141">
        <v>4</v>
      </c>
      <c r="AK911" s="141">
        <v>1</v>
      </c>
      <c r="AL911" s="140">
        <f>B14</f>
        <v>390</v>
      </c>
      <c r="AM911" s="140">
        <f>C14</f>
        <v>185</v>
      </c>
      <c r="AN911" s="140">
        <f>D14</f>
        <v>3</v>
      </c>
      <c r="AO911" s="140">
        <f>I14</f>
        <v>843300</v>
      </c>
      <c r="AP911" s="140">
        <v>843121.38356937421</v>
      </c>
      <c r="AQ911" s="140">
        <f t="shared" si="116"/>
        <v>178.61643062578514</v>
      </c>
    </row>
    <row r="912" spans="36:43" ht="20.100000000000001" customHeight="1" x14ac:dyDescent="0.25">
      <c r="AJ912" s="141">
        <v>6</v>
      </c>
      <c r="AK912" s="141">
        <v>1</v>
      </c>
      <c r="AL912" s="140">
        <f>B16</f>
        <v>440</v>
      </c>
      <c r="AM912" s="140">
        <f>C16</f>
        <v>170</v>
      </c>
      <c r="AN912" s="140">
        <f>D16</f>
        <v>4</v>
      </c>
      <c r="AO912" s="140">
        <f>I16</f>
        <v>854100</v>
      </c>
      <c r="AP912" s="140">
        <v>854127.38881119853</v>
      </c>
      <c r="AQ912" s="140">
        <f t="shared" si="116"/>
        <v>-27.388811198528856</v>
      </c>
    </row>
    <row r="913" spans="36:43" ht="20.100000000000001" customHeight="1" x14ac:dyDescent="0.25">
      <c r="AJ913" s="141">
        <v>7</v>
      </c>
      <c r="AK913" s="141">
        <v>1</v>
      </c>
      <c r="AL913" s="140">
        <f>B17</f>
        <v>390</v>
      </c>
      <c r="AM913" s="140">
        <f>C17</f>
        <v>180</v>
      </c>
      <c r="AN913" s="140">
        <f>D17</f>
        <v>4</v>
      </c>
      <c r="AO913" s="140">
        <f>I17</f>
        <v>849600</v>
      </c>
      <c r="AP913" s="140">
        <v>849756.50587498653</v>
      </c>
      <c r="AQ913" s="140">
        <f t="shared" si="116"/>
        <v>-156.50587498652749</v>
      </c>
    </row>
    <row r="914" spans="36:43" ht="20.100000000000001" customHeight="1" x14ac:dyDescent="0.25">
      <c r="AJ914" s="141">
        <v>8</v>
      </c>
      <c r="AK914" s="141">
        <v>1</v>
      </c>
      <c r="AL914" s="140">
        <f>B18</f>
        <v>362</v>
      </c>
      <c r="AM914" s="140">
        <f>C18</f>
        <v>185</v>
      </c>
      <c r="AN914" s="140">
        <f>D18</f>
        <v>4</v>
      </c>
      <c r="AO914" s="140">
        <f>I18</f>
        <v>846000</v>
      </c>
      <c r="AP914" s="140">
        <v>845955.37411789526</v>
      </c>
      <c r="AQ914" s="140">
        <f t="shared" si="116"/>
        <v>44.625882104737684</v>
      </c>
    </row>
    <row r="915" spans="36:43" ht="20.100000000000001" customHeight="1" x14ac:dyDescent="0.25">
      <c r="AJ915" s="141">
        <v>9</v>
      </c>
      <c r="AK915" s="141">
        <v>1</v>
      </c>
      <c r="AL915" s="140">
        <f>B19</f>
        <v>430</v>
      </c>
      <c r="AM915" s="140">
        <f>C19</f>
        <v>180</v>
      </c>
      <c r="AN915" s="140">
        <f>D19</f>
        <v>4</v>
      </c>
      <c r="AO915" s="140">
        <f>I19</f>
        <v>871200</v>
      </c>
      <c r="AP915" s="140">
        <v>871299.04306145711</v>
      </c>
      <c r="AQ915" s="140">
        <f t="shared" si="116"/>
        <v>-99.043061457108706</v>
      </c>
    </row>
    <row r="916" spans="36:43" ht="20.100000000000001" customHeight="1" x14ac:dyDescent="0.25">
      <c r="AJ916" s="141">
        <v>10</v>
      </c>
      <c r="AK916" s="141">
        <v>1</v>
      </c>
      <c r="AL916" s="140">
        <f>B20</f>
        <v>384</v>
      </c>
      <c r="AM916" s="140">
        <f>C20</f>
        <v>190</v>
      </c>
      <c r="AN916" s="140">
        <f>D20</f>
        <v>4</v>
      </c>
      <c r="AO916" s="140">
        <f>I20</f>
        <v>869400</v>
      </c>
      <c r="AP916" s="140">
        <v>869082.41384389228</v>
      </c>
      <c r="AQ916" s="140">
        <f t="shared" si="116"/>
        <v>317.58615610771812</v>
      </c>
    </row>
    <row r="917" spans="36:43" ht="20.100000000000001" customHeight="1" x14ac:dyDescent="0.25">
      <c r="AJ917" s="141">
        <v>11</v>
      </c>
      <c r="AK917" s="141">
        <v>1</v>
      </c>
      <c r="AL917" s="140">
        <f>B21</f>
        <v>341</v>
      </c>
      <c r="AM917" s="140">
        <f>C21</f>
        <v>230</v>
      </c>
      <c r="AN917" s="140">
        <f>D21</f>
        <v>4</v>
      </c>
      <c r="AO917" s="140">
        <f>I21</f>
        <v>936000</v>
      </c>
      <c r="AP917" s="140">
        <v>936153.34055594122</v>
      </c>
      <c r="AQ917" s="140">
        <f t="shared" si="116"/>
        <v>-153.34055594122037</v>
      </c>
    </row>
    <row r="918" spans="36:43" ht="20.100000000000001" customHeight="1" x14ac:dyDescent="0.25">
      <c r="AJ918" s="141">
        <v>12</v>
      </c>
      <c r="AK918" s="141">
        <v>1</v>
      </c>
      <c r="AL918" s="140">
        <f>B22</f>
        <v>374</v>
      </c>
      <c r="AM918" s="140">
        <f>C22</f>
        <v>230</v>
      </c>
      <c r="AN918" s="140">
        <f>D22</f>
        <v>4</v>
      </c>
      <c r="AO918" s="140">
        <f>I22</f>
        <v>954000</v>
      </c>
      <c r="AP918" s="140">
        <v>953925.93373477948</v>
      </c>
      <c r="AQ918" s="140">
        <f t="shared" si="116"/>
        <v>74.066265220521018</v>
      </c>
    </row>
    <row r="920" spans="36:43" ht="20.100000000000001" customHeight="1" x14ac:dyDescent="0.25">
      <c r="AL920" s="140" t="s">
        <v>168</v>
      </c>
      <c r="AM920" s="140">
        <f>COUNT(AK908:AK918)</f>
        <v>11</v>
      </c>
      <c r="AP920" s="140" t="s">
        <v>172</v>
      </c>
      <c r="AQ920" s="140">
        <f>SUMSQ(AQ908:AQ918)</f>
        <v>367645.62231787306</v>
      </c>
    </row>
    <row r="921" spans="36:43" ht="20.100000000000001" customHeight="1" x14ac:dyDescent="0.25">
      <c r="AL921" s="140" t="s">
        <v>169</v>
      </c>
      <c r="AM921" s="140">
        <f>COUNTA(AL907:AN907)</f>
        <v>3</v>
      </c>
      <c r="AP921" s="140" t="s">
        <v>173</v>
      </c>
      <c r="AQ921" s="140">
        <f>AQ920/AM923</f>
        <v>52520.803188267579</v>
      </c>
    </row>
    <row r="922" spans="36:43" ht="20.100000000000001" customHeight="1" x14ac:dyDescent="0.25">
      <c r="AL922" s="140" t="s">
        <v>170</v>
      </c>
      <c r="AM922" s="140">
        <f>AM921+1</f>
        <v>4</v>
      </c>
    </row>
    <row r="923" spans="36:43" ht="20.100000000000001" customHeight="1" x14ac:dyDescent="0.25">
      <c r="AL923" s="140" t="s">
        <v>171</v>
      </c>
      <c r="AM923" s="140">
        <f>AM920-AM922</f>
        <v>7</v>
      </c>
      <c r="AP923" s="140" t="s">
        <v>174</v>
      </c>
      <c r="AQ923" s="140">
        <f>(AQ920/AM923)^(1/2)</f>
        <v>229.17417653013959</v>
      </c>
    </row>
    <row r="925" spans="36:43" ht="20.100000000000001" customHeight="1" x14ac:dyDescent="0.25">
      <c r="AP925" s="140" t="s">
        <v>175</v>
      </c>
      <c r="AQ925" s="183">
        <f>AQ796/AQ923</f>
        <v>2.1640857047227757</v>
      </c>
    </row>
    <row r="926" spans="36:43" ht="20.100000000000001" customHeight="1" x14ac:dyDescent="0.25">
      <c r="AQ926" s="183"/>
    </row>
    <row r="927" spans="36:43" ht="20.100000000000001" customHeight="1" x14ac:dyDescent="0.25">
      <c r="AP927" s="140" t="s">
        <v>176</v>
      </c>
      <c r="AQ927" s="183">
        <f>(AQ796)/((AQ921*(1-E254))^(1/2))</f>
        <v>2.5360964536645914</v>
      </c>
    </row>
    <row r="929" spans="36:43" ht="20.100000000000001" customHeight="1" x14ac:dyDescent="0.25">
      <c r="AJ929" s="140" t="s">
        <v>177</v>
      </c>
      <c r="AK929" s="141" t="s">
        <v>144</v>
      </c>
      <c r="AL929" s="140" t="str">
        <f>B10</f>
        <v>Área do terreno</v>
      </c>
      <c r="AM929" s="140" t="str">
        <f>C10</f>
        <v>Área edificada</v>
      </c>
      <c r="AN929" s="140" t="str">
        <f>D10</f>
        <v>Quartos</v>
      </c>
      <c r="AO929" s="140" t="str">
        <f>I10</f>
        <v>Valor observado</v>
      </c>
      <c r="AP929" s="140" t="s">
        <v>145</v>
      </c>
      <c r="AQ929" s="140" t="s">
        <v>3</v>
      </c>
    </row>
    <row r="930" spans="36:43" ht="20.100000000000001" customHeight="1" x14ac:dyDescent="0.25">
      <c r="AJ930" s="141">
        <v>1</v>
      </c>
      <c r="AK930" s="141">
        <v>1</v>
      </c>
      <c r="AL930" s="140">
        <f>B11</f>
        <v>300</v>
      </c>
      <c r="AM930" s="140">
        <f>C11</f>
        <v>150</v>
      </c>
      <c r="AN930" s="140">
        <f>D11</f>
        <v>3</v>
      </c>
      <c r="AO930" s="140">
        <f>I11</f>
        <v>715500</v>
      </c>
      <c r="AP930" s="140" cm="1">
        <f t="array" ref="AP930:AP940">MMULT(AK930:AN940,MMULT((MINVERSE(MMULT(TRANSPOSE(AK930:AN940),AK930:AN940))),MMULT(TRANSPOSE(AK930:AN940),AO930:AO940)))</f>
        <v>715645.33379306854</v>
      </c>
      <c r="AQ930" s="140">
        <f>AO930-AP930</f>
        <v>-145.33379306853749</v>
      </c>
    </row>
    <row r="931" spans="36:43" ht="20.100000000000001" customHeight="1" x14ac:dyDescent="0.25">
      <c r="AJ931" s="141">
        <v>2</v>
      </c>
      <c r="AK931" s="141">
        <v>1</v>
      </c>
      <c r="AL931" s="140">
        <f>B12</f>
        <v>330</v>
      </c>
      <c r="AM931" s="140">
        <f>C12</f>
        <v>155</v>
      </c>
      <c r="AN931" s="140">
        <f>D12</f>
        <v>3</v>
      </c>
      <c r="AO931" s="140">
        <f>I12</f>
        <v>743400</v>
      </c>
      <c r="AP931" s="140">
        <v>743128.56212258968</v>
      </c>
      <c r="AQ931" s="140">
        <f t="shared" ref="AQ931:AQ940" si="117">AO931-AP931</f>
        <v>271.43787741032429</v>
      </c>
    </row>
    <row r="932" spans="36:43" ht="20.100000000000001" customHeight="1" x14ac:dyDescent="0.25">
      <c r="AJ932" s="141">
        <v>3</v>
      </c>
      <c r="AK932" s="141">
        <v>1</v>
      </c>
      <c r="AL932" s="140">
        <f>B13</f>
        <v>390</v>
      </c>
      <c r="AM932" s="140">
        <f>C13</f>
        <v>180</v>
      </c>
      <c r="AN932" s="140">
        <f>D13</f>
        <v>3</v>
      </c>
      <c r="AO932" s="140">
        <f>I13</f>
        <v>831600</v>
      </c>
      <c r="AP932" s="140">
        <v>831881.90443351911</v>
      </c>
      <c r="AQ932" s="140">
        <f t="shared" si="117"/>
        <v>-281.90443351911381</v>
      </c>
    </row>
    <row r="933" spans="36:43" ht="20.100000000000001" customHeight="1" x14ac:dyDescent="0.25">
      <c r="AJ933" s="141">
        <v>4</v>
      </c>
      <c r="AK933" s="141">
        <v>1</v>
      </c>
      <c r="AL933" s="140">
        <f>B14</f>
        <v>390</v>
      </c>
      <c r="AM933" s="140">
        <f>C14</f>
        <v>185</v>
      </c>
      <c r="AN933" s="140">
        <f>D14</f>
        <v>3</v>
      </c>
      <c r="AO933" s="140">
        <f>I14</f>
        <v>843300</v>
      </c>
      <c r="AP933" s="140">
        <v>843144.19965081476</v>
      </c>
      <c r="AQ933" s="140">
        <f t="shared" si="117"/>
        <v>155.80034918524325</v>
      </c>
    </row>
    <row r="934" spans="36:43" ht="20.100000000000001" customHeight="1" x14ac:dyDescent="0.25">
      <c r="AJ934" s="141">
        <v>5</v>
      </c>
      <c r="AK934" s="141">
        <v>1</v>
      </c>
      <c r="AL934" s="140">
        <f>B15</f>
        <v>432</v>
      </c>
      <c r="AM934" s="140">
        <f>C15</f>
        <v>170</v>
      </c>
      <c r="AN934" s="140">
        <f>D15</f>
        <v>4</v>
      </c>
      <c r="AO934" s="140">
        <f>I15</f>
        <v>850500</v>
      </c>
      <c r="AP934" s="140">
        <v>850096.66771305457</v>
      </c>
      <c r="AQ934" s="140">
        <f t="shared" si="117"/>
        <v>403.33228694542777</v>
      </c>
    </row>
    <row r="935" spans="36:43" ht="20.100000000000001" customHeight="1" x14ac:dyDescent="0.25">
      <c r="AJ935" s="141">
        <v>7</v>
      </c>
      <c r="AK935" s="141">
        <v>1</v>
      </c>
      <c r="AL935" s="140">
        <f>B17</f>
        <v>390</v>
      </c>
      <c r="AM935" s="140">
        <f>C17</f>
        <v>180</v>
      </c>
      <c r="AN935" s="140">
        <f>D17</f>
        <v>4</v>
      </c>
      <c r="AO935" s="140">
        <f>I17</f>
        <v>849600</v>
      </c>
      <c r="AP935" s="140">
        <v>849911.9517905307</v>
      </c>
      <c r="AQ935" s="140">
        <f t="shared" si="117"/>
        <v>-311.95179053070024</v>
      </c>
    </row>
    <row r="936" spans="36:43" ht="20.100000000000001" customHeight="1" x14ac:dyDescent="0.25">
      <c r="AJ936" s="141">
        <v>8</v>
      </c>
      <c r="AK936" s="141">
        <v>1</v>
      </c>
      <c r="AL936" s="140">
        <f>B18</f>
        <v>362</v>
      </c>
      <c r="AM936" s="140">
        <f>C18</f>
        <v>185</v>
      </c>
      <c r="AN936" s="140">
        <f>D18</f>
        <v>4</v>
      </c>
      <c r="AO936" s="140">
        <f>I18</f>
        <v>846000</v>
      </c>
      <c r="AP936" s="140">
        <v>846034.70943641616</v>
      </c>
      <c r="AQ936" s="140">
        <f t="shared" si="117"/>
        <v>-34.709436416160315</v>
      </c>
    </row>
    <row r="937" spans="36:43" ht="20.100000000000001" customHeight="1" x14ac:dyDescent="0.25">
      <c r="AJ937" s="141">
        <v>9</v>
      </c>
      <c r="AK937" s="141">
        <v>1</v>
      </c>
      <c r="AL937" s="140">
        <f>B19</f>
        <v>430</v>
      </c>
      <c r="AM937" s="140">
        <f>C19</f>
        <v>180</v>
      </c>
      <c r="AN937" s="140">
        <f>D19</f>
        <v>4</v>
      </c>
      <c r="AO937" s="140">
        <f>I19</f>
        <v>871200</v>
      </c>
      <c r="AP937" s="140">
        <v>871539.86260683113</v>
      </c>
      <c r="AQ937" s="140">
        <f t="shared" si="117"/>
        <v>-339.86260683112778</v>
      </c>
    </row>
    <row r="938" spans="36:43" ht="20.100000000000001" customHeight="1" x14ac:dyDescent="0.25">
      <c r="AJ938" s="141">
        <v>10</v>
      </c>
      <c r="AK938" s="141">
        <v>1</v>
      </c>
      <c r="AL938" s="140">
        <f>B20</f>
        <v>384</v>
      </c>
      <c r="AM938" s="140">
        <f>C20</f>
        <v>190</v>
      </c>
      <c r="AN938" s="140">
        <f>D20</f>
        <v>4</v>
      </c>
      <c r="AO938" s="140">
        <f>I20</f>
        <v>869400</v>
      </c>
      <c r="AP938" s="140">
        <v>869192.3556026771</v>
      </c>
      <c r="AQ938" s="140">
        <f t="shared" si="117"/>
        <v>207.64439732290339</v>
      </c>
    </row>
    <row r="939" spans="36:43" ht="20.100000000000001" customHeight="1" x14ac:dyDescent="0.25">
      <c r="AJ939" s="141">
        <v>11</v>
      </c>
      <c r="AK939" s="141">
        <v>1</v>
      </c>
      <c r="AL939" s="140">
        <f>B21</f>
        <v>341</v>
      </c>
      <c r="AM939" s="140">
        <f>C21</f>
        <v>230</v>
      </c>
      <c r="AN939" s="140">
        <f>D21</f>
        <v>4</v>
      </c>
      <c r="AO939" s="140">
        <f>I21</f>
        <v>936000</v>
      </c>
      <c r="AP939" s="140">
        <v>936040.71321352024</v>
      </c>
      <c r="AQ939" s="140">
        <f t="shared" si="117"/>
        <v>-40.71321352024097</v>
      </c>
    </row>
    <row r="940" spans="36:43" ht="20.100000000000001" customHeight="1" x14ac:dyDescent="0.25">
      <c r="AJ940" s="141">
        <v>12</v>
      </c>
      <c r="AK940" s="141">
        <v>1</v>
      </c>
      <c r="AL940" s="140">
        <f>B22</f>
        <v>374</v>
      </c>
      <c r="AM940" s="140">
        <f>C22</f>
        <v>230</v>
      </c>
      <c r="AN940" s="140">
        <f>D22</f>
        <v>4</v>
      </c>
      <c r="AO940" s="140">
        <f>I22</f>
        <v>954000</v>
      </c>
      <c r="AP940" s="140">
        <v>953883.73963696812</v>
      </c>
      <c r="AQ940" s="140">
        <f t="shared" si="117"/>
        <v>116.2603630318772</v>
      </c>
    </row>
    <row r="942" spans="36:43" ht="20.100000000000001" customHeight="1" x14ac:dyDescent="0.25">
      <c r="AL942" s="140" t="s">
        <v>168</v>
      </c>
      <c r="AM942" s="140">
        <f>COUNT(AK930:AK940)</f>
        <v>11</v>
      </c>
      <c r="AP942" s="140" t="s">
        <v>172</v>
      </c>
      <c r="AQ942" s="140">
        <f>SUMSQ(AQ930:AQ940)</f>
        <v>633536.7144580431</v>
      </c>
    </row>
    <row r="943" spans="36:43" ht="20.100000000000001" customHeight="1" x14ac:dyDescent="0.25">
      <c r="AL943" s="140" t="s">
        <v>169</v>
      </c>
      <c r="AM943" s="140">
        <f>COUNTA(AL929:AN929)</f>
        <v>3</v>
      </c>
      <c r="AP943" s="140" t="s">
        <v>173</v>
      </c>
      <c r="AQ943" s="140">
        <f>AQ942/AM945</f>
        <v>90505.244922577593</v>
      </c>
    </row>
    <row r="944" spans="36:43" ht="20.100000000000001" customHeight="1" x14ac:dyDescent="0.25">
      <c r="AL944" s="140" t="s">
        <v>170</v>
      </c>
      <c r="AM944" s="140">
        <f>AM943+1</f>
        <v>4</v>
      </c>
    </row>
    <row r="945" spans="36:43" ht="20.100000000000001" customHeight="1" x14ac:dyDescent="0.25">
      <c r="AL945" s="140" t="s">
        <v>171</v>
      </c>
      <c r="AM945" s="140">
        <f>AM942-AM944</f>
        <v>7</v>
      </c>
      <c r="AP945" s="140" t="s">
        <v>174</v>
      </c>
      <c r="AQ945" s="140">
        <f>(AQ942/AM945)^(1/2)</f>
        <v>300.84089635981604</v>
      </c>
    </row>
    <row r="947" spans="36:43" ht="20.100000000000001" customHeight="1" x14ac:dyDescent="0.25">
      <c r="AP947" s="140" t="s">
        <v>175</v>
      </c>
      <c r="AQ947" s="183">
        <f>AQ797/AQ945</f>
        <v>-0.74176837615608338</v>
      </c>
    </row>
    <row r="948" spans="36:43" ht="20.100000000000001" customHeight="1" x14ac:dyDescent="0.25">
      <c r="AQ948" s="183"/>
    </row>
    <row r="949" spans="36:43" ht="20.100000000000001" customHeight="1" x14ac:dyDescent="0.25">
      <c r="AP949" s="140" t="s">
        <v>176</v>
      </c>
      <c r="AQ949" s="183">
        <f>(AQ797)/((AQ943*(1-E255))^(1/2))</f>
        <v>-0.89137838715537976</v>
      </c>
    </row>
    <row r="952" spans="36:43" ht="20.100000000000001" customHeight="1" x14ac:dyDescent="0.25">
      <c r="AJ952" s="140" t="s">
        <v>177</v>
      </c>
      <c r="AK952" s="141" t="s">
        <v>144</v>
      </c>
      <c r="AL952" s="140" t="str">
        <f>B10</f>
        <v>Área do terreno</v>
      </c>
      <c r="AM952" s="140" t="str">
        <f>C10</f>
        <v>Área edificada</v>
      </c>
      <c r="AN952" s="140" t="str">
        <f>D10</f>
        <v>Quartos</v>
      </c>
      <c r="AO952" s="140" t="str">
        <f>I10</f>
        <v>Valor observado</v>
      </c>
      <c r="AP952" s="140" t="s">
        <v>145</v>
      </c>
      <c r="AQ952" s="140" t="s">
        <v>3</v>
      </c>
    </row>
    <row r="953" spans="36:43" ht="20.100000000000001" customHeight="1" x14ac:dyDescent="0.25">
      <c r="AJ953" s="141">
        <v>1</v>
      </c>
      <c r="AK953" s="141">
        <v>1</v>
      </c>
      <c r="AL953" s="140">
        <f>B11</f>
        <v>300</v>
      </c>
      <c r="AM953" s="140">
        <f>C11</f>
        <v>150</v>
      </c>
      <c r="AN953" s="140">
        <f>D11</f>
        <v>3</v>
      </c>
      <c r="AO953" s="140">
        <f>I11</f>
        <v>715500</v>
      </c>
      <c r="AP953" s="140" cm="1">
        <f t="array" ref="AP953:AP963">MMULT(AK953:AN963,MMULT((MINVERSE(MMULT(TRANSPOSE(AK953:AN963),AK953:AN963))),MMULT(TRANSPOSE(AK953:AN963),AO953:AO963)))</f>
        <v>715696.37104831985</v>
      </c>
      <c r="AQ953" s="140">
        <f>AO953-AP953</f>
        <v>-196.37104831985198</v>
      </c>
    </row>
    <row r="954" spans="36:43" ht="20.100000000000001" customHeight="1" x14ac:dyDescent="0.25">
      <c r="AJ954" s="141">
        <v>2</v>
      </c>
      <c r="AK954" s="141">
        <v>1</v>
      </c>
      <c r="AL954" s="140">
        <f>B12</f>
        <v>330</v>
      </c>
      <c r="AM954" s="140">
        <f>C12</f>
        <v>155</v>
      </c>
      <c r="AN954" s="140">
        <f>D12</f>
        <v>3</v>
      </c>
      <c r="AO954" s="140">
        <f>I12</f>
        <v>743400</v>
      </c>
      <c r="AP954" s="140">
        <v>743149.62470807263</v>
      </c>
      <c r="AQ954" s="140">
        <f t="shared" ref="AQ954:AQ963" si="118">AO954-AP954</f>
        <v>250.37529192736838</v>
      </c>
    </row>
    <row r="955" spans="36:43" ht="20.100000000000001" customHeight="1" x14ac:dyDescent="0.25">
      <c r="AJ955" s="141">
        <v>3</v>
      </c>
      <c r="AK955" s="141">
        <v>1</v>
      </c>
      <c r="AL955" s="140">
        <f>B13</f>
        <v>390</v>
      </c>
      <c r="AM955" s="140">
        <f>C13</f>
        <v>180</v>
      </c>
      <c r="AN955" s="140">
        <f>D13</f>
        <v>3</v>
      </c>
      <c r="AO955" s="140">
        <f>I13</f>
        <v>831600</v>
      </c>
      <c r="AP955" s="140">
        <v>831845.44925117423</v>
      </c>
      <c r="AQ955" s="140">
        <f t="shared" si="118"/>
        <v>-245.44925117422827</v>
      </c>
    </row>
    <row r="956" spans="36:43" ht="20.100000000000001" customHeight="1" x14ac:dyDescent="0.25">
      <c r="AJ956" s="141">
        <v>4</v>
      </c>
      <c r="AK956" s="141">
        <v>1</v>
      </c>
      <c r="AL956" s="140">
        <f>B14</f>
        <v>390</v>
      </c>
      <c r="AM956" s="140">
        <f>C14</f>
        <v>185</v>
      </c>
      <c r="AN956" s="140">
        <f>D14</f>
        <v>3</v>
      </c>
      <c r="AO956" s="140">
        <f>I14</f>
        <v>843300</v>
      </c>
      <c r="AP956" s="140">
        <v>843108.55499237287</v>
      </c>
      <c r="AQ956" s="140">
        <f t="shared" si="118"/>
        <v>191.44500762713142</v>
      </c>
    </row>
    <row r="957" spans="36:43" ht="20.100000000000001" customHeight="1" x14ac:dyDescent="0.25">
      <c r="AJ957" s="141">
        <v>5</v>
      </c>
      <c r="AK957" s="141">
        <v>1</v>
      </c>
      <c r="AL957" s="140">
        <f>B15</f>
        <v>432</v>
      </c>
      <c r="AM957" s="140">
        <f>C15</f>
        <v>170</v>
      </c>
      <c r="AN957" s="140">
        <f>D15</f>
        <v>4</v>
      </c>
      <c r="AO957" s="140">
        <f>I15</f>
        <v>850500</v>
      </c>
      <c r="AP957" s="140">
        <v>850053.11391882738</v>
      </c>
      <c r="AQ957" s="140">
        <f t="shared" si="118"/>
        <v>446.88608117261901</v>
      </c>
    </row>
    <row r="958" spans="36:43" ht="20.100000000000001" customHeight="1" x14ac:dyDescent="0.25">
      <c r="AJ958" s="141">
        <v>6</v>
      </c>
      <c r="AK958" s="141">
        <v>1</v>
      </c>
      <c r="AL958" s="140">
        <f>B16</f>
        <v>440</v>
      </c>
      <c r="AM958" s="140">
        <f>C16</f>
        <v>170</v>
      </c>
      <c r="AN958" s="140">
        <f>D16</f>
        <v>4</v>
      </c>
      <c r="AO958" s="140">
        <f>I16</f>
        <v>854100</v>
      </c>
      <c r="AP958" s="140">
        <v>854370.48669710848</v>
      </c>
      <c r="AQ958" s="140">
        <f t="shared" si="118"/>
        <v>-270.4866971084848</v>
      </c>
    </row>
    <row r="959" spans="36:43" ht="20.100000000000001" customHeight="1" x14ac:dyDescent="0.25">
      <c r="AJ959" s="141">
        <v>8</v>
      </c>
      <c r="AK959" s="141">
        <v>1</v>
      </c>
      <c r="AL959" s="140">
        <f>B18</f>
        <v>362</v>
      </c>
      <c r="AM959" s="140">
        <f>C18</f>
        <v>185</v>
      </c>
      <c r="AN959" s="140">
        <f>D18</f>
        <v>4</v>
      </c>
      <c r="AO959" s="140">
        <f>I18</f>
        <v>846000</v>
      </c>
      <c r="AP959" s="140">
        <v>846065.41933246376</v>
      </c>
      <c r="AQ959" s="140">
        <f t="shared" si="118"/>
        <v>-65.419332463759929</v>
      </c>
    </row>
    <row r="960" spans="36:43" ht="20.100000000000001" customHeight="1" x14ac:dyDescent="0.25">
      <c r="AJ960" s="141">
        <v>9</v>
      </c>
      <c r="AK960" s="141">
        <v>1</v>
      </c>
      <c r="AL960" s="140">
        <f>B19</f>
        <v>430</v>
      </c>
      <c r="AM960" s="140">
        <f>C19</f>
        <v>180</v>
      </c>
      <c r="AN960" s="140">
        <f>D19</f>
        <v>4</v>
      </c>
      <c r="AO960" s="140">
        <f>I19</f>
        <v>871200</v>
      </c>
      <c r="AP960" s="140">
        <v>871499.9822066545</v>
      </c>
      <c r="AQ960" s="140">
        <f t="shared" si="118"/>
        <v>-299.98220665450208</v>
      </c>
    </row>
    <row r="961" spans="36:43" ht="20.100000000000001" customHeight="1" x14ac:dyDescent="0.25">
      <c r="AJ961" s="141">
        <v>10</v>
      </c>
      <c r="AK961" s="141">
        <v>1</v>
      </c>
      <c r="AL961" s="140">
        <f>B20</f>
        <v>384</v>
      </c>
      <c r="AM961" s="140">
        <f>C20</f>
        <v>190</v>
      </c>
      <c r="AN961" s="140">
        <f>D20</f>
        <v>4</v>
      </c>
      <c r="AO961" s="140">
        <f>I20</f>
        <v>869400</v>
      </c>
      <c r="AP961" s="140">
        <v>869201.30021393555</v>
      </c>
      <c r="AQ961" s="140">
        <f t="shared" si="118"/>
        <v>198.69978606444784</v>
      </c>
    </row>
    <row r="962" spans="36:43" ht="20.100000000000001" customHeight="1" x14ac:dyDescent="0.25">
      <c r="AJ962" s="141">
        <v>11</v>
      </c>
      <c r="AK962" s="141">
        <v>1</v>
      </c>
      <c r="AL962" s="140">
        <f>B21</f>
        <v>341</v>
      </c>
      <c r="AM962" s="140">
        <f>C21</f>
        <v>230</v>
      </c>
      <c r="AN962" s="140">
        <f>D21</f>
        <v>4</v>
      </c>
      <c r="AO962" s="140">
        <f>I21</f>
        <v>936000</v>
      </c>
      <c r="AP962" s="140">
        <v>936100.26746026392</v>
      </c>
      <c r="AQ962" s="140">
        <f t="shared" si="118"/>
        <v>-100.26746026391629</v>
      </c>
    </row>
    <row r="963" spans="36:43" ht="20.100000000000001" customHeight="1" x14ac:dyDescent="0.25">
      <c r="AJ963" s="141">
        <v>12</v>
      </c>
      <c r="AK963" s="141">
        <v>1</v>
      </c>
      <c r="AL963" s="140">
        <f>B22</f>
        <v>374</v>
      </c>
      <c r="AM963" s="140">
        <f>C22</f>
        <v>230</v>
      </c>
      <c r="AN963" s="140">
        <f>D22</f>
        <v>4</v>
      </c>
      <c r="AO963" s="140">
        <f>I22</f>
        <v>954000</v>
      </c>
      <c r="AP963" s="140">
        <v>953909.43017067341</v>
      </c>
      <c r="AQ963" s="140">
        <f t="shared" si="118"/>
        <v>90.56982932658866</v>
      </c>
    </row>
    <row r="965" spans="36:43" ht="20.100000000000001" customHeight="1" x14ac:dyDescent="0.25">
      <c r="AL965" s="140" t="s">
        <v>168</v>
      </c>
      <c r="AM965" s="140">
        <f>COUNT(AK953:AK963)</f>
        <v>11</v>
      </c>
      <c r="AP965" s="140" t="s">
        <v>172</v>
      </c>
      <c r="AQ965" s="140">
        <f>SUMSQ(AQ953:AQ963)</f>
        <v>623023.20005516126</v>
      </c>
    </row>
    <row r="966" spans="36:43" ht="20.100000000000001" customHeight="1" x14ac:dyDescent="0.25">
      <c r="AL966" s="140" t="s">
        <v>169</v>
      </c>
      <c r="AM966" s="140">
        <f>COUNTA(AL952:AN952)</f>
        <v>3</v>
      </c>
      <c r="AP966" s="140" t="s">
        <v>173</v>
      </c>
      <c r="AQ966" s="140">
        <f>AQ965/AM968</f>
        <v>89003.314293594463</v>
      </c>
    </row>
    <row r="967" spans="36:43" ht="20.100000000000001" customHeight="1" x14ac:dyDescent="0.25">
      <c r="AL967" s="140" t="s">
        <v>170</v>
      </c>
      <c r="AM967" s="140">
        <f>AM966+1</f>
        <v>4</v>
      </c>
    </row>
    <row r="968" spans="36:43" ht="20.100000000000001" customHeight="1" x14ac:dyDescent="0.25">
      <c r="AL968" s="140" t="s">
        <v>171</v>
      </c>
      <c r="AM968" s="140">
        <f>AM965-AM967</f>
        <v>7</v>
      </c>
      <c r="AP968" s="140" t="s">
        <v>174</v>
      </c>
      <c r="AQ968" s="140">
        <f>(AQ965/AM968)^(1/2)</f>
        <v>298.33423252049784</v>
      </c>
    </row>
    <row r="970" spans="36:43" ht="20.100000000000001" customHeight="1" x14ac:dyDescent="0.25">
      <c r="AP970" s="140" t="s">
        <v>175</v>
      </c>
      <c r="AQ970" s="182">
        <f>AQ798/AQ968</f>
        <v>-0.88236265997235375</v>
      </c>
    </row>
    <row r="971" spans="36:43" ht="20.100000000000001" customHeight="1" x14ac:dyDescent="0.25">
      <c r="AQ971" s="182"/>
    </row>
    <row r="972" spans="36:43" ht="20.100000000000001" customHeight="1" x14ac:dyDescent="0.25">
      <c r="AP972" s="140" t="s">
        <v>176</v>
      </c>
      <c r="AQ972" s="182">
        <f>(AQ798)/((AQ966*(1-E256))^(1/2))</f>
        <v>-0.96233493426613137</v>
      </c>
    </row>
    <row r="975" spans="36:43" ht="20.100000000000001" customHeight="1" x14ac:dyDescent="0.25">
      <c r="AJ975" s="140" t="s">
        <v>177</v>
      </c>
      <c r="AK975" s="141" t="s">
        <v>144</v>
      </c>
      <c r="AL975" s="140" t="str">
        <f>B10</f>
        <v>Área do terreno</v>
      </c>
      <c r="AM975" s="140" t="str">
        <f>C10</f>
        <v>Área edificada</v>
      </c>
      <c r="AN975" s="140" t="str">
        <f>D10</f>
        <v>Quartos</v>
      </c>
      <c r="AO975" s="140" t="str">
        <f>I10</f>
        <v>Valor observado</v>
      </c>
      <c r="AP975" s="140" t="s">
        <v>145</v>
      </c>
      <c r="AQ975" s="140" t="s">
        <v>3</v>
      </c>
    </row>
    <row r="976" spans="36:43" ht="20.100000000000001" customHeight="1" x14ac:dyDescent="0.25">
      <c r="AJ976" s="141">
        <v>1</v>
      </c>
      <c r="AK976" s="141">
        <v>1</v>
      </c>
      <c r="AL976" s="140">
        <f>B11</f>
        <v>300</v>
      </c>
      <c r="AM976" s="140">
        <f>C11</f>
        <v>150</v>
      </c>
      <c r="AN976" s="140">
        <f>D11</f>
        <v>3</v>
      </c>
      <c r="AO976" s="140">
        <f>I11</f>
        <v>715500</v>
      </c>
      <c r="AP976" s="140" cm="1">
        <f t="array" ref="AP976:AP986">MMULT(AK976:AN986,MMULT((MINVERSE(MMULT(TRANSPOSE(AK976:AN986),AK976:AN986))),MMULT(TRANSPOSE(AK976:AN986),AO976:AO986)))</f>
        <v>715673.56578338973</v>
      </c>
      <c r="AQ976" s="140">
        <f>AO976-AP976</f>
        <v>-173.56578338972759</v>
      </c>
    </row>
    <row r="977" spans="36:43" ht="20.100000000000001" customHeight="1" x14ac:dyDescent="0.25">
      <c r="AJ977" s="141">
        <v>2</v>
      </c>
      <c r="AK977" s="141">
        <v>1</v>
      </c>
      <c r="AL977" s="140">
        <f>B12</f>
        <v>330</v>
      </c>
      <c r="AM977" s="140">
        <f>C12</f>
        <v>155</v>
      </c>
      <c r="AN977" s="140">
        <f>D12</f>
        <v>3</v>
      </c>
      <c r="AO977" s="140">
        <f>I12</f>
        <v>743400</v>
      </c>
      <c r="AP977" s="140">
        <v>743135.92768161255</v>
      </c>
      <c r="AQ977" s="140">
        <f t="shared" ref="AQ977:AQ986" si="119">AO977-AP977</f>
        <v>264.07231838745065</v>
      </c>
    </row>
    <row r="978" spans="36:43" ht="20.100000000000001" customHeight="1" x14ac:dyDescent="0.25">
      <c r="AJ978" s="141">
        <v>3</v>
      </c>
      <c r="AK978" s="141">
        <v>1</v>
      </c>
      <c r="AL978" s="140">
        <f>B13</f>
        <v>390</v>
      </c>
      <c r="AM978" s="140">
        <f>C13</f>
        <v>180</v>
      </c>
      <c r="AN978" s="140">
        <f>D13</f>
        <v>3</v>
      </c>
      <c r="AO978" s="140">
        <f>I13</f>
        <v>831600</v>
      </c>
      <c r="AP978" s="140">
        <v>831861.73872615141</v>
      </c>
      <c r="AQ978" s="140">
        <f t="shared" si="119"/>
        <v>-261.73872615140863</v>
      </c>
    </row>
    <row r="979" spans="36:43" ht="20.100000000000001" customHeight="1" x14ac:dyDescent="0.25">
      <c r="AJ979" s="141">
        <v>4</v>
      </c>
      <c r="AK979" s="141">
        <v>1</v>
      </c>
      <c r="AL979" s="140">
        <f>B14</f>
        <v>390</v>
      </c>
      <c r="AM979" s="140">
        <f>C14</f>
        <v>185</v>
      </c>
      <c r="AN979" s="140">
        <f>D14</f>
        <v>3</v>
      </c>
      <c r="AO979" s="140">
        <f>I14</f>
        <v>843300</v>
      </c>
      <c r="AP979" s="140">
        <v>843128.76780884922</v>
      </c>
      <c r="AQ979" s="140">
        <f t="shared" si="119"/>
        <v>171.23219115077518</v>
      </c>
    </row>
    <row r="980" spans="36:43" ht="20.100000000000001" customHeight="1" x14ac:dyDescent="0.25">
      <c r="AJ980" s="141">
        <v>5</v>
      </c>
      <c r="AK980" s="141">
        <v>1</v>
      </c>
      <c r="AL980" s="140">
        <f>B15</f>
        <v>432</v>
      </c>
      <c r="AM980" s="140">
        <f>C15</f>
        <v>170</v>
      </c>
      <c r="AN980" s="140">
        <f>D15</f>
        <v>4</v>
      </c>
      <c r="AO980" s="140">
        <f>I15</f>
        <v>850500</v>
      </c>
      <c r="AP980" s="140">
        <v>850005.54584108316</v>
      </c>
      <c r="AQ980" s="140">
        <f t="shared" si="119"/>
        <v>494.4541589168366</v>
      </c>
    </row>
    <row r="981" spans="36:43" ht="20.100000000000001" customHeight="1" x14ac:dyDescent="0.25">
      <c r="AJ981" s="141">
        <v>6</v>
      </c>
      <c r="AK981" s="141">
        <v>1</v>
      </c>
      <c r="AL981" s="140">
        <f>B16</f>
        <v>440</v>
      </c>
      <c r="AM981" s="140">
        <f>C16</f>
        <v>170</v>
      </c>
      <c r="AN981" s="140">
        <f>D16</f>
        <v>4</v>
      </c>
      <c r="AO981" s="140">
        <f>I16</f>
        <v>854100</v>
      </c>
      <c r="AP981" s="140">
        <v>854324.30125855654</v>
      </c>
      <c r="AQ981" s="140">
        <f t="shared" si="119"/>
        <v>-224.30125855654478</v>
      </c>
    </row>
    <row r="982" spans="36:43" ht="20.100000000000001" customHeight="1" x14ac:dyDescent="0.25">
      <c r="AJ982" s="141">
        <v>7</v>
      </c>
      <c r="AK982" s="141">
        <v>1</v>
      </c>
      <c r="AL982" s="140">
        <f>B17</f>
        <v>390</v>
      </c>
      <c r="AM982" s="140">
        <f>C17</f>
        <v>180</v>
      </c>
      <c r="AN982" s="140">
        <f>D17</f>
        <v>4</v>
      </c>
      <c r="AO982" s="140">
        <f>I17</f>
        <v>849600</v>
      </c>
      <c r="AP982" s="140">
        <v>849866.13806474325</v>
      </c>
      <c r="AQ982" s="140">
        <f t="shared" si="119"/>
        <v>-266.13806474325247</v>
      </c>
    </row>
    <row r="983" spans="36:43" ht="20.100000000000001" customHeight="1" x14ac:dyDescent="0.25">
      <c r="AJ983" s="141">
        <v>9</v>
      </c>
      <c r="AK983" s="141">
        <v>1</v>
      </c>
      <c r="AL983" s="140">
        <f>B19</f>
        <v>430</v>
      </c>
      <c r="AM983" s="140">
        <f>C19</f>
        <v>180</v>
      </c>
      <c r="AN983" s="140">
        <f>D19</f>
        <v>4</v>
      </c>
      <c r="AO983" s="140">
        <f>I19</f>
        <v>871200</v>
      </c>
      <c r="AP983" s="140">
        <v>871459.91515211016</v>
      </c>
      <c r="AQ983" s="140">
        <f t="shared" si="119"/>
        <v>-259.9151521101594</v>
      </c>
    </row>
    <row r="984" spans="36:43" ht="20.100000000000001" customHeight="1" x14ac:dyDescent="0.25">
      <c r="AJ984" s="141">
        <v>10</v>
      </c>
      <c r="AK984" s="141">
        <v>1</v>
      </c>
      <c r="AL984" s="140">
        <f>B20</f>
        <v>384</v>
      </c>
      <c r="AM984" s="140">
        <f>C20</f>
        <v>190</v>
      </c>
      <c r="AN984" s="140">
        <f>D20</f>
        <v>4</v>
      </c>
      <c r="AO984" s="140">
        <f>I20</f>
        <v>869400</v>
      </c>
      <c r="AP984" s="140">
        <v>869161.12966703367</v>
      </c>
      <c r="AQ984" s="140">
        <f t="shared" si="119"/>
        <v>238.8703329663258</v>
      </c>
    </row>
    <row r="985" spans="36:43" ht="20.100000000000001" customHeight="1" x14ac:dyDescent="0.25">
      <c r="AJ985" s="141">
        <v>11</v>
      </c>
      <c r="AK985" s="141">
        <v>1</v>
      </c>
      <c r="AL985" s="140">
        <f>B21</f>
        <v>341</v>
      </c>
      <c r="AM985" s="140">
        <f>C21</f>
        <v>230</v>
      </c>
      <c r="AN985" s="140">
        <f>D21</f>
        <v>4</v>
      </c>
      <c r="AO985" s="140">
        <f>I21</f>
        <v>936000</v>
      </c>
      <c r="AP985" s="140">
        <v>936084.05195969588</v>
      </c>
      <c r="AQ985" s="140">
        <f t="shared" si="119"/>
        <v>-84.051959695876576</v>
      </c>
    </row>
    <row r="986" spans="36:43" ht="20.100000000000001" customHeight="1" x14ac:dyDescent="0.25">
      <c r="AJ986" s="141">
        <v>12</v>
      </c>
      <c r="AK986" s="141">
        <v>1</v>
      </c>
      <c r="AL986" s="140">
        <f>B22</f>
        <v>374</v>
      </c>
      <c r="AM986" s="140">
        <f>C22</f>
        <v>230</v>
      </c>
      <c r="AN986" s="140">
        <f>D22</f>
        <v>4</v>
      </c>
      <c r="AO986" s="140">
        <f>I22</f>
        <v>954000</v>
      </c>
      <c r="AP986" s="140">
        <v>953898.91805677349</v>
      </c>
      <c r="AQ986" s="140">
        <f t="shared" si="119"/>
        <v>101.08194322651252</v>
      </c>
    </row>
    <row r="988" spans="36:43" ht="20.100000000000001" customHeight="1" x14ac:dyDescent="0.25">
      <c r="AL988" s="140" t="s">
        <v>168</v>
      </c>
      <c r="AM988" s="140">
        <f>COUNT(AK976:AK986)</f>
        <v>11</v>
      </c>
      <c r="AP988" s="140" t="s">
        <v>172</v>
      </c>
      <c r="AQ988" s="140">
        <f>SUMSQ(AQ976:AQ986)</f>
        <v>705209.5473644163</v>
      </c>
    </row>
    <row r="989" spans="36:43" ht="20.100000000000001" customHeight="1" x14ac:dyDescent="0.25">
      <c r="AL989" s="140" t="s">
        <v>169</v>
      </c>
      <c r="AM989" s="140">
        <f>COUNTA(AL975:AN975)</f>
        <v>3</v>
      </c>
      <c r="AP989" s="140" t="s">
        <v>173</v>
      </c>
      <c r="AQ989" s="140">
        <f>AQ988/AM991</f>
        <v>100744.22105205947</v>
      </c>
    </row>
    <row r="990" spans="36:43" ht="20.100000000000001" customHeight="1" x14ac:dyDescent="0.25">
      <c r="AL990" s="140" t="s">
        <v>170</v>
      </c>
      <c r="AM990" s="140">
        <f>AM989+1</f>
        <v>4</v>
      </c>
    </row>
    <row r="991" spans="36:43" ht="20.100000000000001" customHeight="1" x14ac:dyDescent="0.25">
      <c r="AL991" s="140" t="s">
        <v>171</v>
      </c>
      <c r="AM991" s="140">
        <f>AM988-AM990</f>
        <v>7</v>
      </c>
      <c r="AP991" s="140" t="s">
        <v>174</v>
      </c>
      <c r="AQ991" s="140">
        <f>(AQ988/AM991)^(1/2)</f>
        <v>317.40230158595176</v>
      </c>
    </row>
    <row r="993" spans="36:43" ht="20.100000000000001" customHeight="1" x14ac:dyDescent="0.25">
      <c r="AP993" s="140" t="s">
        <v>175</v>
      </c>
      <c r="AQ993" s="183">
        <f>AQ799/AQ991</f>
        <v>-4.2899154671760573E-2</v>
      </c>
    </row>
    <row r="994" spans="36:43" ht="20.100000000000001" customHeight="1" x14ac:dyDescent="0.25">
      <c r="AQ994" s="183"/>
    </row>
    <row r="995" spans="36:43" ht="20.100000000000001" customHeight="1" x14ac:dyDescent="0.25">
      <c r="AP995" s="140" t="s">
        <v>176</v>
      </c>
      <c r="AQ995" s="183">
        <f>(AQ799)/((AQ989*(1-E257))^(1/2))</f>
        <v>-4.86660245367758E-2</v>
      </c>
    </row>
    <row r="998" spans="36:43" ht="20.100000000000001" customHeight="1" x14ac:dyDescent="0.25">
      <c r="AJ998" s="140" t="s">
        <v>177</v>
      </c>
      <c r="AK998" s="141" t="s">
        <v>144</v>
      </c>
      <c r="AL998" s="140" t="str">
        <f>B10</f>
        <v>Área do terreno</v>
      </c>
      <c r="AM998" s="140" t="str">
        <f>C10</f>
        <v>Área edificada</v>
      </c>
      <c r="AN998" s="140" t="str">
        <f>D10</f>
        <v>Quartos</v>
      </c>
      <c r="AO998" s="140" t="str">
        <f>I10</f>
        <v>Valor observado</v>
      </c>
      <c r="AP998" s="140" t="s">
        <v>145</v>
      </c>
      <c r="AQ998" s="140" t="s">
        <v>3</v>
      </c>
    </row>
    <row r="999" spans="36:43" ht="20.100000000000001" customHeight="1" x14ac:dyDescent="0.25">
      <c r="AJ999" s="141">
        <v>1</v>
      </c>
      <c r="AK999" s="141">
        <v>1</v>
      </c>
      <c r="AL999" s="140">
        <f>B11</f>
        <v>300</v>
      </c>
      <c r="AM999" s="140">
        <f>C11</f>
        <v>150</v>
      </c>
      <c r="AN999" s="140">
        <f>D11</f>
        <v>3</v>
      </c>
      <c r="AO999" s="140">
        <f>I11</f>
        <v>715500</v>
      </c>
      <c r="AP999" s="140" cm="1">
        <f t="array" ref="AP999:AP1009">MMULT(AK999:AN1009,MMULT((MINVERSE(MMULT(TRANSPOSE(AK999:AN1009),AK999:AN1009))),MMULT(TRANSPOSE(AK999:AN1009),AO999:AO1009)))</f>
        <v>715640.85322143394</v>
      </c>
      <c r="AQ999" s="140">
        <f>AO999-AP999</f>
        <v>-140.85322143393569</v>
      </c>
    </row>
    <row r="1000" spans="36:43" ht="20.100000000000001" customHeight="1" x14ac:dyDescent="0.25">
      <c r="AJ1000" s="141">
        <v>2</v>
      </c>
      <c r="AK1000" s="141">
        <v>1</v>
      </c>
      <c r="AL1000" s="140">
        <f>B12</f>
        <v>330</v>
      </c>
      <c r="AM1000" s="140">
        <f>C12</f>
        <v>155</v>
      </c>
      <c r="AN1000" s="140">
        <f>D12</f>
        <v>3</v>
      </c>
      <c r="AO1000" s="140">
        <f>I12</f>
        <v>743400</v>
      </c>
      <c r="AP1000" s="140">
        <v>743123.83484635211</v>
      </c>
      <c r="AQ1000" s="140">
        <f t="shared" ref="AQ1000:AQ1009" si="120">AO1000-AP1000</f>
        <v>276.16515364788938</v>
      </c>
    </row>
    <row r="1001" spans="36:43" ht="20.100000000000001" customHeight="1" x14ac:dyDescent="0.25">
      <c r="AJ1001" s="141">
        <v>3</v>
      </c>
      <c r="AK1001" s="141">
        <v>1</v>
      </c>
      <c r="AL1001" s="140">
        <f>B13</f>
        <v>390</v>
      </c>
      <c r="AM1001" s="140">
        <f>C13</f>
        <v>180</v>
      </c>
      <c r="AN1001" s="140">
        <f>D13</f>
        <v>3</v>
      </c>
      <c r="AO1001" s="140">
        <f>I13</f>
        <v>831600</v>
      </c>
      <c r="AP1001" s="140">
        <v>831885.10484186583</v>
      </c>
      <c r="AQ1001" s="140">
        <f t="shared" si="120"/>
        <v>-285.10484186583199</v>
      </c>
    </row>
    <row r="1002" spans="36:43" ht="20.100000000000001" customHeight="1" x14ac:dyDescent="0.25">
      <c r="AJ1002" s="141">
        <v>4</v>
      </c>
      <c r="AK1002" s="141">
        <v>1</v>
      </c>
      <c r="AL1002" s="140">
        <f>B14</f>
        <v>390</v>
      </c>
      <c r="AM1002" s="140">
        <f>C14</f>
        <v>185</v>
      </c>
      <c r="AN1002" s="140">
        <f>D14</f>
        <v>3</v>
      </c>
      <c r="AO1002" s="140">
        <f>I14</f>
        <v>843300</v>
      </c>
      <c r="AP1002" s="140">
        <v>843150.20709042496</v>
      </c>
      <c r="AQ1002" s="140">
        <f t="shared" si="120"/>
        <v>149.79290957504418</v>
      </c>
    </row>
    <row r="1003" spans="36:43" ht="20.100000000000001" customHeight="1" x14ac:dyDescent="0.25">
      <c r="AJ1003" s="141">
        <v>5</v>
      </c>
      <c r="AK1003" s="141">
        <v>1</v>
      </c>
      <c r="AL1003" s="140">
        <f>B15</f>
        <v>432</v>
      </c>
      <c r="AM1003" s="140">
        <f>C15</f>
        <v>170</v>
      </c>
      <c r="AN1003" s="140">
        <f>D15</f>
        <v>4</v>
      </c>
      <c r="AO1003" s="140">
        <f>I15</f>
        <v>850500</v>
      </c>
      <c r="AP1003" s="140">
        <v>850081.57364864345</v>
      </c>
      <c r="AQ1003" s="140">
        <f t="shared" si="120"/>
        <v>418.42635135655291</v>
      </c>
    </row>
    <row r="1004" spans="36:43" ht="20.100000000000001" customHeight="1" x14ac:dyDescent="0.25">
      <c r="AJ1004" s="141">
        <v>6</v>
      </c>
      <c r="AK1004" s="141">
        <v>1</v>
      </c>
      <c r="AL1004" s="140">
        <f>B16</f>
        <v>440</v>
      </c>
      <c r="AM1004" s="140">
        <f>C16</f>
        <v>170</v>
      </c>
      <c r="AN1004" s="140">
        <f>D16</f>
        <v>4</v>
      </c>
      <c r="AO1004" s="140">
        <f>I16</f>
        <v>854100</v>
      </c>
      <c r="AP1004" s="140">
        <v>854406.34148233919</v>
      </c>
      <c r="AQ1004" s="140">
        <f t="shared" si="120"/>
        <v>-306.34148233919404</v>
      </c>
    </row>
    <row r="1005" spans="36:43" ht="20.100000000000001" customHeight="1" x14ac:dyDescent="0.25">
      <c r="AJ1005" s="141">
        <v>7</v>
      </c>
      <c r="AK1005" s="141">
        <v>1</v>
      </c>
      <c r="AL1005" s="140">
        <f>B17</f>
        <v>390</v>
      </c>
      <c r="AM1005" s="140">
        <f>C17</f>
        <v>180</v>
      </c>
      <c r="AN1005" s="140">
        <f>D17</f>
        <v>4</v>
      </c>
      <c r="AO1005" s="140">
        <f>I17</f>
        <v>849600</v>
      </c>
      <c r="AP1005" s="140">
        <v>849906.74701885902</v>
      </c>
      <c r="AQ1005" s="140">
        <f t="shared" si="120"/>
        <v>-306.74701885902323</v>
      </c>
    </row>
    <row r="1006" spans="36:43" ht="20.100000000000001" customHeight="1" x14ac:dyDescent="0.25">
      <c r="AJ1006" s="141">
        <v>8</v>
      </c>
      <c r="AK1006" s="141">
        <v>1</v>
      </c>
      <c r="AL1006" s="140">
        <f>B18</f>
        <v>362</v>
      </c>
      <c r="AM1006" s="140">
        <f>C18</f>
        <v>185</v>
      </c>
      <c r="AN1006" s="140">
        <f>D18</f>
        <v>4</v>
      </c>
      <c r="AO1006" s="140">
        <f>I18</f>
        <v>846000</v>
      </c>
      <c r="AP1006" s="140">
        <v>846035.16184948303</v>
      </c>
      <c r="AQ1006" s="140">
        <f t="shared" si="120"/>
        <v>-35.161849483032711</v>
      </c>
    </row>
    <row r="1007" spans="36:43" ht="20.100000000000001" customHeight="1" x14ac:dyDescent="0.25">
      <c r="AJ1007" s="141">
        <v>10</v>
      </c>
      <c r="AK1007" s="141">
        <v>1</v>
      </c>
      <c r="AL1007" s="140">
        <f>B20</f>
        <v>384</v>
      </c>
      <c r="AM1007" s="140">
        <f>C20</f>
        <v>190</v>
      </c>
      <c r="AN1007" s="140">
        <f>D20</f>
        <v>4</v>
      </c>
      <c r="AO1007" s="140">
        <f>I20</f>
        <v>869400</v>
      </c>
      <c r="AP1007" s="140">
        <v>869193.37564070546</v>
      </c>
      <c r="AQ1007" s="140">
        <f t="shared" si="120"/>
        <v>206.62435929453932</v>
      </c>
    </row>
    <row r="1008" spans="36:43" ht="20.100000000000001" customHeight="1" x14ac:dyDescent="0.25">
      <c r="AJ1008" s="141">
        <v>11</v>
      </c>
      <c r="AK1008" s="141">
        <v>1</v>
      </c>
      <c r="AL1008" s="140">
        <f>B21</f>
        <v>341</v>
      </c>
      <c r="AM1008" s="140">
        <f>C21</f>
        <v>230</v>
      </c>
      <c r="AN1008" s="140">
        <f>D21</f>
        <v>4</v>
      </c>
      <c r="AO1008" s="140">
        <f>I21</f>
        <v>936000</v>
      </c>
      <c r="AP1008" s="140">
        <v>936068.56652306381</v>
      </c>
      <c r="AQ1008" s="140">
        <f t="shared" si="120"/>
        <v>-68.566523063811474</v>
      </c>
    </row>
    <row r="1009" spans="36:43" ht="20.100000000000001" customHeight="1" x14ac:dyDescent="0.25">
      <c r="AJ1009" s="141">
        <v>12</v>
      </c>
      <c r="AK1009" s="141">
        <v>1</v>
      </c>
      <c r="AL1009" s="140">
        <f>B22</f>
        <v>374</v>
      </c>
      <c r="AM1009" s="140">
        <f>C22</f>
        <v>230</v>
      </c>
      <c r="AN1009" s="140">
        <f>D22</f>
        <v>4</v>
      </c>
      <c r="AO1009" s="140">
        <f>I22</f>
        <v>954000</v>
      </c>
      <c r="AP1009" s="140">
        <v>953908.23383705877</v>
      </c>
      <c r="AQ1009" s="140">
        <f t="shared" si="120"/>
        <v>91.766162941232324</v>
      </c>
    </row>
    <row r="1011" spans="36:43" ht="20.100000000000001" customHeight="1" x14ac:dyDescent="0.25">
      <c r="AL1011" s="140" t="s">
        <v>168</v>
      </c>
      <c r="AM1011" s="140">
        <f>COUNT(AK999:AK1009)</f>
        <v>11</v>
      </c>
      <c r="AP1011" s="140" t="s">
        <v>172</v>
      </c>
      <c r="AQ1011" s="140">
        <f>SUMSQ(AQ999:AQ1009)</f>
        <v>619901.33584117144</v>
      </c>
    </row>
    <row r="1012" spans="36:43" ht="20.100000000000001" customHeight="1" x14ac:dyDescent="0.25">
      <c r="AL1012" s="140" t="s">
        <v>169</v>
      </c>
      <c r="AM1012" s="140">
        <f>COUNTA(AL998:AN998)</f>
        <v>3</v>
      </c>
      <c r="AP1012" s="140" t="s">
        <v>173</v>
      </c>
      <c r="AQ1012" s="140">
        <f>AQ1011/AM1014</f>
        <v>88557.333691595923</v>
      </c>
    </row>
    <row r="1013" spans="36:43" ht="20.100000000000001" customHeight="1" x14ac:dyDescent="0.25">
      <c r="AL1013" s="140" t="s">
        <v>170</v>
      </c>
      <c r="AM1013" s="140">
        <f>AM1012+1</f>
        <v>4</v>
      </c>
    </row>
    <row r="1014" spans="36:43" ht="20.100000000000001" customHeight="1" x14ac:dyDescent="0.25">
      <c r="AL1014" s="140" t="s">
        <v>171</v>
      </c>
      <c r="AM1014" s="140">
        <f>AM1011-AM1013</f>
        <v>7</v>
      </c>
      <c r="AP1014" s="140" t="s">
        <v>174</v>
      </c>
      <c r="AQ1014" s="140">
        <f>(AQ1011/AM1014)^(1/2)</f>
        <v>297.58584255907726</v>
      </c>
    </row>
    <row r="1016" spans="36:43" ht="20.100000000000001" customHeight="1" x14ac:dyDescent="0.25">
      <c r="AP1016" s="140" t="s">
        <v>175</v>
      </c>
      <c r="AQ1016" s="183">
        <f>AQ800/AQ1014</f>
        <v>-0.869574631694639</v>
      </c>
    </row>
    <row r="1017" spans="36:43" ht="20.100000000000001" customHeight="1" x14ac:dyDescent="0.25">
      <c r="AQ1017" s="183"/>
    </row>
    <row r="1018" spans="36:43" ht="20.100000000000001" customHeight="1" x14ac:dyDescent="0.25">
      <c r="AP1018" s="140" t="s">
        <v>176</v>
      </c>
      <c r="AQ1018" s="183">
        <f>(AQ800)/((AQ1012*(1-E258))^(1/2))</f>
        <v>-0.98285544861024265</v>
      </c>
    </row>
    <row r="1021" spans="36:43" ht="20.100000000000001" customHeight="1" x14ac:dyDescent="0.25">
      <c r="AJ1021" s="140" t="s">
        <v>177</v>
      </c>
      <c r="AK1021" s="141" t="s">
        <v>144</v>
      </c>
      <c r="AL1021" s="140" t="str">
        <f>B10</f>
        <v>Área do terreno</v>
      </c>
      <c r="AM1021" s="140" t="str">
        <f>C10</f>
        <v>Área edificada</v>
      </c>
      <c r="AN1021" s="140" t="str">
        <f>D10</f>
        <v>Quartos</v>
      </c>
      <c r="AO1021" s="140" t="str">
        <f>I10</f>
        <v>Valor observado</v>
      </c>
      <c r="AP1021" s="140" t="s">
        <v>145</v>
      </c>
      <c r="AQ1021" s="140" t="s">
        <v>3</v>
      </c>
    </row>
    <row r="1022" spans="36:43" ht="20.100000000000001" customHeight="1" x14ac:dyDescent="0.25">
      <c r="AJ1022" s="141">
        <v>1</v>
      </c>
      <c r="AK1022" s="141">
        <v>1</v>
      </c>
      <c r="AL1022" s="140">
        <f>B11</f>
        <v>300</v>
      </c>
      <c r="AM1022" s="140">
        <f>C11</f>
        <v>150</v>
      </c>
      <c r="AN1022" s="140">
        <f>D11</f>
        <v>3</v>
      </c>
      <c r="AO1022" s="140">
        <f>I11</f>
        <v>715500</v>
      </c>
      <c r="AP1022" s="140" cm="1">
        <f t="array" ref="AP1022:AP1032">MMULT(AK1022:AN1032,MMULT((MINVERSE(MMULT(TRANSPOSE(AK1022:AN1032),AK1022:AN1032))),MMULT(TRANSPOSE(AK1022:AN1032),AO1022:AO1032)))</f>
        <v>715655.45091061364</v>
      </c>
      <c r="AQ1022" s="140">
        <f>AO1022-AP1022</f>
        <v>-155.45091061363928</v>
      </c>
    </row>
    <row r="1023" spans="36:43" ht="20.100000000000001" customHeight="1" x14ac:dyDescent="0.25">
      <c r="AJ1023" s="141">
        <v>2</v>
      </c>
      <c r="AK1023" s="141">
        <v>1</v>
      </c>
      <c r="AL1023" s="140">
        <f>B12</f>
        <v>330</v>
      </c>
      <c r="AM1023" s="140">
        <f>C12</f>
        <v>155</v>
      </c>
      <c r="AN1023" s="140">
        <f>D12</f>
        <v>3</v>
      </c>
      <c r="AO1023" s="140">
        <f>I12</f>
        <v>743400</v>
      </c>
      <c r="AP1023" s="140">
        <v>743126.91331951856</v>
      </c>
      <c r="AQ1023" s="140">
        <f t="shared" ref="AQ1023:AQ1032" si="121">AO1023-AP1023</f>
        <v>273.08668048144318</v>
      </c>
    </row>
    <row r="1024" spans="36:43" ht="20.100000000000001" customHeight="1" x14ac:dyDescent="0.25">
      <c r="AJ1024" s="141">
        <v>3</v>
      </c>
      <c r="AK1024" s="141">
        <v>1</v>
      </c>
      <c r="AL1024" s="140">
        <f>B13</f>
        <v>390</v>
      </c>
      <c r="AM1024" s="140">
        <f>C13</f>
        <v>180</v>
      </c>
      <c r="AN1024" s="140">
        <f>D13</f>
        <v>3</v>
      </c>
      <c r="AO1024" s="140">
        <f>I13</f>
        <v>831600</v>
      </c>
      <c r="AP1024" s="140">
        <v>831874.67792097596</v>
      </c>
      <c r="AQ1024" s="140">
        <f t="shared" si="121"/>
        <v>-274.6779209759552</v>
      </c>
    </row>
    <row r="1025" spans="36:43" ht="20.100000000000001" customHeight="1" x14ac:dyDescent="0.25">
      <c r="AJ1025" s="141">
        <v>4</v>
      </c>
      <c r="AK1025" s="141">
        <v>1</v>
      </c>
      <c r="AL1025" s="140">
        <f>B14</f>
        <v>390</v>
      </c>
      <c r="AM1025" s="140">
        <f>C14</f>
        <v>185</v>
      </c>
      <c r="AN1025" s="140">
        <f>D14</f>
        <v>3</v>
      </c>
      <c r="AO1025" s="140">
        <f>I14</f>
        <v>843300</v>
      </c>
      <c r="AP1025" s="140">
        <v>843142.95784885855</v>
      </c>
      <c r="AQ1025" s="140">
        <f t="shared" si="121"/>
        <v>157.04215114144608</v>
      </c>
    </row>
    <row r="1026" spans="36:43" ht="20.100000000000001" customHeight="1" x14ac:dyDescent="0.25">
      <c r="AJ1026" s="141">
        <v>5</v>
      </c>
      <c r="AK1026" s="141">
        <v>1</v>
      </c>
      <c r="AL1026" s="140">
        <f>B15</f>
        <v>432</v>
      </c>
      <c r="AM1026" s="140">
        <f>C15</f>
        <v>170</v>
      </c>
      <c r="AN1026" s="140">
        <f>D15</f>
        <v>4</v>
      </c>
      <c r="AO1026" s="140">
        <f>I15</f>
        <v>850500</v>
      </c>
      <c r="AP1026" s="140">
        <v>849972.91047490377</v>
      </c>
      <c r="AQ1026" s="140">
        <f t="shared" si="121"/>
        <v>527.08952509623487</v>
      </c>
    </row>
    <row r="1027" spans="36:43" ht="20.100000000000001" customHeight="1" x14ac:dyDescent="0.25">
      <c r="AJ1027" s="141">
        <v>6</v>
      </c>
      <c r="AK1027" s="141">
        <v>1</v>
      </c>
      <c r="AL1027" s="140">
        <f>B16</f>
        <v>440</v>
      </c>
      <c r="AM1027" s="140">
        <f>C16</f>
        <v>170</v>
      </c>
      <c r="AN1027" s="140">
        <f>D16</f>
        <v>4</v>
      </c>
      <c r="AO1027" s="140">
        <f>I16</f>
        <v>854100</v>
      </c>
      <c r="AP1027" s="140">
        <v>854293.75913650973</v>
      </c>
      <c r="AQ1027" s="140">
        <f t="shared" si="121"/>
        <v>-193.75913650973234</v>
      </c>
    </row>
    <row r="1028" spans="36:43" ht="20.100000000000001" customHeight="1" x14ac:dyDescent="0.25">
      <c r="AJ1028" s="141">
        <v>7</v>
      </c>
      <c r="AK1028" s="141">
        <v>1</v>
      </c>
      <c r="AL1028" s="140">
        <f>B17</f>
        <v>390</v>
      </c>
      <c r="AM1028" s="140">
        <f>C17</f>
        <v>180</v>
      </c>
      <c r="AN1028" s="140">
        <f>D17</f>
        <v>4</v>
      </c>
      <c r="AO1028" s="140">
        <f>I17</f>
        <v>849600</v>
      </c>
      <c r="AP1028" s="140">
        <v>849825.01485723746</v>
      </c>
      <c r="AQ1028" s="140">
        <f t="shared" si="121"/>
        <v>-225.01485723746009</v>
      </c>
    </row>
    <row r="1029" spans="36:43" ht="20.100000000000001" customHeight="1" x14ac:dyDescent="0.25">
      <c r="AJ1029" s="141">
        <v>8</v>
      </c>
      <c r="AK1029" s="141">
        <v>1</v>
      </c>
      <c r="AL1029" s="140">
        <f>B18</f>
        <v>362</v>
      </c>
      <c r="AM1029" s="140">
        <f>C18</f>
        <v>185</v>
      </c>
      <c r="AN1029" s="140">
        <f>D18</f>
        <v>4</v>
      </c>
      <c r="AO1029" s="140">
        <f>I18</f>
        <v>846000</v>
      </c>
      <c r="AP1029" s="140">
        <v>845970.32446949917</v>
      </c>
      <c r="AQ1029" s="140">
        <f t="shared" si="121"/>
        <v>29.675530500826426</v>
      </c>
    </row>
    <row r="1030" spans="36:43" ht="20.100000000000001" customHeight="1" x14ac:dyDescent="0.25">
      <c r="AJ1030" s="141">
        <v>9</v>
      </c>
      <c r="AK1030" s="141">
        <v>1</v>
      </c>
      <c r="AL1030" s="140">
        <f>B19</f>
        <v>430</v>
      </c>
      <c r="AM1030" s="140">
        <f>C19</f>
        <v>180</v>
      </c>
      <c r="AN1030" s="140">
        <f>D19</f>
        <v>4</v>
      </c>
      <c r="AO1030" s="140">
        <f>I19</f>
        <v>871200</v>
      </c>
      <c r="AP1030" s="140">
        <v>871429.2581652673</v>
      </c>
      <c r="AQ1030" s="140">
        <f t="shared" si="121"/>
        <v>-229.25816526729614</v>
      </c>
    </row>
    <row r="1031" spans="36:43" ht="20.100000000000001" customHeight="1" x14ac:dyDescent="0.25">
      <c r="AJ1031" s="141">
        <v>11</v>
      </c>
      <c r="AK1031" s="141">
        <v>1</v>
      </c>
      <c r="AL1031" s="140">
        <f>B21</f>
        <v>341</v>
      </c>
      <c r="AM1031" s="140">
        <f>C21</f>
        <v>230</v>
      </c>
      <c r="AN1031" s="140">
        <f>D21</f>
        <v>4</v>
      </c>
      <c r="AO1031" s="140">
        <f>I21</f>
        <v>936000</v>
      </c>
      <c r="AP1031" s="140">
        <v>936042.6160837264</v>
      </c>
      <c r="AQ1031" s="140">
        <f t="shared" si="121"/>
        <v>-42.616083726403303</v>
      </c>
    </row>
    <row r="1032" spans="36:43" ht="20.100000000000001" customHeight="1" x14ac:dyDescent="0.25">
      <c r="AJ1032" s="141">
        <v>12</v>
      </c>
      <c r="AK1032" s="141">
        <v>1</v>
      </c>
      <c r="AL1032" s="140">
        <f>B22</f>
        <v>374</v>
      </c>
      <c r="AM1032" s="140">
        <f>C22</f>
        <v>230</v>
      </c>
      <c r="AN1032" s="140">
        <f>D22</f>
        <v>4</v>
      </c>
      <c r="AO1032" s="140">
        <f>I22</f>
        <v>954000</v>
      </c>
      <c r="AP1032" s="140">
        <v>953866.11681285105</v>
      </c>
      <c r="AQ1032" s="140">
        <f t="shared" si="121"/>
        <v>133.88318714895286</v>
      </c>
    </row>
    <row r="1034" spans="36:43" ht="20.100000000000001" customHeight="1" x14ac:dyDescent="0.25">
      <c r="AL1034" s="140" t="s">
        <v>168</v>
      </c>
      <c r="AM1034" s="140">
        <f>COUNT(AK1022:AK1032)</f>
        <v>11</v>
      </c>
      <c r="AP1034" s="140" t="s">
        <v>172</v>
      </c>
      <c r="AQ1034" s="140">
        <f>SUMSQ(AQ1022:AQ1032)</f>
        <v>638029.95644412516</v>
      </c>
    </row>
    <row r="1035" spans="36:43" ht="20.100000000000001" customHeight="1" x14ac:dyDescent="0.25">
      <c r="AL1035" s="140" t="s">
        <v>169</v>
      </c>
      <c r="AM1035" s="140">
        <f>COUNTA(AL1021:AN1021)</f>
        <v>3</v>
      </c>
      <c r="AP1035" s="140" t="s">
        <v>173</v>
      </c>
      <c r="AQ1035" s="140">
        <f>AQ1034/AM1037</f>
        <v>91147.136634875016</v>
      </c>
    </row>
    <row r="1036" spans="36:43" ht="20.100000000000001" customHeight="1" x14ac:dyDescent="0.25">
      <c r="AL1036" s="140" t="s">
        <v>170</v>
      </c>
      <c r="AM1036" s="140">
        <f>AM1035+1</f>
        <v>4</v>
      </c>
    </row>
    <row r="1037" spans="36:43" ht="20.100000000000001" customHeight="1" x14ac:dyDescent="0.25">
      <c r="AL1037" s="140" t="s">
        <v>171</v>
      </c>
      <c r="AM1037" s="140">
        <f>AM1034-AM1036</f>
        <v>7</v>
      </c>
      <c r="AP1037" s="140" t="s">
        <v>174</v>
      </c>
      <c r="AQ1037" s="140">
        <f>(AQ1034/AM1037)^(1/2)</f>
        <v>301.90584067698165</v>
      </c>
    </row>
    <row r="1039" spans="36:43" ht="20.100000000000001" customHeight="1" x14ac:dyDescent="0.25">
      <c r="AP1039" s="140" t="s">
        <v>175</v>
      </c>
      <c r="AQ1039" s="183">
        <f>AQ801/AQ1037</f>
        <v>0.80021229459007859</v>
      </c>
    </row>
    <row r="1040" spans="36:43" ht="20.100000000000001" customHeight="1" x14ac:dyDescent="0.25">
      <c r="AQ1040" s="183"/>
    </row>
    <row r="1041" spans="36:43" ht="20.100000000000001" customHeight="1" x14ac:dyDescent="0.25">
      <c r="AP1041" s="140" t="s">
        <v>176</v>
      </c>
      <c r="AQ1041" s="183">
        <f>(AQ801)/((AQ1035*(1-E259))^(1/2))</f>
        <v>0.86003680046194553</v>
      </c>
    </row>
    <row r="1044" spans="36:43" ht="20.100000000000001" customHeight="1" x14ac:dyDescent="0.25">
      <c r="AJ1044" s="140" t="s">
        <v>177</v>
      </c>
      <c r="AK1044" s="141" t="s">
        <v>144</v>
      </c>
      <c r="AL1044" s="140" t="str">
        <f>B10</f>
        <v>Área do terreno</v>
      </c>
      <c r="AM1044" s="140" t="str">
        <f>C10</f>
        <v>Área edificada</v>
      </c>
      <c r="AN1044" s="140" t="str">
        <f>D10</f>
        <v>Quartos</v>
      </c>
      <c r="AO1044" s="140" t="str">
        <f>I10</f>
        <v>Valor observado</v>
      </c>
      <c r="AP1044" s="140" t="s">
        <v>145</v>
      </c>
      <c r="AQ1044" s="140" t="s">
        <v>3</v>
      </c>
    </row>
    <row r="1045" spans="36:43" ht="20.100000000000001" customHeight="1" x14ac:dyDescent="0.25">
      <c r="AJ1045" s="141">
        <v>1</v>
      </c>
      <c r="AK1045" s="141">
        <v>1</v>
      </c>
      <c r="AL1045" s="140">
        <f>B11</f>
        <v>300</v>
      </c>
      <c r="AM1045" s="140">
        <f>C11</f>
        <v>150</v>
      </c>
      <c r="AN1045" s="140">
        <f>D11</f>
        <v>3</v>
      </c>
      <c r="AO1045" s="140">
        <f>I11</f>
        <v>715500</v>
      </c>
      <c r="AP1045" s="140" cm="1">
        <f t="array" ref="AP1045:AP1055">MMULT(AK1045:AN1055,MMULT((MINVERSE(MMULT(TRANSPOSE(AK1045:AN1055),AK1045:AN1055))),MMULT(TRANSPOSE(AK1045:AN1055),AO1045:AO1055)))</f>
        <v>715673.77369742724</v>
      </c>
      <c r="AQ1045" s="140">
        <f>AO1045-AP1045</f>
        <v>-173.77369742724113</v>
      </c>
    </row>
    <row r="1046" spans="36:43" ht="20.100000000000001" customHeight="1" x14ac:dyDescent="0.25">
      <c r="AJ1046" s="141">
        <v>2</v>
      </c>
      <c r="AK1046" s="141">
        <v>1</v>
      </c>
      <c r="AL1046" s="140">
        <f>B12</f>
        <v>330</v>
      </c>
      <c r="AM1046" s="140">
        <f>C12</f>
        <v>155</v>
      </c>
      <c r="AN1046" s="140">
        <f>D12</f>
        <v>3</v>
      </c>
      <c r="AO1046" s="140">
        <f>I12</f>
        <v>743400</v>
      </c>
      <c r="AP1046" s="140">
        <v>743130.7520602399</v>
      </c>
      <c r="AQ1046" s="140">
        <f t="shared" ref="AQ1046:AQ1055" si="122">AO1046-AP1046</f>
        <v>269.24793976009823</v>
      </c>
    </row>
    <row r="1047" spans="36:43" ht="20.100000000000001" customHeight="1" x14ac:dyDescent="0.25">
      <c r="AJ1047" s="141">
        <v>3</v>
      </c>
      <c r="AK1047" s="141">
        <v>1</v>
      </c>
      <c r="AL1047" s="140">
        <f>B13</f>
        <v>390</v>
      </c>
      <c r="AM1047" s="140">
        <f>C13</f>
        <v>180</v>
      </c>
      <c r="AN1047" s="140">
        <f>D13</f>
        <v>3</v>
      </c>
      <c r="AO1047" s="140">
        <f>I13</f>
        <v>831600</v>
      </c>
      <c r="AP1047" s="140">
        <v>831861.59021605249</v>
      </c>
      <c r="AQ1047" s="140">
        <f t="shared" si="122"/>
        <v>-261.59021605248563</v>
      </c>
    </row>
    <row r="1048" spans="36:43" ht="20.100000000000001" customHeight="1" x14ac:dyDescent="0.25">
      <c r="AJ1048" s="141">
        <v>4</v>
      </c>
      <c r="AK1048" s="141">
        <v>1</v>
      </c>
      <c r="AL1048" s="140">
        <f>B14</f>
        <v>390</v>
      </c>
      <c r="AM1048" s="140">
        <f>C14</f>
        <v>185</v>
      </c>
      <c r="AN1048" s="140">
        <f>D14</f>
        <v>3</v>
      </c>
      <c r="AO1048" s="140">
        <f>I14</f>
        <v>843300</v>
      </c>
      <c r="AP1048" s="140">
        <v>843133.88402611483</v>
      </c>
      <c r="AQ1048" s="140">
        <f t="shared" si="122"/>
        <v>166.11597388517112</v>
      </c>
    </row>
    <row r="1049" spans="36:43" ht="20.100000000000001" customHeight="1" x14ac:dyDescent="0.25">
      <c r="AJ1049" s="141">
        <v>5</v>
      </c>
      <c r="AK1049" s="141">
        <v>1</v>
      </c>
      <c r="AL1049" s="140">
        <f>B15</f>
        <v>432</v>
      </c>
      <c r="AM1049" s="140">
        <f>C15</f>
        <v>170</v>
      </c>
      <c r="AN1049" s="140">
        <f>D15</f>
        <v>4</v>
      </c>
      <c r="AO1049" s="140">
        <f>I15</f>
        <v>850500</v>
      </c>
      <c r="AP1049" s="140">
        <v>849987.00188681541</v>
      </c>
      <c r="AQ1049" s="140">
        <f t="shared" si="122"/>
        <v>512.99811318458524</v>
      </c>
    </row>
    <row r="1050" spans="36:43" ht="20.100000000000001" customHeight="1" x14ac:dyDescent="0.25">
      <c r="AJ1050" s="141">
        <v>6</v>
      </c>
      <c r="AK1050" s="141">
        <v>1</v>
      </c>
      <c r="AL1050" s="140">
        <f>B16</f>
        <v>440</v>
      </c>
      <c r="AM1050" s="140">
        <f>C16</f>
        <v>170</v>
      </c>
      <c r="AN1050" s="140">
        <f>D16</f>
        <v>4</v>
      </c>
      <c r="AO1050" s="140">
        <f>I16</f>
        <v>854100</v>
      </c>
      <c r="AP1050" s="140">
        <v>854302.91776754882</v>
      </c>
      <c r="AQ1050" s="140">
        <f t="shared" si="122"/>
        <v>-202.91776754881721</v>
      </c>
    </row>
    <row r="1051" spans="36:43" ht="20.100000000000001" customHeight="1" x14ac:dyDescent="0.25">
      <c r="AJ1051" s="141">
        <v>7</v>
      </c>
      <c r="AK1051" s="141">
        <v>1</v>
      </c>
      <c r="AL1051" s="140">
        <f>B17</f>
        <v>390</v>
      </c>
      <c r="AM1051" s="140">
        <f>C17</f>
        <v>180</v>
      </c>
      <c r="AN1051" s="140">
        <f>D17</f>
        <v>4</v>
      </c>
      <c r="AO1051" s="140">
        <f>I17</f>
        <v>849600</v>
      </c>
      <c r="AP1051" s="140">
        <v>849873.03113308991</v>
      </c>
      <c r="AQ1051" s="140">
        <f t="shared" si="122"/>
        <v>-273.03113308991306</v>
      </c>
    </row>
    <row r="1052" spans="36:43" ht="20.100000000000001" customHeight="1" x14ac:dyDescent="0.25">
      <c r="AJ1052" s="141">
        <v>8</v>
      </c>
      <c r="AK1052" s="141">
        <v>1</v>
      </c>
      <c r="AL1052" s="140">
        <f>B18</f>
        <v>362</v>
      </c>
      <c r="AM1052" s="140">
        <f>C18</f>
        <v>185</v>
      </c>
      <c r="AN1052" s="140">
        <f>D18</f>
        <v>4</v>
      </c>
      <c r="AO1052" s="140">
        <f>I18</f>
        <v>846000</v>
      </c>
      <c r="AP1052" s="140">
        <v>846039.61936058535</v>
      </c>
      <c r="AQ1052" s="140">
        <f t="shared" si="122"/>
        <v>-39.619360585347749</v>
      </c>
    </row>
    <row r="1053" spans="36:43" ht="20.100000000000001" customHeight="1" x14ac:dyDescent="0.25">
      <c r="AJ1053" s="141">
        <v>9</v>
      </c>
      <c r="AK1053" s="141">
        <v>1</v>
      </c>
      <c r="AL1053" s="140">
        <f>B19</f>
        <v>430</v>
      </c>
      <c r="AM1053" s="140">
        <f>C19</f>
        <v>180</v>
      </c>
      <c r="AN1053" s="140">
        <f>D19</f>
        <v>4</v>
      </c>
      <c r="AO1053" s="140">
        <f>I19</f>
        <v>871200</v>
      </c>
      <c r="AP1053" s="140">
        <v>871452.61053675693</v>
      </c>
      <c r="AQ1053" s="140">
        <f t="shared" si="122"/>
        <v>-252.61053675692528</v>
      </c>
    </row>
    <row r="1054" spans="36:43" ht="20.100000000000001" customHeight="1" x14ac:dyDescent="0.25">
      <c r="AJ1054" s="141">
        <v>10</v>
      </c>
      <c r="AK1054" s="141">
        <v>1</v>
      </c>
      <c r="AL1054" s="140">
        <f>B20</f>
        <v>384</v>
      </c>
      <c r="AM1054" s="140">
        <f>C20</f>
        <v>190</v>
      </c>
      <c r="AN1054" s="140">
        <f>D20</f>
        <v>4</v>
      </c>
      <c r="AO1054" s="140">
        <f>I20</f>
        <v>869400</v>
      </c>
      <c r="AP1054" s="140">
        <v>869180.68184266461</v>
      </c>
      <c r="AQ1054" s="140">
        <f t="shared" si="122"/>
        <v>219.31815733539406</v>
      </c>
    </row>
    <row r="1055" spans="36:43" ht="20.100000000000001" customHeight="1" x14ac:dyDescent="0.25">
      <c r="AJ1055" s="141">
        <v>12</v>
      </c>
      <c r="AK1055" s="141">
        <v>1</v>
      </c>
      <c r="AL1055" s="140">
        <f>B22</f>
        <v>374</v>
      </c>
      <c r="AM1055" s="140">
        <f>C22</f>
        <v>230</v>
      </c>
      <c r="AN1055" s="140">
        <f>D22</f>
        <v>4</v>
      </c>
      <c r="AO1055" s="140">
        <f>I22</f>
        <v>954000</v>
      </c>
      <c r="AP1055" s="140">
        <v>953964.13747224701</v>
      </c>
      <c r="AQ1055" s="140">
        <f t="shared" si="122"/>
        <v>35.862527752993628</v>
      </c>
    </row>
    <row r="1057" spans="36:43" ht="20.100000000000001" customHeight="1" x14ac:dyDescent="0.25">
      <c r="AL1057" s="140" t="s">
        <v>168</v>
      </c>
      <c r="AM1057" s="140">
        <f>COUNT(AK1045:AK1055)</f>
        <v>11</v>
      </c>
      <c r="AP1057" s="140" t="s">
        <v>172</v>
      </c>
      <c r="AQ1057" s="140">
        <f>SUMSQ(AQ1045:AQ1055)</f>
        <v>692372.74509873963</v>
      </c>
    </row>
    <row r="1058" spans="36:43" ht="20.100000000000001" customHeight="1" x14ac:dyDescent="0.25">
      <c r="AL1058" s="140" t="s">
        <v>169</v>
      </c>
      <c r="AM1058" s="140">
        <f>COUNTA(AL1044:AN1044)</f>
        <v>3</v>
      </c>
      <c r="AP1058" s="140" t="s">
        <v>173</v>
      </c>
      <c r="AQ1058" s="140">
        <f>AQ1057/AM1060</f>
        <v>98910.3921569628</v>
      </c>
    </row>
    <row r="1059" spans="36:43" ht="20.100000000000001" customHeight="1" x14ac:dyDescent="0.25">
      <c r="AL1059" s="140" t="s">
        <v>170</v>
      </c>
      <c r="AM1059" s="140">
        <f>AM1058+1</f>
        <v>4</v>
      </c>
    </row>
    <row r="1060" spans="36:43" ht="20.100000000000001" customHeight="1" x14ac:dyDescent="0.25">
      <c r="AL1060" s="140" t="s">
        <v>171</v>
      </c>
      <c r="AM1060" s="140">
        <f>AM1057-AM1059</f>
        <v>7</v>
      </c>
      <c r="AP1060" s="140" t="s">
        <v>174</v>
      </c>
      <c r="AQ1060" s="140">
        <f>(AQ1057/AM1060)^(1/2)</f>
        <v>314.50022600462916</v>
      </c>
    </row>
    <row r="1062" spans="36:43" ht="20.100000000000001" customHeight="1" x14ac:dyDescent="0.25">
      <c r="AP1062" s="140" t="s">
        <v>175</v>
      </c>
      <c r="AQ1062" s="183">
        <f>AQ802/AQ1060</f>
        <v>-0.25825584339115237</v>
      </c>
    </row>
    <row r="1063" spans="36:43" ht="20.100000000000001" customHeight="1" x14ac:dyDescent="0.25">
      <c r="AQ1063" s="183"/>
    </row>
    <row r="1064" spans="36:43" ht="20.100000000000001" customHeight="1" x14ac:dyDescent="0.25">
      <c r="AP1064" s="140" t="s">
        <v>176</v>
      </c>
      <c r="AQ1064" s="183">
        <f>(AQ802)/((AQ1058*(1-E260))^(1/2))</f>
        <v>-0.36358552167123076</v>
      </c>
    </row>
    <row r="1067" spans="36:43" ht="20.100000000000001" customHeight="1" x14ac:dyDescent="0.25">
      <c r="AJ1067" s="140" t="s">
        <v>177</v>
      </c>
      <c r="AK1067" s="141" t="s">
        <v>144</v>
      </c>
      <c r="AL1067" s="140" t="str">
        <f>B10</f>
        <v>Área do terreno</v>
      </c>
      <c r="AM1067" s="140" t="str">
        <f>C10</f>
        <v>Área edificada</v>
      </c>
      <c r="AN1067" s="140" t="str">
        <f>D10</f>
        <v>Quartos</v>
      </c>
      <c r="AO1067" s="140" t="str">
        <f>I10</f>
        <v>Valor observado</v>
      </c>
      <c r="AP1067" s="140" t="s">
        <v>145</v>
      </c>
      <c r="AQ1067" s="140" t="s">
        <v>3</v>
      </c>
    </row>
    <row r="1068" spans="36:43" ht="20.100000000000001" customHeight="1" x14ac:dyDescent="0.25">
      <c r="AJ1068" s="141">
        <v>1</v>
      </c>
      <c r="AK1068" s="141">
        <v>1</v>
      </c>
      <c r="AL1068" s="140">
        <f>B11</f>
        <v>300</v>
      </c>
      <c r="AM1068" s="140">
        <f>C11</f>
        <v>150</v>
      </c>
      <c r="AN1068" s="140">
        <f>D11</f>
        <v>3</v>
      </c>
      <c r="AO1068" s="140">
        <f>I11</f>
        <v>715500</v>
      </c>
      <c r="AP1068" s="140" cm="1">
        <f t="array" ref="AP1068:AP1078">MMULT(AK1068:AN1078,MMULT((MINVERSE(MMULT(TRANSPOSE(AK1068:AN1078),AK1068:AN1078))),MMULT(TRANSPOSE(AK1068:AN1078),AO1068:AO1078)))</f>
        <v>715691.58533417457</v>
      </c>
      <c r="AQ1068" s="140">
        <f>AO1068-AP1068</f>
        <v>-191.58533417456783</v>
      </c>
    </row>
    <row r="1069" spans="36:43" ht="20.100000000000001" customHeight="1" x14ac:dyDescent="0.25">
      <c r="AJ1069" s="141">
        <v>2</v>
      </c>
      <c r="AK1069" s="141">
        <v>1</v>
      </c>
      <c r="AL1069" s="140">
        <f>B12</f>
        <v>330</v>
      </c>
      <c r="AM1069" s="140">
        <f>C12</f>
        <v>155</v>
      </c>
      <c r="AN1069" s="140">
        <f>D12</f>
        <v>3</v>
      </c>
      <c r="AO1069" s="140">
        <f>I12</f>
        <v>743400</v>
      </c>
      <c r="AP1069" s="140">
        <v>743149.82347156119</v>
      </c>
      <c r="AQ1069" s="140">
        <f t="shared" ref="AQ1069:AQ1078" si="123">AO1069-AP1069</f>
        <v>250.17652843880933</v>
      </c>
    </row>
    <row r="1070" spans="36:43" ht="20.100000000000001" customHeight="1" x14ac:dyDescent="0.25">
      <c r="AJ1070" s="141">
        <v>3</v>
      </c>
      <c r="AK1070" s="141">
        <v>1</v>
      </c>
      <c r="AL1070" s="140">
        <f>B13</f>
        <v>390</v>
      </c>
      <c r="AM1070" s="140">
        <f>C13</f>
        <v>180</v>
      </c>
      <c r="AN1070" s="140">
        <f>D13</f>
        <v>3</v>
      </c>
      <c r="AO1070" s="140">
        <f>I13</f>
        <v>831600</v>
      </c>
      <c r="AP1070" s="140">
        <v>831848.86761848268</v>
      </c>
      <c r="AQ1070" s="140">
        <f t="shared" si="123"/>
        <v>-248.86761848267633</v>
      </c>
    </row>
    <row r="1071" spans="36:43" ht="20.100000000000001" customHeight="1" x14ac:dyDescent="0.25">
      <c r="AJ1071" s="141">
        <v>4</v>
      </c>
      <c r="AK1071" s="141">
        <v>1</v>
      </c>
      <c r="AL1071" s="140">
        <f>B14</f>
        <v>390</v>
      </c>
      <c r="AM1071" s="140">
        <f>C14</f>
        <v>185</v>
      </c>
      <c r="AN1071" s="140">
        <f>D14</f>
        <v>3</v>
      </c>
      <c r="AO1071" s="140">
        <f>I14</f>
        <v>843300</v>
      </c>
      <c r="AP1071" s="140">
        <v>843109.72357586538</v>
      </c>
      <c r="AQ1071" s="140">
        <f t="shared" si="123"/>
        <v>190.27642413461581</v>
      </c>
    </row>
    <row r="1072" spans="36:43" ht="20.100000000000001" customHeight="1" x14ac:dyDescent="0.25">
      <c r="AJ1072" s="141">
        <v>5</v>
      </c>
      <c r="AK1072" s="141">
        <v>1</v>
      </c>
      <c r="AL1072" s="140">
        <f>B15</f>
        <v>432</v>
      </c>
      <c r="AM1072" s="140">
        <f>C15</f>
        <v>170</v>
      </c>
      <c r="AN1072" s="140">
        <f>D15</f>
        <v>4</v>
      </c>
      <c r="AO1072" s="140">
        <f>I15</f>
        <v>850500</v>
      </c>
      <c r="AP1072" s="140">
        <v>850011.2763024352</v>
      </c>
      <c r="AQ1072" s="140">
        <f t="shared" si="123"/>
        <v>488.72369756479748</v>
      </c>
    </row>
    <row r="1073" spans="36:43" ht="20.100000000000001" customHeight="1" x14ac:dyDescent="0.25">
      <c r="AJ1073" s="141">
        <v>6</v>
      </c>
      <c r="AK1073" s="141">
        <v>1</v>
      </c>
      <c r="AL1073" s="140">
        <f>B16</f>
        <v>440</v>
      </c>
      <c r="AM1073" s="140">
        <f>C16</f>
        <v>170</v>
      </c>
      <c r="AN1073" s="140">
        <f>D16</f>
        <v>4</v>
      </c>
      <c r="AO1073" s="140">
        <f>I16</f>
        <v>854100</v>
      </c>
      <c r="AP1073" s="140">
        <v>854330.57821710291</v>
      </c>
      <c r="AQ1073" s="140">
        <f t="shared" si="123"/>
        <v>-230.57821710291319</v>
      </c>
    </row>
    <row r="1074" spans="36:43" ht="20.100000000000001" customHeight="1" x14ac:dyDescent="0.25">
      <c r="AJ1074" s="141">
        <v>7</v>
      </c>
      <c r="AK1074" s="141">
        <v>1</v>
      </c>
      <c r="AL1074" s="140">
        <f>B17</f>
        <v>390</v>
      </c>
      <c r="AM1074" s="140">
        <f>C17</f>
        <v>180</v>
      </c>
      <c r="AN1074" s="140">
        <f>D17</f>
        <v>4</v>
      </c>
      <c r="AO1074" s="140">
        <f>I17</f>
        <v>849600</v>
      </c>
      <c r="AP1074" s="140">
        <v>849856.65316519525</v>
      </c>
      <c r="AQ1074" s="140">
        <f t="shared" si="123"/>
        <v>-256.65316519525368</v>
      </c>
    </row>
    <row r="1075" spans="36:43" ht="20.100000000000001" customHeight="1" x14ac:dyDescent="0.25">
      <c r="AJ1075" s="141">
        <v>8</v>
      </c>
      <c r="AK1075" s="141">
        <v>1</v>
      </c>
      <c r="AL1075" s="140">
        <f>B18</f>
        <v>362</v>
      </c>
      <c r="AM1075" s="140">
        <f>C18</f>
        <v>185</v>
      </c>
      <c r="AN1075" s="140">
        <f>D18</f>
        <v>4</v>
      </c>
      <c r="AO1075" s="140">
        <f>I18</f>
        <v>846000</v>
      </c>
      <c r="AP1075" s="140">
        <v>845999.95242124097</v>
      </c>
      <c r="AQ1075" s="140">
        <f t="shared" si="123"/>
        <v>4.7578759025782347E-2</v>
      </c>
    </row>
    <row r="1076" spans="36:43" ht="20.100000000000001" customHeight="1" x14ac:dyDescent="0.25">
      <c r="AJ1076" s="141">
        <v>9</v>
      </c>
      <c r="AK1076" s="141">
        <v>1</v>
      </c>
      <c r="AL1076" s="140">
        <f>B19</f>
        <v>430</v>
      </c>
      <c r="AM1076" s="140">
        <f>C19</f>
        <v>180</v>
      </c>
      <c r="AN1076" s="140">
        <f>D19</f>
        <v>4</v>
      </c>
      <c r="AO1076" s="140">
        <f>I19</f>
        <v>871200</v>
      </c>
      <c r="AP1076" s="140">
        <v>871453.16273853381</v>
      </c>
      <c r="AQ1076" s="140">
        <f t="shared" si="123"/>
        <v>-253.16273853380699</v>
      </c>
    </row>
    <row r="1077" spans="36:43" ht="20.100000000000001" customHeight="1" x14ac:dyDescent="0.25">
      <c r="AJ1077" s="141">
        <v>10</v>
      </c>
      <c r="AK1077" s="141">
        <v>1</v>
      </c>
      <c r="AL1077" s="140">
        <f>B20</f>
        <v>384</v>
      </c>
      <c r="AM1077" s="140">
        <f>C20</f>
        <v>190</v>
      </c>
      <c r="AN1077" s="140">
        <f>D20</f>
        <v>4</v>
      </c>
      <c r="AO1077" s="140">
        <f>I20</f>
        <v>869400</v>
      </c>
      <c r="AP1077" s="140">
        <v>869138.88864396</v>
      </c>
      <c r="AQ1077" s="140">
        <f t="shared" si="123"/>
        <v>261.11135603999719</v>
      </c>
    </row>
    <row r="1078" spans="36:43" ht="20.100000000000001" customHeight="1" x14ac:dyDescent="0.25">
      <c r="AJ1078" s="141">
        <v>11</v>
      </c>
      <c r="AK1078" s="141">
        <v>1</v>
      </c>
      <c r="AL1078" s="140">
        <f>B21</f>
        <v>341</v>
      </c>
      <c r="AM1078" s="140">
        <f>C21</f>
        <v>230</v>
      </c>
      <c r="AN1078" s="140">
        <f>D21</f>
        <v>4</v>
      </c>
      <c r="AO1078" s="140">
        <f>I21</f>
        <v>936000</v>
      </c>
      <c r="AP1078" s="140">
        <v>936009.48851168295</v>
      </c>
      <c r="AQ1078" s="140">
        <f t="shared" si="123"/>
        <v>-9.4885116829536855</v>
      </c>
    </row>
    <row r="1080" spans="36:43" ht="20.100000000000001" customHeight="1" x14ac:dyDescent="0.25">
      <c r="AL1080" s="140" t="s">
        <v>168</v>
      </c>
      <c r="AM1080" s="140">
        <f>COUNT(AK1068:AK1078)</f>
        <v>11</v>
      </c>
      <c r="AP1080" s="140" t="s">
        <v>172</v>
      </c>
      <c r="AQ1080" s="140">
        <f>SUMSQ(AQ1068:AQ1078)</f>
        <v>687682.00528435712</v>
      </c>
    </row>
    <row r="1081" spans="36:43" ht="20.100000000000001" customHeight="1" x14ac:dyDescent="0.25">
      <c r="AL1081" s="140" t="s">
        <v>169</v>
      </c>
      <c r="AM1081" s="140">
        <f>COUNTA(AL1067:AN1067)</f>
        <v>3</v>
      </c>
      <c r="AP1081" s="140" t="s">
        <v>173</v>
      </c>
      <c r="AQ1081" s="140">
        <f>AQ1080/AM1083</f>
        <v>98240.286469193874</v>
      </c>
    </row>
    <row r="1082" spans="36:43" ht="20.100000000000001" customHeight="1" x14ac:dyDescent="0.25">
      <c r="AL1082" s="140" t="s">
        <v>170</v>
      </c>
      <c r="AM1082" s="140">
        <f>AM1081+1</f>
        <v>4</v>
      </c>
    </row>
    <row r="1083" spans="36:43" ht="20.100000000000001" customHeight="1" x14ac:dyDescent="0.25">
      <c r="AL1083" s="140" t="s">
        <v>171</v>
      </c>
      <c r="AM1083" s="140">
        <f>AM1080-AM1082</f>
        <v>7</v>
      </c>
      <c r="AP1083" s="140" t="s">
        <v>174</v>
      </c>
      <c r="AQ1083" s="140">
        <f>(AQ1080/AM1083)^(1/2)</f>
        <v>313.43306537312537</v>
      </c>
    </row>
    <row r="1085" spans="36:43" ht="20.100000000000001" customHeight="1" x14ac:dyDescent="0.25">
      <c r="AP1085" s="140" t="s">
        <v>175</v>
      </c>
      <c r="AQ1085" s="183">
        <f>AQ803/AQ1083</f>
        <v>0.32690499955416863</v>
      </c>
    </row>
    <row r="1086" spans="36:43" ht="20.100000000000001" customHeight="1" x14ac:dyDescent="0.25">
      <c r="AQ1086" s="183"/>
    </row>
    <row r="1087" spans="36:43" ht="20.100000000000001" customHeight="1" x14ac:dyDescent="0.25">
      <c r="AP1087" s="140" t="s">
        <v>176</v>
      </c>
      <c r="AQ1087" s="183">
        <f>(AQ803)/((AQ1081*(1-E261))^(1/2))</f>
        <v>0.42525728773891514</v>
      </c>
    </row>
    <row r="1090" spans="36:43" ht="20.100000000000001" customHeight="1" x14ac:dyDescent="0.25">
      <c r="AJ1090" s="140" t="s">
        <v>177</v>
      </c>
      <c r="AK1090" s="141" t="s">
        <v>144</v>
      </c>
      <c r="AL1090" s="140" t="str">
        <f>B10</f>
        <v>Área do terreno</v>
      </c>
      <c r="AM1090" s="140" t="str">
        <f>C10</f>
        <v>Área edificada</v>
      </c>
      <c r="AN1090" s="140" t="str">
        <f>D10</f>
        <v>Quartos</v>
      </c>
      <c r="AO1090" s="140" t="str">
        <f>I10</f>
        <v>Valor observado</v>
      </c>
      <c r="AP1090" s="140" t="s">
        <v>145</v>
      </c>
      <c r="AQ1090" s="140" t="s">
        <v>3</v>
      </c>
    </row>
    <row r="1091" spans="36:43" ht="20.100000000000001" customHeight="1" x14ac:dyDescent="0.25">
      <c r="AJ1091" s="141">
        <v>1</v>
      </c>
      <c r="AK1091" s="141">
        <v>1</v>
      </c>
      <c r="AL1091" s="140">
        <f>B11</f>
        <v>300</v>
      </c>
      <c r="AM1091" s="140">
        <f>C11</f>
        <v>150</v>
      </c>
      <c r="AN1091" s="140">
        <f>D11</f>
        <v>3</v>
      </c>
      <c r="AO1091" s="140">
        <f>I11</f>
        <v>715500</v>
      </c>
      <c r="AP1091" s="140" cm="1">
        <f t="array" ref="AP1091:AP1102">MMULT(AK1091:AN1102,MMULT((MINVERSE(MMULT(TRANSPOSE(AK1091:AN1102),AK1091:AN1102))),MMULT(TRANSPOSE(AK1091:AN1102),AO1091:AO1102)))</f>
        <v>715670.48233972606</v>
      </c>
      <c r="AQ1091" s="140">
        <f>AO1091-AP1091</f>
        <v>-170.48233972606249</v>
      </c>
    </row>
    <row r="1092" spans="36:43" ht="20.100000000000001" customHeight="1" x14ac:dyDescent="0.25">
      <c r="AJ1092" s="141">
        <v>2</v>
      </c>
      <c r="AK1092" s="141">
        <v>1</v>
      </c>
      <c r="AL1092" s="140">
        <f>B12</f>
        <v>330</v>
      </c>
      <c r="AM1092" s="140">
        <f>C12</f>
        <v>155</v>
      </c>
      <c r="AN1092" s="140">
        <f>D12</f>
        <v>3</v>
      </c>
      <c r="AO1092" s="140">
        <f>I12</f>
        <v>743400</v>
      </c>
      <c r="AP1092" s="140">
        <v>743134.38410627353</v>
      </c>
      <c r="AQ1092" s="140">
        <f t="shared" ref="AQ1092:AQ1102" si="124">AO1092-AP1092</f>
        <v>265.61589372646995</v>
      </c>
    </row>
    <row r="1093" spans="36:43" ht="20.100000000000001" customHeight="1" x14ac:dyDescent="0.25">
      <c r="AJ1093" s="141">
        <v>3</v>
      </c>
      <c r="AK1093" s="141">
        <v>1</v>
      </c>
      <c r="AL1093" s="140">
        <f>B13</f>
        <v>390</v>
      </c>
      <c r="AM1093" s="140">
        <f>C13</f>
        <v>180</v>
      </c>
      <c r="AN1093" s="140">
        <f>D13</f>
        <v>3</v>
      </c>
      <c r="AO1093" s="140">
        <f>I13</f>
        <v>831600</v>
      </c>
      <c r="AP1093" s="140">
        <v>831863.94118594611</v>
      </c>
      <c r="AQ1093" s="140">
        <f t="shared" si="124"/>
        <v>-263.94118594611064</v>
      </c>
    </row>
    <row r="1094" spans="36:43" ht="20.100000000000001" customHeight="1" x14ac:dyDescent="0.25">
      <c r="AJ1094" s="141">
        <v>4</v>
      </c>
      <c r="AK1094" s="141">
        <v>1</v>
      </c>
      <c r="AL1094" s="140">
        <f>B14</f>
        <v>390</v>
      </c>
      <c r="AM1094" s="140">
        <f>C14</f>
        <v>185</v>
      </c>
      <c r="AN1094" s="140">
        <f>D14</f>
        <v>3</v>
      </c>
      <c r="AO1094" s="140">
        <f>I14</f>
        <v>843300</v>
      </c>
      <c r="AP1094" s="140">
        <v>843131.19236813881</v>
      </c>
      <c r="AQ1094" s="140">
        <f t="shared" si="124"/>
        <v>168.80763186118565</v>
      </c>
    </row>
    <row r="1095" spans="36:43" ht="20.100000000000001" customHeight="1" x14ac:dyDescent="0.25">
      <c r="AJ1095" s="141">
        <v>5</v>
      </c>
      <c r="AK1095" s="141">
        <v>1</v>
      </c>
      <c r="AL1095" s="140">
        <f>B15</f>
        <v>432</v>
      </c>
      <c r="AM1095" s="140">
        <f>C15</f>
        <v>170</v>
      </c>
      <c r="AN1095" s="140">
        <f>D15</f>
        <v>4</v>
      </c>
      <c r="AO1095" s="140">
        <f>I15</f>
        <v>850500</v>
      </c>
      <c r="AP1095" s="140">
        <v>850004.04744067951</v>
      </c>
      <c r="AQ1095" s="140">
        <f t="shared" si="124"/>
        <v>495.95255932048894</v>
      </c>
    </row>
    <row r="1096" spans="36:43" ht="20.100000000000001" customHeight="1" x14ac:dyDescent="0.25">
      <c r="AJ1096" s="141">
        <v>6</v>
      </c>
      <c r="AK1096" s="141">
        <v>1</v>
      </c>
      <c r="AL1096" s="140">
        <f>B16</f>
        <v>440</v>
      </c>
      <c r="AM1096" s="140">
        <f>C16</f>
        <v>170</v>
      </c>
      <c r="AN1096" s="140">
        <f>D16</f>
        <v>4</v>
      </c>
      <c r="AO1096" s="140">
        <f>I16</f>
        <v>854100</v>
      </c>
      <c r="AP1096" s="140">
        <v>854323.15426317416</v>
      </c>
      <c r="AQ1096" s="140">
        <f t="shared" si="124"/>
        <v>-223.15426317416131</v>
      </c>
    </row>
    <row r="1097" spans="36:43" ht="20.100000000000001" customHeight="1" x14ac:dyDescent="0.25">
      <c r="AJ1097" s="141">
        <v>7</v>
      </c>
      <c r="AK1097" s="141">
        <v>1</v>
      </c>
      <c r="AL1097" s="140">
        <f>B17</f>
        <v>390</v>
      </c>
      <c r="AM1097" s="140">
        <f>C17</f>
        <v>180</v>
      </c>
      <c r="AN1097" s="140">
        <f>D17</f>
        <v>4</v>
      </c>
      <c r="AO1097" s="140">
        <f>I17</f>
        <v>849600</v>
      </c>
      <c r="AP1097" s="140">
        <v>849863.2389869676</v>
      </c>
      <c r="AQ1097" s="140">
        <f t="shared" si="124"/>
        <v>-263.23898696759716</v>
      </c>
    </row>
    <row r="1098" spans="36:43" ht="20.100000000000001" customHeight="1" x14ac:dyDescent="0.25">
      <c r="AJ1098" s="141">
        <v>8</v>
      </c>
      <c r="AK1098" s="141">
        <v>1</v>
      </c>
      <c r="AL1098" s="140">
        <f>B18</f>
        <v>362</v>
      </c>
      <c r="AM1098" s="140">
        <f>C18</f>
        <v>185</v>
      </c>
      <c r="AN1098" s="140">
        <f>D18</f>
        <v>4</v>
      </c>
      <c r="AO1098" s="140">
        <f>I18</f>
        <v>846000</v>
      </c>
      <c r="AP1098" s="140">
        <v>846013.61629042891</v>
      </c>
      <c r="AQ1098" s="140">
        <f t="shared" si="124"/>
        <v>-13.616290428908542</v>
      </c>
    </row>
    <row r="1099" spans="36:43" ht="20.100000000000001" customHeight="1" x14ac:dyDescent="0.25">
      <c r="AJ1099" s="141">
        <v>9</v>
      </c>
      <c r="AK1099" s="141">
        <v>1</v>
      </c>
      <c r="AL1099" s="140">
        <f>B19</f>
        <v>430</v>
      </c>
      <c r="AM1099" s="140">
        <f>C19</f>
        <v>180</v>
      </c>
      <c r="AN1099" s="140">
        <f>D19</f>
        <v>4</v>
      </c>
      <c r="AO1099" s="140">
        <f>I19</f>
        <v>871200</v>
      </c>
      <c r="AP1099" s="140">
        <v>871458.77309944085</v>
      </c>
      <c r="AQ1099" s="140">
        <f t="shared" si="124"/>
        <v>-258.77309944084845</v>
      </c>
    </row>
    <row r="1100" spans="36:43" ht="20.100000000000001" customHeight="1" x14ac:dyDescent="0.25">
      <c r="AJ1100" s="141">
        <v>10</v>
      </c>
      <c r="AK1100" s="141">
        <v>1</v>
      </c>
      <c r="AL1100" s="140">
        <f>B20</f>
        <v>384</v>
      </c>
      <c r="AM1100" s="140">
        <f>C20</f>
        <v>190</v>
      </c>
      <c r="AN1100" s="140">
        <f>D20</f>
        <v>4</v>
      </c>
      <c r="AO1100" s="140">
        <f>I20</f>
        <v>869400</v>
      </c>
      <c r="AP1100" s="140">
        <v>869158.41123448173</v>
      </c>
      <c r="AQ1100" s="140">
        <f t="shared" si="124"/>
        <v>241.58876551827416</v>
      </c>
    </row>
    <row r="1101" spans="36:43" ht="20.100000000000001" customHeight="1" x14ac:dyDescent="0.25">
      <c r="AJ1101" s="141">
        <v>11</v>
      </c>
      <c r="AK1101" s="141">
        <v>1</v>
      </c>
      <c r="AL1101" s="140">
        <f>B21</f>
        <v>341</v>
      </c>
      <c r="AM1101" s="140">
        <f>C21</f>
        <v>230</v>
      </c>
      <c r="AN1101" s="140">
        <f>D21</f>
        <v>4</v>
      </c>
      <c r="AO1101" s="140">
        <f>I21</f>
        <v>936000</v>
      </c>
      <c r="AP1101" s="140">
        <v>936081.22152111353</v>
      </c>
      <c r="AQ1101" s="140">
        <f t="shared" si="124"/>
        <v>-81.221521113533527</v>
      </c>
    </row>
    <row r="1102" spans="36:43" ht="20.100000000000001" customHeight="1" x14ac:dyDescent="0.25">
      <c r="AJ1102" s="141">
        <v>12</v>
      </c>
      <c r="AK1102" s="141">
        <v>1</v>
      </c>
      <c r="AL1102" s="140">
        <f>B22</f>
        <v>374</v>
      </c>
      <c r="AM1102" s="140">
        <f>C22</f>
        <v>230</v>
      </c>
      <c r="AN1102" s="140">
        <f>D22</f>
        <v>4</v>
      </c>
      <c r="AO1102" s="140">
        <f>I22</f>
        <v>954000</v>
      </c>
      <c r="AP1102" s="140">
        <v>953897.53716390394</v>
      </c>
      <c r="AQ1102" s="140">
        <f t="shared" si="124"/>
        <v>102.46283609606326</v>
      </c>
    </row>
  </sheetData>
  <sheetProtection algorithmName="SHA-512" hashValue="8sbPjaMPhkb9Ok/N+KvUop6PrQ1tbyYdMJTfrBkRlyoQ0kN1YWsDgkdbvBed4ppr8jgvi6UQeYNzuzIOB9DVlQ==" saltValue="flNYtNrbQio7V7euUNW92w==" spinCount="100000" sheet="1" objects="1" scenarios="1" sort="0"/>
  <autoFilter ref="B10:K22" xr:uid="{18CA3339-6272-475F-A9BE-AC367CACDF3B}">
    <sortState xmlns:xlrd2="http://schemas.microsoft.com/office/spreadsheetml/2017/richdata2" ref="B11:K22">
      <sortCondition ref="K10:K22"/>
    </sortState>
  </autoFilter>
  <mergeCells count="185">
    <mergeCell ref="A301:D301"/>
    <mergeCell ref="E301:F301"/>
    <mergeCell ref="A320:D320"/>
    <mergeCell ref="A352:D352"/>
    <mergeCell ref="A385:D385"/>
    <mergeCell ref="A439:D439"/>
    <mergeCell ref="A474:D474"/>
    <mergeCell ref="A488:D488"/>
    <mergeCell ref="A498:D498"/>
    <mergeCell ref="J249:J258"/>
    <mergeCell ref="A44:C44"/>
    <mergeCell ref="D44:E44"/>
    <mergeCell ref="A56:C56"/>
    <mergeCell ref="D56:E56"/>
    <mergeCell ref="A69:C69"/>
    <mergeCell ref="D69:E69"/>
    <mergeCell ref="A147:D147"/>
    <mergeCell ref="A162:D162"/>
    <mergeCell ref="E162:F162"/>
    <mergeCell ref="A217:D217"/>
    <mergeCell ref="E217:F217"/>
    <mergeCell ref="A219:D219"/>
    <mergeCell ref="E219:F219"/>
    <mergeCell ref="A247:D247"/>
    <mergeCell ref="E247:F247"/>
    <mergeCell ref="A490:B490"/>
    <mergeCell ref="A491:B491"/>
    <mergeCell ref="A523:I523"/>
    <mergeCell ref="A387:I389"/>
    <mergeCell ref="A495:B495"/>
    <mergeCell ref="A381:I381"/>
    <mergeCell ref="A322:J325"/>
    <mergeCell ref="A434:I436"/>
    <mergeCell ref="A410:B410"/>
    <mergeCell ref="A441:E441"/>
    <mergeCell ref="A442:E442"/>
    <mergeCell ref="A443:E443"/>
    <mergeCell ref="A382:I382"/>
    <mergeCell ref="A376:I376"/>
    <mergeCell ref="A354:I354"/>
    <mergeCell ref="A375:I375"/>
    <mergeCell ref="D502:D503"/>
    <mergeCell ref="E502:E503"/>
    <mergeCell ref="A500:B501"/>
    <mergeCell ref="A502:B503"/>
    <mergeCell ref="C500:E500"/>
    <mergeCell ref="C502:C503"/>
    <mergeCell ref="A89:B89"/>
    <mergeCell ref="O26:O27"/>
    <mergeCell ref="A107:B107"/>
    <mergeCell ref="P28:P29"/>
    <mergeCell ref="L26:N27"/>
    <mergeCell ref="L28:M29"/>
    <mergeCell ref="L30:M31"/>
    <mergeCell ref="L32:M33"/>
    <mergeCell ref="A58:B58"/>
    <mergeCell ref="A59:B59"/>
    <mergeCell ref="A60:B60"/>
    <mergeCell ref="A78:B78"/>
    <mergeCell ref="A79:B79"/>
    <mergeCell ref="A80:B80"/>
    <mergeCell ref="A102:B102"/>
    <mergeCell ref="A91:B91"/>
    <mergeCell ref="A92:B92"/>
    <mergeCell ref="A93:B93"/>
    <mergeCell ref="A100:B100"/>
    <mergeCell ref="A101:B101"/>
    <mergeCell ref="A95:B95"/>
    <mergeCell ref="JT579:JY579"/>
    <mergeCell ref="JG579:JL579"/>
    <mergeCell ref="D539:E539"/>
    <mergeCell ref="ID579:II579"/>
    <mergeCell ref="IT579:IY579"/>
    <mergeCell ref="A549:I549"/>
    <mergeCell ref="A550:I550"/>
    <mergeCell ref="A556:I556"/>
    <mergeCell ref="A545:F545"/>
    <mergeCell ref="A551:I551"/>
    <mergeCell ref="A554:I554"/>
    <mergeCell ref="A555:I555"/>
    <mergeCell ref="A558:I558"/>
    <mergeCell ref="A552:I552"/>
    <mergeCell ref="A539:B539"/>
    <mergeCell ref="A540:B540"/>
    <mergeCell ref="A541:B541"/>
    <mergeCell ref="A543:B543"/>
    <mergeCell ref="A548:I548"/>
    <mergeCell ref="A553:I553"/>
    <mergeCell ref="R19:S19"/>
    <mergeCell ref="Q9:Q10"/>
    <mergeCell ref="O15:P15"/>
    <mergeCell ref="O11:P11"/>
    <mergeCell ref="O12:P12"/>
    <mergeCell ref="O14:P14"/>
    <mergeCell ref="O16:P16"/>
    <mergeCell ref="P34:P35"/>
    <mergeCell ref="O19:P19"/>
    <mergeCell ref="O20:P20"/>
    <mergeCell ref="R20:S20"/>
    <mergeCell ref="O21:P21"/>
    <mergeCell ref="O22:P22"/>
    <mergeCell ref="R21:S21"/>
    <mergeCell ref="R22:S22"/>
    <mergeCell ref="O32:O33"/>
    <mergeCell ref="P32:P33"/>
    <mergeCell ref="O34:O35"/>
    <mergeCell ref="P26:P27"/>
    <mergeCell ref="W10:X10"/>
    <mergeCell ref="R11:S11"/>
    <mergeCell ref="R12:S12"/>
    <mergeCell ref="R13:S13"/>
    <mergeCell ref="R14:S14"/>
    <mergeCell ref="R15:S15"/>
    <mergeCell ref="R16:S16"/>
    <mergeCell ref="R17:S17"/>
    <mergeCell ref="R18:S18"/>
    <mergeCell ref="L34:N35"/>
    <mergeCell ref="A7:J7"/>
    <mergeCell ref="A5:J5"/>
    <mergeCell ref="B143:C143"/>
    <mergeCell ref="B144:C144"/>
    <mergeCell ref="A150:B150"/>
    <mergeCell ref="A152:B152"/>
    <mergeCell ref="A153:B153"/>
    <mergeCell ref="E91:F91"/>
    <mergeCell ref="F33:H33"/>
    <mergeCell ref="A121:B121"/>
    <mergeCell ref="A122:B122"/>
    <mergeCell ref="A123:B123"/>
    <mergeCell ref="A124:B124"/>
    <mergeCell ref="A129:B129"/>
    <mergeCell ref="A52:I53"/>
    <mergeCell ref="B138:E138"/>
    <mergeCell ref="A140:E140"/>
    <mergeCell ref="A115:C115"/>
    <mergeCell ref="B142:C142"/>
    <mergeCell ref="B8:D8"/>
    <mergeCell ref="A85:J86"/>
    <mergeCell ref="A33:C33"/>
    <mergeCell ref="A151:B151"/>
    <mergeCell ref="L9:L10"/>
    <mergeCell ref="M9:M10"/>
    <mergeCell ref="L24:P24"/>
    <mergeCell ref="L25:N25"/>
    <mergeCell ref="O30:O31"/>
    <mergeCell ref="P30:P31"/>
    <mergeCell ref="O18:P18"/>
    <mergeCell ref="O28:O29"/>
    <mergeCell ref="N9:N10"/>
    <mergeCell ref="O17:P17"/>
    <mergeCell ref="O13:P13"/>
    <mergeCell ref="O9:P10"/>
    <mergeCell ref="A96:B96"/>
    <mergeCell ref="A97:B97"/>
    <mergeCell ref="A98:B98"/>
    <mergeCell ref="B463:E463"/>
    <mergeCell ref="B126:C126"/>
    <mergeCell ref="A117:B117"/>
    <mergeCell ref="A118:B118"/>
    <mergeCell ref="A119:B119"/>
    <mergeCell ref="A120:B120"/>
    <mergeCell ref="A178:C178"/>
    <mergeCell ref="A149:B149"/>
    <mergeCell ref="A195:C195"/>
    <mergeCell ref="A212:C212"/>
    <mergeCell ref="E156:F156"/>
    <mergeCell ref="E157:F157"/>
    <mergeCell ref="A214:H214"/>
    <mergeCell ref="E158:F158"/>
    <mergeCell ref="E159:F159"/>
    <mergeCell ref="A104:B104"/>
    <mergeCell ref="F8:I8"/>
    <mergeCell ref="A505:B505"/>
    <mergeCell ref="D505:E505"/>
    <mergeCell ref="A296:J297"/>
    <mergeCell ref="A299:I299"/>
    <mergeCell ref="A349:F349"/>
    <mergeCell ref="A221:I225"/>
    <mergeCell ref="A317:I317"/>
    <mergeCell ref="A298:I298"/>
    <mergeCell ref="A524:I526"/>
    <mergeCell ref="A533:C533"/>
    <mergeCell ref="A535:B535"/>
    <mergeCell ref="A538:B538"/>
    <mergeCell ref="A557:I557"/>
  </mergeCells>
  <conditionalFormatting sqref="G544:K544">
    <cfRule type="containsText" dxfId="21" priority="77" operator="containsText" text="Ponto atípico">
      <formula>NOT(ISERROR(SEARCH("Ponto atípico",G544)))</formula>
    </cfRule>
  </conditionalFormatting>
  <conditionalFormatting sqref="B378">
    <cfRule type="cellIs" dxfId="20" priority="51" operator="lessThan">
      <formula>0.1</formula>
    </cfRule>
  </conditionalFormatting>
  <conditionalFormatting sqref="B6:E6">
    <cfRule type="cellIs" dxfId="19" priority="33" operator="greaterThan">
      <formula>0.3</formula>
    </cfRule>
  </conditionalFormatting>
  <conditionalFormatting sqref="C541 D580">
    <cfRule type="cellIs" dxfId="18" priority="89" operator="greaterThan">
      <formula>0.01</formula>
    </cfRule>
  </conditionalFormatting>
  <conditionalFormatting sqref="C472:E472 C495:E495">
    <cfRule type="containsText" dxfId="17" priority="81" operator="containsText" text="Inadmissível">
      <formula>NOT(ISERROR(SEARCH("Inadmissível",C472)))</formula>
    </cfRule>
  </conditionalFormatting>
  <conditionalFormatting sqref="D601">
    <cfRule type="cellIs" dxfId="16" priority="6" operator="greaterThan">
      <formula>0.01</formula>
    </cfRule>
  </conditionalFormatting>
  <conditionalFormatting sqref="D622">
    <cfRule type="cellIs" dxfId="15" priority="4" operator="greaterThan">
      <formula>0.01</formula>
    </cfRule>
  </conditionalFormatting>
  <conditionalFormatting sqref="D643">
    <cfRule type="cellIs" dxfId="14" priority="2" operator="greaterThan">
      <formula>0.01</formula>
    </cfRule>
  </conditionalFormatting>
  <conditionalFormatting sqref="E132:E135">
    <cfRule type="cellIs" dxfId="13" priority="102" operator="greaterThan">
      <formula>0.3</formula>
    </cfRule>
  </conditionalFormatting>
  <conditionalFormatting sqref="E578:F578">
    <cfRule type="containsText" dxfId="12" priority="7" operator="containsText" text="Reduzir o número de casas decimais">
      <formula>NOT(ISERROR(SEARCH("Reduzir o número de casas decimais",E578)))</formula>
    </cfRule>
  </conditionalFormatting>
  <conditionalFormatting sqref="E599:F599">
    <cfRule type="containsText" dxfId="11" priority="5" operator="containsText" text="Reduzir o número de casas decimais">
      <formula>NOT(ISERROR(SEARCH("Reduzir o número de casas decimais",E599)))</formula>
    </cfRule>
  </conditionalFormatting>
  <conditionalFormatting sqref="E620:F620">
    <cfRule type="containsText" dxfId="10" priority="3" operator="containsText" text="Reduzir o número de casas decimais">
      <formula>NOT(ISERROR(SEARCH("Reduzir o número de casas decimais",E620)))</formula>
    </cfRule>
  </conditionalFormatting>
  <conditionalFormatting sqref="E641:F641">
    <cfRule type="containsText" dxfId="9" priority="1" operator="containsText" text="Reduzir o número de casas decimais">
      <formula>NOT(ISERROR(SEARCH("Reduzir o número de casas decimais",E641)))</formula>
    </cfRule>
  </conditionalFormatting>
  <conditionalFormatting sqref="H6">
    <cfRule type="cellIs" dxfId="8" priority="32" operator="greaterThan">
      <formula>0.05</formula>
    </cfRule>
  </conditionalFormatting>
  <conditionalFormatting sqref="K536 D539">
    <cfRule type="containsText" dxfId="7" priority="82" operator="containsText" text="Reduzir o número de casas decimais">
      <formula>NOT(ISERROR(SEARCH("Reduzir o número de casas decimais",D536)))</formula>
    </cfRule>
  </conditionalFormatting>
  <conditionalFormatting sqref="M11:M22">
    <cfRule type="cellIs" dxfId="6" priority="54" operator="notBetween">
      <formula>-2</formula>
      <formula>2</formula>
    </cfRule>
  </conditionalFormatting>
  <conditionalFormatting sqref="N11:N22">
    <cfRule type="cellIs" dxfId="5" priority="52" operator="greaterThan">
      <formula>1</formula>
    </cfRule>
  </conditionalFormatting>
  <conditionalFormatting sqref="O11:O22">
    <cfRule type="containsText" dxfId="4" priority="72" operator="containsText" text="Esse é o elemento com maior influência sobre os resultados da regressão">
      <formula>NOT(ISERROR(SEARCH("Esse é o elemento com maior influência sobre os resultados da regressão",O11)))</formula>
    </cfRule>
  </conditionalFormatting>
  <conditionalFormatting sqref="O26 C118">
    <cfRule type="cellIs" dxfId="3" priority="92" operator="greaterThan">
      <formula>0.05</formula>
    </cfRule>
  </conditionalFormatting>
  <conditionalFormatting sqref="Q11:Q22">
    <cfRule type="cellIs" dxfId="2" priority="50" operator="greaterThan">
      <formula>$S$10</formula>
    </cfRule>
  </conditionalFormatting>
  <conditionalFormatting sqref="R11:S22">
    <cfRule type="cellIs" dxfId="1" priority="49" operator="equal">
      <formula>"O elemento ultrapassou o valor crítico"</formula>
    </cfRule>
  </conditionalFormatting>
  <conditionalFormatting sqref="AH771">
    <cfRule type="containsText" dxfId="0" priority="75" operator="containsText" text="Ponto influenciante">
      <formula>NOT(ISERROR(SEARCH("Ponto influenciante",AH771)))</formula>
    </cfRule>
  </conditionalFormatting>
  <dataValidations count="1">
    <dataValidation type="list" allowBlank="1" showInputMessage="1" showErrorMessage="1" sqref="G11:G22" xr:uid="{172F80DB-8013-48CB-95D6-6A876BCF5DDB}">
      <formula1>$W$12:$W$13</formula1>
    </dataValidation>
  </dataValidations>
  <pageMargins left="0.511811024" right="0.511811024" top="0.78740157499999996" bottom="0.78740157499999996" header="0.31496062000000002" footer="0.31496062000000002"/>
  <pageSetup paperSize="9" scale="41" fitToHeight="0" orientation="portrait" r:id="rId1"/>
  <headerFooter>
    <oddHeader>&amp;C
&amp;G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BB5B3-0181-4914-8B26-38F179CA10FC}">
  <sheetPr>
    <pageSetUpPr fitToPage="1"/>
  </sheetPr>
  <dimension ref="A1:EY22"/>
  <sheetViews>
    <sheetView zoomScaleNormal="100" workbookViewId="0">
      <selection activeCell="B14" sqref="B14:C14"/>
    </sheetView>
  </sheetViews>
  <sheetFormatPr defaultColWidth="15.625" defaultRowHeight="20.100000000000001" customHeight="1" x14ac:dyDescent="0.25"/>
  <cols>
    <col min="1" max="8" width="25.625" style="5" customWidth="1"/>
    <col min="9" max="9" width="10.625" style="1" customWidth="1"/>
    <col min="10" max="12" width="25.625" style="1" customWidth="1"/>
    <col min="13" max="14" width="30.625" style="1" customWidth="1"/>
    <col min="15" max="16" width="25.625" style="1" customWidth="1"/>
    <col min="17" max="18" width="30.625" style="1" customWidth="1"/>
    <col min="19" max="22" width="25.625" style="1" customWidth="1"/>
    <col min="23" max="34" width="15.625" style="1"/>
    <col min="35" max="35" width="15.625" style="12"/>
    <col min="36" max="36" width="15.625" style="1"/>
    <col min="37" max="37" width="16.375" style="1" bestFit="1" customWidth="1"/>
    <col min="38" max="38" width="15.75" style="1" bestFit="1" customWidth="1"/>
    <col min="39" max="63" width="15.625" style="1"/>
    <col min="64" max="64" width="17.5" style="1" bestFit="1" customWidth="1"/>
    <col min="65" max="65" width="24.75" style="1" customWidth="1"/>
    <col min="66" max="131" width="15.625" style="1"/>
    <col min="132" max="132" width="15.625" style="10"/>
    <col min="133" max="133" width="15.625" style="1"/>
    <col min="134" max="140" width="15.625" style="11"/>
    <col min="141" max="141" width="15.625" style="1"/>
    <col min="142" max="142" width="15.625" style="10"/>
    <col min="143" max="148" width="15.625" style="1"/>
    <col min="149" max="155" width="15.625" style="11"/>
    <col min="156" max="16384" width="15.625" style="1"/>
  </cols>
  <sheetData>
    <row r="1" spans="1:8" ht="140.1" customHeight="1" x14ac:dyDescent="0.25">
      <c r="A1" s="20"/>
      <c r="B1" s="20"/>
      <c r="C1" s="20"/>
      <c r="D1" s="20"/>
      <c r="E1" s="20"/>
      <c r="F1" s="20"/>
      <c r="G1" s="20"/>
      <c r="H1" s="20"/>
    </row>
    <row r="2" spans="1:8" ht="5.0999999999999996" customHeight="1" x14ac:dyDescent="0.25"/>
    <row r="3" spans="1:8" ht="5.0999999999999996" customHeight="1" x14ac:dyDescent="0.25">
      <c r="A3" s="20"/>
      <c r="B3" s="20"/>
      <c r="C3" s="20"/>
      <c r="D3" s="20"/>
      <c r="E3" s="20"/>
      <c r="F3" s="20"/>
      <c r="G3" s="20"/>
      <c r="H3" s="20"/>
    </row>
    <row r="5" spans="1:8" ht="20.100000000000001" customHeight="1" x14ac:dyDescent="0.25">
      <c r="A5" s="30" t="s">
        <v>17</v>
      </c>
      <c r="B5" s="30"/>
      <c r="C5" s="30"/>
      <c r="D5" s="30"/>
      <c r="E5" s="30"/>
      <c r="F5" s="30"/>
      <c r="G5" s="30"/>
      <c r="H5" s="30"/>
    </row>
    <row r="6" spans="1:8" ht="20.100000000000001" customHeight="1" x14ac:dyDescent="0.25">
      <c r="A6" s="9"/>
      <c r="B6" s="10"/>
      <c r="C6" s="14"/>
      <c r="D6" s="14"/>
      <c r="E6" s="10"/>
    </row>
    <row r="7" spans="1:8" ht="39.950000000000003" customHeight="1" x14ac:dyDescent="0.25">
      <c r="A7" s="18" t="s">
        <v>0</v>
      </c>
      <c r="B7" s="18" t="s">
        <v>118</v>
      </c>
      <c r="C7" s="18"/>
      <c r="D7" s="23" t="s">
        <v>180</v>
      </c>
      <c r="E7" s="23"/>
      <c r="F7" s="23"/>
      <c r="G7" s="18" t="s">
        <v>181</v>
      </c>
      <c r="H7" s="18" t="s">
        <v>179</v>
      </c>
    </row>
    <row r="8" spans="1:8" ht="20.100000000000001" customHeight="1" x14ac:dyDescent="0.25">
      <c r="A8" s="8">
        <v>1</v>
      </c>
      <c r="B8" s="24" t="s">
        <v>123</v>
      </c>
      <c r="C8" s="24"/>
      <c r="D8" s="26"/>
      <c r="E8" s="26"/>
      <c r="F8" s="26"/>
      <c r="G8" s="6"/>
      <c r="H8" s="6"/>
    </row>
    <row r="9" spans="1:8" ht="20.100000000000001" customHeight="1" x14ac:dyDescent="0.25">
      <c r="A9" s="7">
        <v>2</v>
      </c>
      <c r="B9" s="25" t="s">
        <v>123</v>
      </c>
      <c r="C9" s="25"/>
      <c r="D9" s="27"/>
      <c r="E9" s="27"/>
      <c r="F9" s="27"/>
      <c r="G9" s="2"/>
      <c r="H9" s="2"/>
    </row>
    <row r="10" spans="1:8" ht="20.100000000000001" customHeight="1" x14ac:dyDescent="0.25">
      <c r="A10" s="7">
        <v>3</v>
      </c>
      <c r="B10" s="25" t="s">
        <v>123</v>
      </c>
      <c r="C10" s="25"/>
      <c r="D10" s="27"/>
      <c r="E10" s="27"/>
      <c r="F10" s="27"/>
      <c r="G10" s="2"/>
      <c r="H10" s="2"/>
    </row>
    <row r="11" spans="1:8" ht="20.100000000000001" customHeight="1" x14ac:dyDescent="0.25">
      <c r="A11" s="7">
        <v>4</v>
      </c>
      <c r="B11" s="25" t="s">
        <v>123</v>
      </c>
      <c r="C11" s="25"/>
      <c r="D11" s="27"/>
      <c r="E11" s="27"/>
      <c r="F11" s="27"/>
      <c r="G11" s="2"/>
      <c r="H11" s="2"/>
    </row>
    <row r="12" spans="1:8" ht="20.100000000000001" customHeight="1" x14ac:dyDescent="0.25">
      <c r="A12" s="7">
        <v>5</v>
      </c>
      <c r="B12" s="25" t="s">
        <v>123</v>
      </c>
      <c r="C12" s="25"/>
      <c r="D12" s="27"/>
      <c r="E12" s="27"/>
      <c r="F12" s="27"/>
      <c r="G12" s="2"/>
      <c r="H12" s="2"/>
    </row>
    <row r="13" spans="1:8" ht="20.100000000000001" customHeight="1" x14ac:dyDescent="0.25">
      <c r="A13" s="7">
        <v>6</v>
      </c>
      <c r="B13" s="25" t="s">
        <v>123</v>
      </c>
      <c r="C13" s="25"/>
      <c r="D13" s="27"/>
      <c r="E13" s="27"/>
      <c r="F13" s="27"/>
      <c r="G13" s="2"/>
      <c r="H13" s="2"/>
    </row>
    <row r="14" spans="1:8" ht="20.100000000000001" customHeight="1" x14ac:dyDescent="0.25">
      <c r="A14" s="7">
        <v>7</v>
      </c>
      <c r="B14" s="25" t="s">
        <v>123</v>
      </c>
      <c r="C14" s="25"/>
      <c r="D14" s="27"/>
      <c r="E14" s="27"/>
      <c r="F14" s="27"/>
      <c r="G14" s="2"/>
      <c r="H14" s="2"/>
    </row>
    <row r="15" spans="1:8" ht="20.100000000000001" customHeight="1" x14ac:dyDescent="0.25">
      <c r="A15" s="7">
        <v>8</v>
      </c>
      <c r="B15" s="25" t="s">
        <v>123</v>
      </c>
      <c r="C15" s="25"/>
      <c r="D15" s="27"/>
      <c r="E15" s="27"/>
      <c r="F15" s="27"/>
      <c r="G15" s="2"/>
      <c r="H15" s="2"/>
    </row>
    <row r="16" spans="1:8" ht="20.100000000000001" customHeight="1" x14ac:dyDescent="0.25">
      <c r="A16" s="7">
        <v>9</v>
      </c>
      <c r="B16" s="25" t="s">
        <v>123</v>
      </c>
      <c r="C16" s="25"/>
      <c r="D16" s="27"/>
      <c r="E16" s="27"/>
      <c r="F16" s="27"/>
      <c r="G16" s="2"/>
      <c r="H16" s="2"/>
    </row>
    <row r="17" spans="1:41" ht="20.100000000000001" customHeight="1" x14ac:dyDescent="0.25">
      <c r="A17" s="7">
        <v>10</v>
      </c>
      <c r="B17" s="25" t="s">
        <v>123</v>
      </c>
      <c r="C17" s="25"/>
      <c r="D17" s="27"/>
      <c r="E17" s="27"/>
      <c r="F17" s="27"/>
      <c r="G17" s="2"/>
      <c r="H17" s="2"/>
    </row>
    <row r="18" spans="1:41" ht="20.100000000000001" customHeight="1" x14ac:dyDescent="0.25">
      <c r="A18" s="7">
        <v>11</v>
      </c>
      <c r="B18" s="25" t="s">
        <v>123</v>
      </c>
      <c r="C18" s="25"/>
      <c r="D18" s="27"/>
      <c r="E18" s="27"/>
      <c r="F18" s="27"/>
      <c r="G18" s="2"/>
      <c r="H18" s="2"/>
    </row>
    <row r="19" spans="1:41" ht="20.100000000000001" customHeight="1" x14ac:dyDescent="0.25">
      <c r="A19" s="7">
        <v>12</v>
      </c>
      <c r="B19" s="25" t="s">
        <v>123</v>
      </c>
      <c r="C19" s="25"/>
      <c r="D19" s="27"/>
      <c r="E19" s="27"/>
      <c r="F19" s="27"/>
      <c r="G19" s="2"/>
      <c r="H19" s="2"/>
    </row>
    <row r="20" spans="1:41" ht="20.100000000000001" customHeight="1" x14ac:dyDescent="0.25">
      <c r="A20" s="9"/>
      <c r="B20" s="10"/>
      <c r="C20" s="14"/>
      <c r="D20" s="14"/>
      <c r="E20" s="10"/>
    </row>
    <row r="21" spans="1:41" ht="20.100000000000001" customHeight="1" x14ac:dyDescent="0.25">
      <c r="AO21" s="13"/>
    </row>
    <row r="22" spans="1:41" ht="20.100000000000001" customHeight="1" x14ac:dyDescent="0.25">
      <c r="AO22" s="13"/>
    </row>
  </sheetData>
  <mergeCells count="26">
    <mergeCell ref="A5:H5"/>
    <mergeCell ref="B8:C8"/>
    <mergeCell ref="B9:C9"/>
    <mergeCell ref="B11:C11"/>
    <mergeCell ref="B12:C12"/>
    <mergeCell ref="B10:C10"/>
    <mergeCell ref="D7:F7"/>
    <mergeCell ref="D8:F8"/>
    <mergeCell ref="D9:F9"/>
    <mergeCell ref="D10:F10"/>
    <mergeCell ref="B13:C13"/>
    <mergeCell ref="D11:F11"/>
    <mergeCell ref="D12:F12"/>
    <mergeCell ref="D13:F13"/>
    <mergeCell ref="B14:C14"/>
    <mergeCell ref="B15:C15"/>
    <mergeCell ref="B16:C16"/>
    <mergeCell ref="D14:F14"/>
    <mergeCell ref="D15:F15"/>
    <mergeCell ref="D16:F16"/>
    <mergeCell ref="B17:C17"/>
    <mergeCell ref="B18:C18"/>
    <mergeCell ref="B19:C19"/>
    <mergeCell ref="D17:F17"/>
    <mergeCell ref="D18:F18"/>
    <mergeCell ref="D19:F19"/>
  </mergeCells>
  <pageMargins left="0.511811024" right="0.511811024" top="0.78740157499999996" bottom="0.78740157499999996" header="0.31496062000000002" footer="0.31496062000000002"/>
  <pageSetup paperSize="9" scale="41" fitToHeight="0" orientation="portrait" r:id="rId1"/>
  <headerFooter>
    <oddHeader>&amp;C
&amp;G</oddHead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vt:i4>
      </vt:variant>
      <vt:variant>
        <vt:lpstr>Intervalos Nomeados</vt:lpstr>
      </vt:variant>
      <vt:variant>
        <vt:i4>3</vt:i4>
      </vt:variant>
    </vt:vector>
  </HeadingPairs>
  <TitlesOfParts>
    <vt:vector size="5" baseType="lpstr">
      <vt:lpstr>RESULTADOS DA REGRESSÃO</vt:lpstr>
      <vt:lpstr>AMOSTRA</vt:lpstr>
      <vt:lpstr>AP</vt:lpstr>
      <vt:lpstr>AMOSTRA!Area_de_impressao</vt:lpstr>
      <vt:lpstr>'RESULTADOS DA REGRESSÃO'!Area_de_impressao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Avaliação de terreno e benfeitorias por modelo de regressão linear múltipla</dc:title>
  <dc:creator>Samuel Jesus de Oliveira</dc:creator>
  <cp:keywords>Regressão linear múltipla</cp:keywords>
  <cp:lastModifiedBy>Samuel Jesus de Oliveira</cp:lastModifiedBy>
  <cp:lastPrinted>2024-08-09T15:58:14Z</cp:lastPrinted>
  <dcterms:created xsi:type="dcterms:W3CDTF">2024-06-07T15:06:55Z</dcterms:created>
  <dcterms:modified xsi:type="dcterms:W3CDTF">2025-09-04T16:21:10Z</dcterms:modified>
  <cp:category>Regressão linear múltipla</cp:category>
</cp:coreProperties>
</file>