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Ex1.xml" ContentType="application/vnd.ms-office.chartex+xml"/>
  <Override PartName="/xl/charts/style2.xml" ContentType="application/vnd.ms-office.chartstyle+xml"/>
  <Override PartName="/xl/charts/colors2.xml" ContentType="application/vnd.ms-office.chartcolorstyle+xml"/>
  <Override PartName="/xl/charts/chart2.xml" ContentType="application/vnd.openxmlformats-officedocument.drawingml.chart+xml"/>
  <Override PartName="/xl/charts/style3.xml" ContentType="application/vnd.ms-office.chartstyle+xml"/>
  <Override PartName="/xl/charts/colors3.xml" ContentType="application/vnd.ms-office.chartcolorstyle+xml"/>
  <Override PartName="/xl/charts/chart3.xml" ContentType="application/vnd.openxmlformats-officedocument.drawingml.chart+xml"/>
  <Override PartName="/xl/charts/style4.xml" ContentType="application/vnd.ms-office.chartstyle+xml"/>
  <Override PartName="/xl/charts/colors4.xml" ContentType="application/vnd.ms-office.chartcolorstyle+xml"/>
  <Override PartName="/xl/charts/chart4.xml" ContentType="application/vnd.openxmlformats-officedocument.drawingml.chart+xml"/>
  <Override PartName="/xl/charts/style5.xml" ContentType="application/vnd.ms-office.chartstyle+xml"/>
  <Override PartName="/xl/charts/colors5.xml" ContentType="application/vnd.ms-office.chartcolorstyle+xml"/>
  <Override PartName="/xl/charts/chart5.xml" ContentType="application/vnd.openxmlformats-officedocument.drawingml.chart+xml"/>
  <Override PartName="/xl/charts/style6.xml" ContentType="application/vnd.ms-office.chartstyle+xml"/>
  <Override PartName="/xl/charts/colors6.xml" ContentType="application/vnd.ms-office.chartcolorstyle+xml"/>
  <Override PartName="/xl/charts/chart6.xml" ContentType="application/vnd.openxmlformats-officedocument.drawingml.chart+xml"/>
  <Override PartName="/xl/charts/style7.xml" ContentType="application/vnd.ms-office.chartstyle+xml"/>
  <Override PartName="/xl/charts/colors7.xml" ContentType="application/vnd.ms-office.chartcolorstyle+xml"/>
  <Override PartName="/xl/charts/chart7.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d.docs.live.net/1767bc6245dff04e/Documentos/Projetos/Homogeneização por fatores/URBANAS/I/"/>
    </mc:Choice>
  </mc:AlternateContent>
  <xr:revisionPtr revIDLastSave="677" documentId="8_{764C17F4-7E3B-4626-8FD3-008AB153AD88}" xr6:coauthVersionLast="47" xr6:coauthVersionMax="47" xr10:uidLastSave="{747B2B02-464F-44A7-91C7-8270BB00BF5D}"/>
  <bookViews>
    <workbookView minimized="1" xWindow="30" yWindow="30" windowWidth="28770" windowHeight="15450" tabRatio="901" firstSheet="1" activeTab="1" xr2:uid="{C3A22E73-4D52-4DA0-A647-BA53DE8F5818}"/>
  </bookViews>
  <sheets>
    <sheet name="AMOSTRA" sheetId="25" r:id="rId1"/>
    <sheet name="TERRENO" sheetId="4" r:id="rId2"/>
    <sheet name="LAUDO DE VISTORIA" sheetId="26" r:id="rId3"/>
  </sheets>
  <definedNames>
    <definedName name="_xlnm._FilterDatabase" localSheetId="1" hidden="1">TERRENO!$B$17:$R$20</definedName>
    <definedName name="_xlchart.v2.0" hidden="1">TERRENO!$A$310</definedName>
    <definedName name="_xlchart.v2.1" hidden="1">TERRENO!$W$331:$X$331</definedName>
    <definedName name="_xlchart.v2.2" hidden="1">TERRENO!$W$332:$X$332</definedName>
    <definedName name="_xlnm.Print_Area" localSheetId="1">TERRENO!$A$1:$R$383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93" i="4" l="1"/>
  <c r="J147" i="4"/>
  <c r="I147" i="4"/>
  <c r="O141" i="4"/>
  <c r="N141" i="4"/>
  <c r="M141" i="4"/>
  <c r="L141" i="4"/>
  <c r="K141" i="4"/>
  <c r="J141" i="4"/>
  <c r="I141" i="4"/>
  <c r="O149" i="4"/>
  <c r="N149" i="4"/>
  <c r="M149" i="4"/>
  <c r="L149" i="4"/>
  <c r="K149" i="4"/>
  <c r="J149" i="4"/>
  <c r="I149" i="4"/>
  <c r="O148" i="4"/>
  <c r="N148" i="4"/>
  <c r="M148" i="4"/>
  <c r="L148" i="4"/>
  <c r="K148" i="4"/>
  <c r="J148" i="4"/>
  <c r="I148" i="4"/>
  <c r="M128" i="4"/>
  <c r="M129" i="4"/>
  <c r="M133" i="4"/>
  <c r="M127" i="4"/>
  <c r="O147" i="4"/>
  <c r="N147" i="4"/>
  <c r="M147" i="4"/>
  <c r="L147" i="4"/>
  <c r="K147" i="4"/>
  <c r="G198" i="4"/>
  <c r="G199" i="4"/>
  <c r="G197" i="4"/>
  <c r="G234" i="4"/>
  <c r="G235" i="4"/>
  <c r="G233" i="4"/>
  <c r="B419" i="25" l="1"/>
  <c r="B418" i="25"/>
  <c r="B417" i="25"/>
  <c r="B416" i="25"/>
  <c r="B415" i="25"/>
  <c r="B414" i="25"/>
  <c r="B413" i="25"/>
  <c r="B412" i="25"/>
  <c r="B411" i="25"/>
  <c r="B410" i="25"/>
  <c r="B409" i="25"/>
  <c r="B408" i="25"/>
  <c r="B407" i="25"/>
  <c r="B406" i="25"/>
  <c r="B405" i="25"/>
  <c r="B404" i="25"/>
  <c r="B403" i="25"/>
  <c r="B402" i="25"/>
  <c r="B401" i="25"/>
  <c r="B400" i="25"/>
  <c r="B399" i="25"/>
  <c r="B398" i="25"/>
  <c r="B397" i="25"/>
  <c r="B396" i="25"/>
  <c r="B395" i="25"/>
  <c r="B394" i="25"/>
  <c r="B393" i="25"/>
  <c r="B392" i="25"/>
  <c r="B391" i="25"/>
  <c r="B390" i="25"/>
  <c r="B389" i="25"/>
  <c r="B388" i="25"/>
  <c r="B387" i="25"/>
  <c r="B386" i="25"/>
  <c r="B385" i="25"/>
  <c r="B384" i="25"/>
  <c r="A384" i="25"/>
  <c r="A385" i="25" s="1"/>
  <c r="A386" i="25" s="1"/>
  <c r="A387" i="25" s="1"/>
  <c r="A388" i="25" s="1"/>
  <c r="A389" i="25" s="1"/>
  <c r="A390" i="25" s="1"/>
  <c r="A391" i="25" s="1"/>
  <c r="A392" i="25" s="1"/>
  <c r="A393" i="25" s="1"/>
  <c r="A394" i="25" s="1"/>
  <c r="A395" i="25" s="1"/>
  <c r="A396" i="25" s="1"/>
  <c r="A397" i="25" s="1"/>
  <c r="A398" i="25" s="1"/>
  <c r="A399" i="25" s="1"/>
  <c r="A400" i="25" s="1"/>
  <c r="A401" i="25" s="1"/>
  <c r="A402" i="25" s="1"/>
  <c r="A403" i="25" s="1"/>
  <c r="A404" i="25" s="1"/>
  <c r="A405" i="25" s="1"/>
  <c r="A406" i="25" s="1"/>
  <c r="A407" i="25" s="1"/>
  <c r="A408" i="25" s="1"/>
  <c r="A409" i="25" s="1"/>
  <c r="A410" i="25" s="1"/>
  <c r="A411" i="25" s="1"/>
  <c r="A412" i="25" s="1"/>
  <c r="A413" i="25" s="1"/>
  <c r="A414" i="25" s="1"/>
  <c r="A415" i="25" s="1"/>
  <c r="A416" i="25" s="1"/>
  <c r="A417" i="25" s="1"/>
  <c r="A418" i="25" s="1"/>
  <c r="A419" i="25" s="1"/>
  <c r="B383" i="25"/>
  <c r="G375" i="25"/>
  <c r="G365" i="25"/>
  <c r="G356" i="25" a="1"/>
  <c r="G356" i="25" s="1"/>
  <c r="G355" i="25"/>
  <c r="G357" i="25" s="1"/>
  <c r="G417" i="25" s="1"/>
  <c r="G345" i="25"/>
  <c r="G347" i="25" s="1"/>
  <c r="G416" i="25" s="1"/>
  <c r="G336" i="25" a="1"/>
  <c r="G336" i="25" s="1"/>
  <c r="G335" i="25"/>
  <c r="G337" i="25" s="1"/>
  <c r="G415" i="25" s="1"/>
  <c r="G326" i="25" a="1"/>
  <c r="G326" i="25" s="1"/>
  <c r="G325" i="25"/>
  <c r="G327" i="25" s="1"/>
  <c r="G414" i="25" s="1"/>
  <c r="G315" i="25"/>
  <c r="G306" i="25" a="1"/>
  <c r="G306" i="25" s="1"/>
  <c r="G305" i="25"/>
  <c r="G307" i="25" s="1"/>
  <c r="G412" i="25" s="1"/>
  <c r="G296" i="25" a="1"/>
  <c r="G296" i="25" s="1"/>
  <c r="G295" i="25"/>
  <c r="G297" i="25" s="1"/>
  <c r="G411" i="25" s="1"/>
  <c r="G285" i="25"/>
  <c r="G287" i="25" s="1"/>
  <c r="G410" i="25" s="1"/>
  <c r="G276" i="25" a="1"/>
  <c r="G276" i="25" s="1"/>
  <c r="G275" i="25"/>
  <c r="G277" i="25" s="1"/>
  <c r="G409" i="25" s="1"/>
  <c r="G266" i="25" a="1"/>
  <c r="G266" i="25" s="1"/>
  <c r="G265" i="25"/>
  <c r="G267" i="25" s="1"/>
  <c r="G408" i="25" s="1"/>
  <c r="G255" i="25"/>
  <c r="G246" i="25" a="1"/>
  <c r="G246" i="25" s="1"/>
  <c r="G245" i="25"/>
  <c r="G247" i="25" s="1"/>
  <c r="G406" i="25" s="1"/>
  <c r="G236" i="25" a="1"/>
  <c r="G236" i="25" s="1"/>
  <c r="G235" i="25"/>
  <c r="G237" i="25" s="1"/>
  <c r="G405" i="25" s="1"/>
  <c r="G225" i="25"/>
  <c r="G216" i="25" a="1"/>
  <c r="G216" i="25" s="1"/>
  <c r="G215" i="25"/>
  <c r="G217" i="25" s="1"/>
  <c r="G403" i="25" s="1"/>
  <c r="G206" i="25" a="1"/>
  <c r="G206" i="25" s="1"/>
  <c r="G205" i="25"/>
  <c r="G207" i="25" s="1"/>
  <c r="G402" i="25" s="1"/>
  <c r="G195" i="25"/>
  <c r="G186" i="25" a="1"/>
  <c r="G186" i="25" s="1"/>
  <c r="G185" i="25"/>
  <c r="G187" i="25" s="1"/>
  <c r="G400" i="25" s="1"/>
  <c r="G176" i="25" a="1"/>
  <c r="G176" i="25" s="1"/>
  <c r="G175" i="25"/>
  <c r="G177" i="25" s="1"/>
  <c r="G399" i="25" s="1"/>
  <c r="G165" i="25"/>
  <c r="G156" i="25" a="1"/>
  <c r="G156" i="25" s="1"/>
  <c r="G155" i="25"/>
  <c r="G146" i="25" a="1"/>
  <c r="G146" i="25" s="1"/>
  <c r="G145" i="25"/>
  <c r="G147" i="25" s="1"/>
  <c r="G396" i="25" s="1"/>
  <c r="G135" i="25"/>
  <c r="G126" i="25" a="1"/>
  <c r="G126" i="25" s="1"/>
  <c r="G125" i="25"/>
  <c r="G127" i="25" s="1"/>
  <c r="G394" i="25" s="1"/>
  <c r="G116" i="25" a="1"/>
  <c r="G116" i="25" s="1"/>
  <c r="G115" i="25"/>
  <c r="G117" i="25" s="1"/>
  <c r="G393" i="25" s="1"/>
  <c r="G105" i="25"/>
  <c r="G96" i="25" a="1"/>
  <c r="G96" i="25" s="1"/>
  <c r="G95" i="25"/>
  <c r="G97" i="25" s="1"/>
  <c r="G391" i="25" s="1"/>
  <c r="G86" i="25" a="1"/>
  <c r="G86" i="25" s="1"/>
  <c r="G85" i="25"/>
  <c r="G75" i="25"/>
  <c r="G66" i="25" a="1"/>
  <c r="G66" i="25" s="1"/>
  <c r="G65" i="25"/>
  <c r="G67" i="25" s="1"/>
  <c r="G388" i="25" s="1"/>
  <c r="G56" i="25" a="1"/>
  <c r="G56" i="25" s="1"/>
  <c r="G55" i="25"/>
  <c r="G57" i="25" s="1"/>
  <c r="G387" i="25" s="1"/>
  <c r="G45" i="25"/>
  <c r="G36" i="25" a="1"/>
  <c r="G36" i="25" s="1"/>
  <c r="G35" i="25"/>
  <c r="G37" i="25" s="1"/>
  <c r="G385" i="25" s="1"/>
  <c r="G26" i="25" a="1"/>
  <c r="G26" i="25" s="1"/>
  <c r="G25" i="25"/>
  <c r="G27" i="25" s="1"/>
  <c r="G384" i="25" s="1"/>
  <c r="G15" i="25"/>
  <c r="M8" i="25"/>
  <c r="G346" i="25" s="1" a="1"/>
  <c r="G346" i="25" s="1"/>
  <c r="M7" i="25"/>
  <c r="G286" i="25" s="1" a="1"/>
  <c r="G286" i="25" s="1"/>
  <c r="M135" i="4"/>
  <c r="G47" i="25" l="1"/>
  <c r="G386" i="25" s="1"/>
  <c r="G137" i="25"/>
  <c r="G395" i="25" s="1"/>
  <c r="G367" i="25"/>
  <c r="G418" i="25" s="1"/>
  <c r="G87" i="25"/>
  <c r="G390" i="25" s="1"/>
  <c r="G157" i="25"/>
  <c r="G397" i="25" s="1"/>
  <c r="G377" i="25"/>
  <c r="G419" i="25" s="1"/>
  <c r="G366" i="25" a="1"/>
  <c r="G366" i="25" s="1"/>
  <c r="G16" i="25" a="1"/>
  <c r="G16" i="25" s="1"/>
  <c r="G17" i="25" s="1"/>
  <c r="G383" i="25" s="1"/>
  <c r="G46" i="25" a="1"/>
  <c r="G46" i="25" s="1"/>
  <c r="G76" i="25" a="1"/>
  <c r="G76" i="25" s="1"/>
  <c r="G77" i="25" s="1"/>
  <c r="G389" i="25" s="1"/>
  <c r="G136" i="25" a="1"/>
  <c r="G136" i="25" s="1"/>
  <c r="G166" i="25" a="1"/>
  <c r="G166" i="25" s="1"/>
  <c r="G167" i="25" s="1"/>
  <c r="G398" i="25" s="1"/>
  <c r="G196" i="25" a="1"/>
  <c r="G196" i="25" s="1"/>
  <c r="G197" i="25" s="1"/>
  <c r="G401" i="25" s="1"/>
  <c r="G226" i="25" a="1"/>
  <c r="G226" i="25" s="1"/>
  <c r="G227" i="25" s="1"/>
  <c r="G404" i="25" s="1"/>
  <c r="G256" i="25" a="1"/>
  <c r="G256" i="25" s="1"/>
  <c r="G257" i="25" s="1"/>
  <c r="G407" i="25" s="1"/>
  <c r="G316" i="25" a="1"/>
  <c r="G316" i="25" s="1"/>
  <c r="G317" i="25" s="1"/>
  <c r="G413" i="25" s="1"/>
  <c r="G376" i="25" a="1"/>
  <c r="G376" i="25" s="1"/>
  <c r="G106" i="25" a="1"/>
  <c r="G106" i="25" s="1"/>
  <c r="G107" i="25" s="1"/>
  <c r="G392" i="25" s="1"/>
  <c r="N18" i="4" l="1"/>
  <c r="J135" i="4" l="1"/>
  <c r="J44" i="4"/>
  <c r="P147" i="4"/>
  <c r="P128" i="4" l="1"/>
  <c r="P129" i="4"/>
  <c r="P130" i="4"/>
  <c r="P131" i="4"/>
  <c r="P132" i="4"/>
  <c r="P148" i="4" s="1"/>
  <c r="P133" i="4"/>
  <c r="P149" i="4" s="1"/>
  <c r="P127" i="4"/>
  <c r="P141" i="4" l="1"/>
  <c r="P137" i="4"/>
  <c r="H152" i="4" l="1"/>
  <c r="H154" i="4"/>
  <c r="H153" i="4"/>
  <c r="E288" i="4"/>
  <c r="Y271" i="4" l="1"/>
  <c r="Y272" i="4"/>
  <c r="Y270" i="4"/>
  <c r="Q234" i="4"/>
  <c r="Q233" i="4" a="1"/>
  <c r="Q233" i="4" s="1"/>
  <c r="X236" i="4" l="1"/>
  <c r="X237" i="4" s="1"/>
  <c r="Q235" i="4" s="1"/>
  <c r="Q197" i="4" l="1"/>
  <c r="H18" i="4"/>
  <c r="G164" i="4"/>
  <c r="G165" i="4"/>
  <c r="G166" i="4"/>
  <c r="E153" i="4"/>
  <c r="E154" i="4"/>
  <c r="E152" i="4"/>
  <c r="B146" i="4"/>
  <c r="B151" i="4" s="1"/>
  <c r="J41" i="4"/>
  <c r="L44" i="4" s="1"/>
  <c r="J45" i="4"/>
  <c r="J46" i="4"/>
  <c r="B43" i="4"/>
  <c r="N44" i="4" l="1"/>
  <c r="L46" i="4"/>
  <c r="N46" i="4" s="1"/>
  <c r="L45" i="4"/>
  <c r="N45" i="4" s="1"/>
  <c r="K152" i="4" l="1"/>
  <c r="K153" i="4"/>
  <c r="K154" i="4"/>
  <c r="N19" i="4" l="1"/>
  <c r="N20" i="4"/>
  <c r="H19" i="4"/>
  <c r="H20" i="4"/>
  <c r="P20" i="4" l="1"/>
  <c r="B46" i="4" s="1"/>
  <c r="P46" i="4" s="1"/>
  <c r="B149" i="4" s="1"/>
  <c r="B154" i="4" s="1"/>
  <c r="N154" i="4" s="1"/>
  <c r="P19" i="4"/>
  <c r="B45" i="4" s="1"/>
  <c r="P45" i="4" s="1"/>
  <c r="B148" i="4" s="1"/>
  <c r="B153" i="4" s="1"/>
  <c r="N153" i="4" s="1"/>
  <c r="P18" i="4"/>
  <c r="B165" i="4" l="1"/>
  <c r="B198" i="4"/>
  <c r="B234" i="4"/>
  <c r="B235" i="4"/>
  <c r="B199" i="4"/>
  <c r="B166" i="4"/>
  <c r="B44" i="4"/>
  <c r="P44" i="4" s="1"/>
  <c r="B147" i="4" s="1"/>
  <c r="B152" i="4" s="1"/>
  <c r="N152" i="4" s="1"/>
  <c r="P23" i="4"/>
  <c r="P22" i="4"/>
  <c r="B233" i="4" l="1"/>
  <c r="B197" i="4"/>
  <c r="P199" i="4" s="1"/>
  <c r="B164" i="4"/>
  <c r="P48" i="4"/>
  <c r="P49" i="4"/>
  <c r="P156" i="4"/>
  <c r="P157" i="4"/>
  <c r="P24" i="4"/>
  <c r="P169" i="4" l="1"/>
  <c r="P165" i="4"/>
  <c r="P168" i="4"/>
  <c r="P174" i="4"/>
  <c r="K270" i="4" s="1"/>
  <c r="AA270" i="4" s="1"/>
  <c r="P205" i="4"/>
  <c r="P204" i="4"/>
  <c r="P200" i="4"/>
  <c r="K271" i="4" s="1"/>
  <c r="AA271" i="4" s="1"/>
  <c r="P244" i="4"/>
  <c r="P243" i="4"/>
  <c r="P238" i="4"/>
  <c r="P239" i="4"/>
  <c r="P50" i="4"/>
  <c r="P158" i="4"/>
  <c r="Y181" i="4" l="1"/>
  <c r="Y179" i="4"/>
  <c r="Y216" i="4"/>
  <c r="Y215" i="4"/>
  <c r="Y214" i="4"/>
  <c r="Y180" i="4"/>
  <c r="P210" i="4"/>
  <c r="G271" i="4"/>
  <c r="Z271" i="4" s="1"/>
  <c r="G270" i="4"/>
  <c r="Z270" i="4" s="1"/>
  <c r="P211" i="4"/>
  <c r="O271" i="4" s="1"/>
  <c r="X271" i="4" s="1"/>
  <c r="P202" i="4"/>
  <c r="P203" i="4"/>
  <c r="P167" i="4"/>
  <c r="P166" i="4"/>
  <c r="P175" i="4"/>
  <c r="O270" i="4" s="1"/>
  <c r="X179" i="4" l="1"/>
  <c r="X180" i="4"/>
  <c r="X181" i="4"/>
  <c r="W181" i="4"/>
  <c r="W180" i="4"/>
  <c r="W179" i="4"/>
  <c r="W214" i="4"/>
  <c r="W215" i="4"/>
  <c r="W216" i="4"/>
  <c r="X215" i="4"/>
  <c r="X216" i="4"/>
  <c r="X214" i="4"/>
  <c r="AD199" i="4"/>
  <c r="AD200" i="4"/>
  <c r="AD201" i="4"/>
  <c r="AD202" i="4"/>
  <c r="AD197" i="4"/>
  <c r="AD198" i="4"/>
  <c r="AD203" i="4"/>
  <c r="P207" i="4" a="1"/>
  <c r="P207" i="4" s="1"/>
  <c r="X207" i="4" s="1"/>
  <c r="P171" i="4" a="1"/>
  <c r="P171" i="4" s="1"/>
  <c r="X171" i="4" s="1"/>
  <c r="X270" i="4"/>
  <c r="P172" i="4" l="1"/>
  <c r="N171" i="4"/>
  <c r="P208" i="4"/>
  <c r="N207" i="4"/>
  <c r="Y254" i="4" l="1"/>
  <c r="Y253" i="4"/>
  <c r="Y255" i="4"/>
  <c r="G272" i="4"/>
  <c r="Z272" i="4" s="1"/>
  <c r="P242" i="4"/>
  <c r="P241" i="4"/>
  <c r="P250" i="4"/>
  <c r="O272" i="4" s="1"/>
  <c r="P249" i="4"/>
  <c r="K272" i="4" s="1"/>
  <c r="AA272" i="4" s="1"/>
  <c r="X255" i="4" l="1"/>
  <c r="X253" i="4"/>
  <c r="X254" i="4"/>
  <c r="W254" i="4"/>
  <c r="W255" i="4"/>
  <c r="W253" i="4"/>
  <c r="X272" i="4"/>
  <c r="G274" i="4"/>
  <c r="G277" i="4" s="1"/>
  <c r="E285" i="4" s="1"/>
  <c r="P246" i="4" a="1"/>
  <c r="P246" i="4" s="1"/>
  <c r="X246" i="4" s="1"/>
  <c r="G276" i="4" l="1"/>
  <c r="E284" i="4" s="1"/>
  <c r="G275" i="4"/>
  <c r="N246" i="4"/>
  <c r="P247" i="4"/>
  <c r="I314" i="4" l="1"/>
  <c r="I313" i="4"/>
  <c r="M341" i="4"/>
  <c r="M342" i="4" s="1"/>
  <c r="M349" i="4" s="1"/>
  <c r="M346" i="4" s="1"/>
  <c r="M347" i="4" s="1"/>
  <c r="S345" i="4" s="1"/>
  <c r="H323" i="4"/>
  <c r="E294" i="4"/>
  <c r="O294" i="4"/>
  <c r="E314" i="4" l="1"/>
  <c r="M314" i="4" s="1"/>
  <c r="P325" i="4"/>
  <c r="E313" i="4"/>
  <c r="M313" i="4" s="1"/>
  <c r="A325" i="4"/>
  <c r="O293" i="4"/>
  <c r="O295" i="4" s="1"/>
  <c r="A297" i="4" s="1" a="1"/>
  <c r="A297" i="4" s="1"/>
  <c r="W332" i="4" l="1"/>
  <c r="A327" i="4" l="1"/>
  <c r="X332" i="4"/>
  <c r="P327"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<sst xmlns="http://schemas.openxmlformats.org/spreadsheetml/2006/main" count="786" uniqueCount="370">
  <si>
    <t>Topografia</t>
  </si>
  <si>
    <t>Pavimentação</t>
  </si>
  <si>
    <t>Metrô</t>
  </si>
  <si>
    <t>Situação:</t>
  </si>
  <si>
    <t>Formato:</t>
  </si>
  <si>
    <t>Testada:</t>
  </si>
  <si>
    <t>Fração ideal:</t>
  </si>
  <si>
    <t>Regular</t>
  </si>
  <si>
    <t>Ocupação:</t>
  </si>
  <si>
    <t>Playground</t>
  </si>
  <si>
    <t>Interfone</t>
  </si>
  <si>
    <t>Quadra</t>
  </si>
  <si>
    <t>Sauna</t>
  </si>
  <si>
    <t>Churrasqueira</t>
  </si>
  <si>
    <t>Fator de oferta aplicável</t>
  </si>
  <si>
    <t>Situação do imóvel</t>
  </si>
  <si>
    <t>Fator</t>
  </si>
  <si>
    <t>Negociação concluída</t>
  </si>
  <si>
    <t>Item</t>
  </si>
  <si>
    <t>Área</t>
  </si>
  <si>
    <t>Valor unitário
(R$/m²)</t>
  </si>
  <si>
    <t>Fator aplicável</t>
  </si>
  <si>
    <t>Valor unitário ajustado</t>
  </si>
  <si>
    <t>Fator de homogeneização</t>
  </si>
  <si>
    <t>Fator de testada</t>
  </si>
  <si>
    <t>Fator de profundidade</t>
  </si>
  <si>
    <t>Fator de esquina</t>
  </si>
  <si>
    <t>Fator de topografia</t>
  </si>
  <si>
    <t>Fator de consistência do solo</t>
  </si>
  <si>
    <t>HOMOGENEIZAÇÃO</t>
  </si>
  <si>
    <t>Somatório</t>
  </si>
  <si>
    <t>Somatório do bem avaliando</t>
  </si>
  <si>
    <t>Valor unitário homogeneizado</t>
  </si>
  <si>
    <t>Bem avaliando</t>
  </si>
  <si>
    <t>Fatores</t>
  </si>
  <si>
    <t>Coeficiente de variação</t>
  </si>
  <si>
    <t>Média</t>
  </si>
  <si>
    <t>Desvio-padrão</t>
  </si>
  <si>
    <t>MELHORAMENTOS PÚBLICOS</t>
  </si>
  <si>
    <t>Coeficientes</t>
  </si>
  <si>
    <t>Melhoramentos públicos</t>
  </si>
  <si>
    <t>Comparação
(diferença)</t>
  </si>
  <si>
    <t>Valor homogeneizado</t>
  </si>
  <si>
    <t>Intervalo de segurança</t>
  </si>
  <si>
    <t>Limite inferior</t>
  </si>
  <si>
    <t>Limite superior</t>
  </si>
  <si>
    <t>Valor mínimo</t>
  </si>
  <si>
    <t>Valor máximo</t>
  </si>
  <si>
    <t>Desvio padrão</t>
  </si>
  <si>
    <t>SANEAMENTO (INTERVALO EM TORNO DA MÉDIA)</t>
  </si>
  <si>
    <t>Saneamento</t>
  </si>
  <si>
    <t>Excluir item</t>
  </si>
  <si>
    <t>SANEAMENTO (CRITÉRIO DE CHAUVENET)</t>
  </si>
  <si>
    <t>Valor crítico</t>
  </si>
  <si>
    <t>SANEAMENTO (CRITÉRIO DE ARLEY)</t>
  </si>
  <si>
    <t>Nível de significância</t>
  </si>
  <si>
    <t>Graus de liberdade</t>
  </si>
  <si>
    <t>Modo</t>
  </si>
  <si>
    <t>Intervalo em torno da média</t>
  </si>
  <si>
    <t>Critério de Chauvenet</t>
  </si>
  <si>
    <t>Critério de Arley</t>
  </si>
  <si>
    <t>Menor coeficiente de variação</t>
  </si>
  <si>
    <t>Procedimento</t>
  </si>
  <si>
    <t>Média a ser aplicada</t>
  </si>
  <si>
    <t>comercial</t>
  </si>
  <si>
    <t>condomínio/loteamento fechado</t>
  </si>
  <si>
    <t>isolada</t>
  </si>
  <si>
    <t>regular</t>
  </si>
  <si>
    <t>Bom</t>
  </si>
  <si>
    <t>Intervalo de confiança</t>
  </si>
  <si>
    <t>Desvio-padrão a ser aplicado</t>
  </si>
  <si>
    <t>Amplitude</t>
  </si>
  <si>
    <t>Grau de precisao</t>
  </si>
  <si>
    <t>Limites</t>
  </si>
  <si>
    <t>Inferior</t>
  </si>
  <si>
    <t>Superior</t>
  </si>
  <si>
    <t>Área do terreno avaliando</t>
  </si>
  <si>
    <t>Valor unitário (R$/m²)</t>
  </si>
  <si>
    <t>Avaliação</t>
  </si>
  <si>
    <t>Arredondamento</t>
  </si>
  <si>
    <t>Casas decimais</t>
  </si>
  <si>
    <t>Valor (arredondamento)</t>
  </si>
  <si>
    <t>Percentual (arredondamento)</t>
  </si>
  <si>
    <t>Fontes:</t>
  </si>
  <si>
    <t>I</t>
  </si>
  <si>
    <t>Matrícula nº</t>
  </si>
  <si>
    <t>Oficiala de Justiça / Oficial de Justiça</t>
  </si>
  <si>
    <t>Quando a homogeneização é feita em relação a um paradigma, o resultado do tratamento estatístico fornece um valor unitário básico. Deve-se observar que, partindo-se do valor unitário básico, para a avaliação do objeto os fatores de homogeneização apresentados devem ser usados de forma invertida. Isto porque, se um TR tem uma vantagem em relação ao paradigma, esta vantagem deve ser retirada na fase de homogeneização; porém, conhecendo-se o valor unitário básico, se um terreno avaliando tem uma vantagem em relação ao paradigma, esta vantagem deve ser dada. É o raciocínio inverso (Dantas, 1998, p. 21).</t>
  </si>
  <si>
    <t>Código</t>
  </si>
  <si>
    <t>Descrição</t>
  </si>
  <si>
    <t>Grau</t>
  </si>
  <si>
    <t>Amplitude do intervalo de confiança de 80 % em torno da estimativa de tendência central</t>
  </si>
  <si>
    <t>Tabela 5 - Grau de precisão nos casos de utilização de modelos de regressão linear ou do tratamento por fatores</t>
  </si>
  <si>
    <t>III</t>
  </si>
  <si>
    <t>II</t>
  </si>
  <si>
    <t>limite inferior</t>
  </si>
  <si>
    <t>limite superior</t>
  </si>
  <si>
    <t>máximo</t>
  </si>
  <si>
    <t>mínimo</t>
  </si>
  <si>
    <t>Demonstração visual do conjunto de dados após a homogeneização.</t>
  </si>
  <si>
    <t>Demonstração do ajuste dos itens da amostra ao paradigma.</t>
  </si>
  <si>
    <t>Demonstração visual da situação da amostra antes da homogeneização.</t>
  </si>
  <si>
    <t>Avaliação do terreno</t>
  </si>
  <si>
    <t>≤30%</t>
  </si>
  <si>
    <t>≤40%</t>
  </si>
  <si>
    <t>≤50%</t>
  </si>
  <si>
    <t>O grau de precisão calculado foi inferior a 30% (trinta por cento); em razão disso, o laudo atingiu o grau de fundamentação III, máximo previsto na tabela 5 do item 9.2.3 da NBR 14653-2:2011 (Avaliação de bens. Parte 2: Imóveis urbanos).</t>
  </si>
  <si>
    <t>O grau de precisão calculado foi superior a 30% (trinta por cento) e inferior a 40% (quarenta por cento); em razão disso, o laudo atingiu o grau de fundamentação II, conforme previsão contida na tabela 5 do item 9.2.3 da NBR 14653-2:2011 (Avaliação de bens. Parte 2: Imóveis urbanos).</t>
  </si>
  <si>
    <t>O grau de precisão calculado foi inferior a superior a 40% (quarenta por cento) e inferior a 50% (cinquenta por cento); em razão disso, o laudo atingiu o grau de fundamentação I, conforme previsão contida na tabela 5 do item 9.2.3 da NBR 14653-2:2011 (Avaliação de bens. Parte 2: Imóveis urbanos).</t>
  </si>
  <si>
    <t>Intervalo de valores admissíveis</t>
  </si>
  <si>
    <t>ARLEY, Niels; BUCH, Kai Rander. Introducción a la teoría de la probabilidad y de la estadística. Tradução: Fernando Bombal Gordón. Madrid: Editorial Alhambra S.A., 1968.</t>
  </si>
  <si>
    <t>FIKER, José. Avaliação de imóveis urbanos. 4. ed. rev. e ampl. São Paulo: Pini, 1993.</t>
  </si>
  <si>
    <t>LAUDO DE VISTORIA DE IMÓVEL - ARTIGO 872 do CPC</t>
  </si>
  <si>
    <t>1 - Dados básicos do processo e do imóvel objeto da vistoria</t>
  </si>
  <si>
    <t>Processo:</t>
  </si>
  <si>
    <t>Requerente:</t>
  </si>
  <si>
    <t>Requerido:</t>
  </si>
  <si>
    <t>Cartório de Registro:</t>
  </si>
  <si>
    <t>Prefeitura da situação:</t>
  </si>
  <si>
    <t>Vistoria acompanhada por:</t>
  </si>
  <si>
    <t>Data da Vistoria:</t>
  </si>
  <si>
    <t>Hora de início da vistoria:</t>
  </si>
  <si>
    <t>2.1 - Localização e tipo de uso do imóvel</t>
  </si>
  <si>
    <t>Facilidade de acesso ao imóvel:</t>
  </si>
  <si>
    <t>Uso predominante de lotes na região:</t>
  </si>
  <si>
    <t>difícil</t>
  </si>
  <si>
    <t>bom</t>
  </si>
  <si>
    <t>residencial multifamiliar</t>
  </si>
  <si>
    <t>razoável</t>
  </si>
  <si>
    <t>ótimo</t>
  </si>
  <si>
    <t>residencial unifamiliar</t>
  </si>
  <si>
    <t>industrial</t>
  </si>
  <si>
    <t>Tipo de implantação:</t>
  </si>
  <si>
    <t>2.2 - Condições de infraestrutura urbana da localidade</t>
  </si>
  <si>
    <t>rede água potável</t>
  </si>
  <si>
    <t>rede elétrica</t>
  </si>
  <si>
    <t>telecomunicações</t>
  </si>
  <si>
    <t>iluminação pública (na via do lote)</t>
  </si>
  <si>
    <t>rede de água pluvial</t>
  </si>
  <si>
    <t>rede de esgoto</t>
  </si>
  <si>
    <t>pavimentação</t>
  </si>
  <si>
    <t>gás canalizado</t>
  </si>
  <si>
    <t>2.3 - Serviços e equipamentos comunitários da localidade</t>
  </si>
  <si>
    <t>comércio</t>
  </si>
  <si>
    <t>rede bancária</t>
  </si>
  <si>
    <t>saúde</t>
  </si>
  <si>
    <t>lazer</t>
  </si>
  <si>
    <t>transporte coletivo</t>
  </si>
  <si>
    <t>segurança pública</t>
  </si>
  <si>
    <t>coleta de lixo</t>
  </si>
  <si>
    <t>escolas</t>
  </si>
  <si>
    <t>2.4 - Dados do lote</t>
  </si>
  <si>
    <t>esquina</t>
  </si>
  <si>
    <t>meio de quadra</t>
  </si>
  <si>
    <t>final de via sem saída</t>
  </si>
  <si>
    <t>irregular</t>
  </si>
  <si>
    <t>plano</t>
  </si>
  <si>
    <t>Superfície:</t>
  </si>
  <si>
    <t>seco</t>
  </si>
  <si>
    <t>brejoso</t>
  </si>
  <si>
    <t>alagável</t>
  </si>
  <si>
    <t>outra:</t>
  </si>
  <si>
    <t>sim</t>
  </si>
  <si>
    <t>não</t>
  </si>
  <si>
    <t>abaixo</t>
  </si>
  <si>
    <t>mesmo nível</t>
  </si>
  <si>
    <t>acima</t>
  </si>
  <si>
    <t>2.5 - Localização e ocupação do imóvel</t>
  </si>
  <si>
    <t>Localização:</t>
  </si>
  <si>
    <t>ótima</t>
  </si>
  <si>
    <t>boa</t>
  </si>
  <si>
    <t>ruim</t>
  </si>
  <si>
    <t>ocupado</t>
  </si>
  <si>
    <t>desocupado</t>
  </si>
  <si>
    <t>locado</t>
  </si>
  <si>
    <t>arrendado</t>
  </si>
  <si>
    <t>cedido</t>
  </si>
  <si>
    <t>comodato</t>
  </si>
  <si>
    <t>invadido</t>
  </si>
  <si>
    <t>2.6 - Condições sanitárias</t>
  </si>
  <si>
    <t>Abastecimento de água:</t>
  </si>
  <si>
    <t>não possui</t>
  </si>
  <si>
    <t>poço</t>
  </si>
  <si>
    <t>rede de água potável</t>
  </si>
  <si>
    <t>Solução sanitária:</t>
  </si>
  <si>
    <t>fossa séptica e sumidouro</t>
  </si>
  <si>
    <t>2.7 - Equipamentos diversos</t>
  </si>
  <si>
    <t>muros</t>
  </si>
  <si>
    <t>alarmes</t>
  </si>
  <si>
    <t>cerca elétrica</t>
  </si>
  <si>
    <t>câmeras</t>
  </si>
  <si>
    <t>interfone</t>
  </si>
  <si>
    <t>portão manual</t>
  </si>
  <si>
    <t>portão eletrônico</t>
  </si>
  <si>
    <t>Averbadas</t>
  </si>
  <si>
    <t>Não averbadas (passíveis de averbação)</t>
  </si>
  <si>
    <t>Privativa total:</t>
  </si>
  <si>
    <t>Comuns:</t>
  </si>
  <si>
    <t>Total:</t>
  </si>
  <si>
    <t>Ruim</t>
  </si>
  <si>
    <t>CFTV</t>
  </si>
  <si>
    <t>2.10 - Informações relativas ao condomínio, se o caso</t>
  </si>
  <si>
    <t>Estado de conservação:</t>
  </si>
  <si>
    <t>Em implantação</t>
  </si>
  <si>
    <t>Serviços e equipamentos do condomínio</t>
  </si>
  <si>
    <t>Portaria 24hs</t>
  </si>
  <si>
    <t>Hidrômetro Individual</t>
  </si>
  <si>
    <t>Portão eletrônico</t>
  </si>
  <si>
    <t>Poço artesiano</t>
  </si>
  <si>
    <t>Cerca elétrica</t>
  </si>
  <si>
    <t>outro:</t>
  </si>
  <si>
    <t>Nenhum</t>
  </si>
  <si>
    <t>Vista para o mar</t>
  </si>
  <si>
    <t>Vista para parques, áreas verdes, paisagens</t>
  </si>
  <si>
    <t>Vista permanente</t>
  </si>
  <si>
    <t>Outros:</t>
  </si>
  <si>
    <t>Rede de alta tensão</t>
  </si>
  <si>
    <t>Feira livre</t>
  </si>
  <si>
    <t>Córrego</t>
  </si>
  <si>
    <t>Presídio</t>
  </si>
  <si>
    <t>Favela</t>
  </si>
  <si>
    <t>A) As informações apresentadas na documentação correspondem às verificadas na vistoria?</t>
  </si>
  <si>
    <t>SIM</t>
  </si>
  <si>
    <t>NÃO</t>
  </si>
  <si>
    <t>B) O imóvel aparenta condições de estabilidade e solidez?</t>
  </si>
  <si>
    <t>C) O imóvel apresenta vícios de construção aparentes?</t>
  </si>
  <si>
    <t xml:space="preserve">D) O imóvel aparenta condições de habitabilidade? </t>
  </si>
  <si>
    <t xml:space="preserve">E) O imóvel é afetado significativamente por fatores ambientais, climáticos, localização, etc.? </t>
  </si>
  <si>
    <t>E) Informações adicionais relevantes:</t>
  </si>
  <si>
    <t>Hora de término da vistoria:</t>
  </si>
  <si>
    <t>2.8 - Áreas do imóvel - lote ou gleba</t>
  </si>
  <si>
    <t>ÁREA TOTAL DO LOTE/GLEBA:</t>
  </si>
  <si>
    <t>2.10 - Valorizantes</t>
  </si>
  <si>
    <t>2 - Dados obtidos durante a vistoria e análise de documentos do imóvel</t>
  </si>
  <si>
    <t>misto: residência e comercial/industrial</t>
  </si>
  <si>
    <t>Oficial de Justiça:</t>
  </si>
  <si>
    <t>Endereço do imóvel:</t>
  </si>
  <si>
    <t>Matrícula do imóvel:</t>
  </si>
  <si>
    <t>Número do cadastro municipal:</t>
  </si>
  <si>
    <t>Área do  lote (m²):</t>
  </si>
  <si>
    <t>Número de frentes:</t>
  </si>
  <si>
    <t>aclive maior que 10%</t>
  </si>
  <si>
    <t>declive maiore que10%</t>
  </si>
  <si>
    <t>Nível em relação à via:</t>
  </si>
  <si>
    <t>2.12 - Informações complementares</t>
  </si>
  <si>
    <t>Assinatura do Oficial de Justiça:</t>
  </si>
  <si>
    <t>ASSINADO DIGITALMENTE</t>
  </si>
  <si>
    <t>O intervalo de confiança é o intervalo de valores dentro do qual está contido o parâmetro populacional com determinada confiança (item 3.40 da NBR 14653-2:2011. Avaliação de bens. Parte 2: Imóveis urbanos). Os limites da amplitude do intervalo de confiança são aqueles previstos no item 9.2.3, tabela 5 da NBR 14653-2:2011.</t>
  </si>
  <si>
    <t>Situação no mercado</t>
  </si>
  <si>
    <t>Dados efetivamente utilizados</t>
  </si>
  <si>
    <t>AMOSTRA. CONJUNTO DE DADOS COLETADOS NO MERCADO.</t>
  </si>
  <si>
    <t>ASSOCIAÇÃO BRASILEIRA DE NORMAS TÉCNICAS. NBR 14653-1:2019. Avaliação bens. Parte 1: Procedimentos gerais.</t>
  </si>
  <si>
    <t>______. NBR 14653-2:2011. Avaliação bens. Parte 2: Imóveis urbanos.</t>
  </si>
  <si>
    <t>BERRINI, Luiz Carlos. Avaliações de imóveis. 4. ed. revista e atualizada por Luiz Carlos Berrini Júnior. Rio de Janeiro: Livraria Freitas Bastos S.A., 1960.</t>
  </si>
  <si>
    <t>CANTEIRO, João Ruy. Construções: seus custos de reprodução na capital de São Paulo de 1939 a 1979; Terrenos: subsídios à técnica de avaliação. 3. ed. São Paulo: Pini, 1980.</t>
  </si>
  <si>
    <t>DANTAS, Rubens Alves. Engenharia de avaliações: uma introdução à metodologia científica. São Paulo: Pini, 1998.</t>
  </si>
  <si>
    <t>______. Manual de avaliações e perícias em imóveis urbanos: de acordo com a nova norma NBR 14653-2 – Avaliações de Imóveis Urbanos e com a Norma para Avaliação de Imóveis Urbanos Ibape/SP – 2005. 4. ed. São Paulo: Pini, 2016.</t>
  </si>
  <si>
    <t>______. Manual de avaliações e perícias em imóveis urbanos: de acordo com a nova norma NBR 14653-2 – Avaliações de Imóveis Urbanos e com a Norma para Avaliação de Imóveis Urbanos Ibape/SP – 2011. 5. ed. São Paulo: Oficina de Textos, 2019.</t>
  </si>
  <si>
    <t>MEDEIROS JÚNIOR, Joaquim da Rocha. Vantagem da coisa feita na avaliação de imóveis pelo método do custo. In: Engenharia de avaliações. Instituto Brasileiro de Avaliações e Perícias de Engenharia – IBAPE. São Paulo: Pini, 1974.</t>
  </si>
  <si>
    <t>NASSER JÚNIOR, Radegaz. Avaliação de bens: princípios e aplicações. 2. ed revista e atualizada [recurso eletrônico]. São Paulo: Liv. e Ed. Universitária de Direito, 2013.</t>
  </si>
  <si>
    <t>______. Avaliação de bens: princípios básicos e aplicações. 3. ed. São Paulo: Editora Leud, 2019.</t>
  </si>
  <si>
    <t>THOFEHRN, Ragnar. Avaliação de terrenos urbanos: por fórmulas matemáticas. São Paulo: Pini, 2008.</t>
  </si>
  <si>
    <t>VEGNI-NERI, Guilherme Bomfim dei. Avaliação de imóveis urbanos e rurais: método prático e moderno. 4. ed. revista, melhorada e atualizada. São Paulo: Ed. Nacional, 1979.</t>
  </si>
  <si>
    <t>AVALIAÇÃO DE TERRENO PELO MÉTODO COMPARATIVO DIRETO DE DADOS DE MERCADO</t>
  </si>
  <si>
    <t>INFORMAR O NÚMERO DE DADOS QUE FORAM EFETIVAMENTE UTILIZADOS</t>
  </si>
  <si>
    <t>Na ausência de alguns dos melhoramentos assinalados, o valor unitário básico deverá ser reduzido multiplicando-se este valor pela recíproca da unidade somada às porcentagens correspondentes aos melhoramentos não existentes (Canteiro, 1980, p. 116).</t>
  </si>
  <si>
    <t>Laudo de vistoria criado pelo Prof. Vagner Sebastião Sperone, Oficial de Justiça do Tribunal de Justiça do Estado de São Paulo.</t>
  </si>
  <si>
    <t>Quantidade de dados de mercado, efetivamente utilizados</t>
  </si>
  <si>
    <t>Tabela 3 - Grau de fundamentação no caso de utilização do tratamento por fatores (NBR 14653-2:2011. Avaliação de bens. Parte 2: Imóveis urbanos)</t>
  </si>
  <si>
    <t>Fator correspondente ao somatório de coeficientes acima:</t>
  </si>
  <si>
    <t>DADOS DOS ELEMENTOS DA AMOSTRA, VALOR UNITÁRIO E AJUSTE PRÉVIO AO FATOR DE OFERTA</t>
  </si>
  <si>
    <t>Preço</t>
  </si>
  <si>
    <t>O grau de precisão calculado foi superior a 50% (cinquenta por cento). Não há classificação do resultado quanto à precisão, sendo necessário apresentar justificativa com base no diagnóstico do mercado (Nota feita à tabela 5 do item 9.2.3 da NBR 14653-2:2011 (Avaliação de bens. Parte 2: Imóveis urbanos).</t>
  </si>
  <si>
    <t>TERRENO – TABELA AMOSTRAL</t>
  </si>
  <si>
    <t>Fatores de oferta para a homogeneização</t>
  </si>
  <si>
    <t>Coeficiente</t>
  </si>
  <si>
    <t>FONTE DA INFORMAÇÃO. DESCRIÇÃO. VALOR UNITÁRIO.</t>
  </si>
  <si>
    <t>Negociação concluída por:</t>
  </si>
  <si>
    <t>Terreno à venda por:</t>
  </si>
  <si>
    <t>Fonte de informação:</t>
  </si>
  <si>
    <t>Isman Imóveis</t>
  </si>
  <si>
    <t>Descrição do item da amostra</t>
  </si>
  <si>
    <t>Lote situado na quadra 12, Rua Roberto Sardinha, Parque Residencial Eldorado, em nível, plano, seco, no meio da quadra.</t>
  </si>
  <si>
    <t>Área do terreno:</t>
  </si>
  <si>
    <t>Valor do metro quadrado:</t>
  </si>
  <si>
    <t>Fator de oferta aplicável:</t>
  </si>
  <si>
    <t>Valor do metro quadrado ajustado ao fator de oferta:</t>
  </si>
  <si>
    <t>Tavares Imóveis</t>
  </si>
  <si>
    <t>Lote situado na quadra 17, Rua Roberto Sardinha, Parque Residencial Eldorado, em nível, com testada superior ao dobro da testada referencial para a região,  plano, seco, no meio da quadra.</t>
  </si>
  <si>
    <t>Lote situado na quadra 7, de frente para a Avenida Oswaldo Perrone, na esquina com a Rua Pedro Bim, Parque Residencial Eldorado, zona mista com casas isoladas de padrão luxo, em nível, plano, seco.</t>
  </si>
  <si>
    <t>Imobiliária Torrieri</t>
  </si>
  <si>
    <t>Lote situado na quadra 3, Rua Pedro Bim, Parque Residencial Eldorado, em nível, plano, seco, no meio da quadra.</t>
  </si>
  <si>
    <t>Habit Imóveis</t>
  </si>
  <si>
    <t>Lote situado na quadra 7, Rua José Perri, Bairro Júlia, em nível, plano, seco, no meio da quadra.</t>
  </si>
  <si>
    <t>Singular Imobiliária e Consultoria</t>
  </si>
  <si>
    <t>Lote situado na quadra 2, Rua Salim Bonemer Filho, Jardim Casagrande, com declive de 5%, plano, seco, no meio da quadra.</t>
  </si>
  <si>
    <t>Lote situado na quadra 2, Rua Salim Bonemer Filho, Jardim Casagrande, em nível, plano, seco, no meio da quadra.</t>
  </si>
  <si>
    <t>Lote situado na quadra 7, Rua Roberto Sardinha, Parque Residencial Eldorado, em nível, com testada superior ao dobro da testada referencial para a região, plano, seco, no meio da quadra.</t>
  </si>
  <si>
    <t>Lote situado na quadra 18, Rua Roberto Sardinha, Parque Residencial Eldorado, testada em nível, com declive de 5%, localizado em região inundável, que dificulta seu acesso, mas não atinge o próprio terreno, por estar em posição mais alta, no meio da quadra.</t>
  </si>
  <si>
    <t>Lote situado na quadra 7, de frente para a Avenida Oswaldo Perrone, esquina com Rua Roberto Sardinha, em zona mista com casas isoladas de padrão luxo, Parque Residencial Eldorado, em nível, plano, seco.</t>
  </si>
  <si>
    <t>Lote situado na quadra 4, Rua Lúcio Sarti, Parque Residencial Eldorado, em nível, plano, seco, no meio da quadra.</t>
  </si>
  <si>
    <t>Lote situado na quadra 1, Rua Lúcio Sarti, Bairro Júlia, em nível, com testada superior ao dobro da testada referencial para a região,  plano, seco, no meio da quadra.</t>
  </si>
  <si>
    <t>Lote situado na quadra 3, Rua Pedro Bim, Jardim Casagrande, em nível, plano, seco, no meio da quadra.</t>
  </si>
  <si>
    <t>Lote situado na quadra 2, Rua Salim Bonemer Filho, Jardim Casagrande, em nível, com testada superior ao dobro da testada referencial para a região, plano, seco, no meio da quadra.</t>
  </si>
  <si>
    <t>Lote situado na quadra 17, Rua Luiz Brunelli, esquina com Avenida Raul Furquim, Parque Residencial Eldorado, em zona mista com casas isoladas de padrão luxo, em nível, plano, seco.</t>
  </si>
  <si>
    <t>Lote situado na quadra 11, de frente para a Avenida Oswaldo Perrone, Parque Residencial Eldorado, em nível, plano, seco, no meio da quadra.</t>
  </si>
  <si>
    <t>Lote situado na quadra 7, Rua José Perri, Bairro Júlia, em nível, plano, seco, no meio da quadra, com profundidade superior à profundidade referencial para a região (fator calculado separadamente, de acordo com planilha própria).</t>
  </si>
  <si>
    <t>Lote situado na quadra 17, Rua Roberto Sardinha, Parque Residencial Eldorado, em nível, plano, seco, no meio da quadra, com profundidade superior à profundidade referencial para a região (fator calculado separadamente, de acordo com planilha própria).</t>
  </si>
  <si>
    <t>Lote situado na quadra 1, de frente para a Avenida Oswaldo Perrone, esquina com a Rua José Pelegrini, Parque Residencial Eldorado, em zona mista com casas isoladas de padrão luxo, em nível, plano, seco.</t>
  </si>
  <si>
    <t>Lote situado na quadra 2, Rua Salim Bonemer Filho, Jardim Casagrande, em nível, plano, seco, no meio da quadra, com profundidade superior à profundidade referencial para a região (fator calculado separadamente, de acordo com planilha própria).</t>
  </si>
  <si>
    <t>Lote situado na quadra 7, de frente para a Rua Pedro Bim, Parque Residencial Eldorado, em nível, plano, seco, no meio da quadra.</t>
  </si>
  <si>
    <t>Lote situado na quadra 3, Rua Pedro Bim, Parque Residencial Eldorado, em nível, plano, localizado em região inundável, que dificulta seu acesso, mas não atinge o próprio terreno, por estar em posição mais alta, no meio da quadra.</t>
  </si>
  <si>
    <t>Lote situado na quadra 7, Rua José Perri, Bairro Júlia, com declive de 5%, frente em nível com a rua, seco, no meio da quadra.</t>
  </si>
  <si>
    <t>Lote situado na quadra 2, Rua Salim Bonemer Filho, Jardim Casagrande, em nível, plano, localizado em região inundável, que dificulta seu acesso, mas não atinge o próprio terreno, por estar em posição mais alta, no meio da quadra.</t>
  </si>
  <si>
    <t>Lote situado na quadra 2, Rua Salim Bonemer Filho, Jardim Casagrande, com declive de 5%, frente em nível com a rua, seco, no meio da quadra.</t>
  </si>
  <si>
    <t>Lote situado na quadra 12, Rua Roberto Sardinha, Parque Residencial Eldorado, em nível, plano, localizado em região inundável, que dificulta seu acesso, mas não atinge o próprio terreno, por estar em posição mais alta, no meio da quadra.</t>
  </si>
  <si>
    <t>Lote situado na quadra 37, Rua Roberto Sardinha, Parque Residencial Eldorado, em nível, plano, localizado em região inundável, que dificulta seu acesso, mas não atinge o próprio terreno, por estar em posição mais alta, no meio da quadra.</t>
  </si>
  <si>
    <t>RESUMO DA TABELA AMOSTRAL</t>
  </si>
  <si>
    <t>Fonte da informação</t>
  </si>
  <si>
    <t>Valor unitário</t>
  </si>
  <si>
    <t>Também conhecido como coeficiente de fonte ou de euforia do mercado imobiliário, trata da elasticidade de informação da fonte e da flexibilidade em uma negociação.
A superestimativa dos dados de oferta (elasticidade dos negócios) deverá ser descontada do valor total pela aplicação do fator médio observado no mercado. Na impossibilidade da sua determinação, pode ser aplicado o fator consagrado 0,9 (desconto de 10% sobre o preço original pedido).
No caso desta avaliação, ocorrerá o abatimento de -10% (dez por cento negativos) do preço pedido pelas amostras que ainda se encontram à venda; por consequência, o coeficiente multiplicador será 0,90 (noventa centésimos).</t>
  </si>
  <si>
    <t>INSTITUTO BRASILEIRO DE AVALIAÇÕES E PERÍCIAS DE ENGENHARIA DE SÃO PAULO. Norma para avaliação de imóveis urbanos.  IBAPE/SP: 2011. Item 10.1.</t>
  </si>
  <si>
    <t>ABUNAHAM, S.A. Curso básico de engenharia legal e de avaliações. 4. ed. rev. e ampl. São Paulo: Pini, 2008.</t>
  </si>
  <si>
    <t>PELLEGRINO, José Carlos. Valor em marcha. In: Anais do I Congresso Brasileiro de Engenharia de Avaliações / [patrocínio do] Instituto Brasileiro de Avaliações e Perícias de Engenharia – IBAPE. São Paulo: Pini.</t>
  </si>
  <si>
    <t>MEDEIROS JÚNIOR, J.R.; PELLEGRINO, José Carlos. Método do custo: o terceiro componente. In: Avaliações para garantias: Instituto Brasileiro de Avaliações e Perícias de Engenharia. São Paulo: Pini, 1983.</t>
  </si>
  <si>
    <t>______. Prática de avaliação de imóveis: método moderno. 2. ed. revista melhorada. São Paulo: Edições Livraria Legislação Brasileira, 1968.</t>
  </si>
  <si>
    <t>Seco</t>
  </si>
  <si>
    <t>Plano, em nível</t>
  </si>
  <si>
    <t>Dentro dos limites mínimo e máximo</t>
  </si>
  <si>
    <t>Meio de quadra</t>
  </si>
  <si>
    <t>Característica do terreno padrão</t>
  </si>
  <si>
    <t>Frente padrão para a zona</t>
  </si>
  <si>
    <t>Fator do terreno padrão</t>
  </si>
  <si>
    <t>Terreno à venda</t>
  </si>
  <si>
    <t>Elemento comparativo</t>
  </si>
  <si>
    <r>
      <t>NBR 14653-2:2011. Avaliação de bens. Parte 2: Imóveis urbanos.
A.10. Avaliação intervalar
Quando for adotada a estimativa de tendência central, o intervalo de valores admissíveis deve estar limitado</t>
    </r>
    <r>
      <rPr>
        <b/>
        <sz val="11"/>
        <rFont val="Aptos"/>
        <family val="2"/>
      </rPr>
      <t xml:space="preserve"> simultaneamente</t>
    </r>
    <r>
      <rPr>
        <sz val="11"/>
        <rFont val="Aptos"/>
        <family val="2"/>
      </rPr>
      <t xml:space="preserve">:
a) ao intervalo de predição ou ao intervalo de confiança de 80% para a estimativa de tendência central </t>
    </r>
    <r>
      <rPr>
        <vertAlign val="superscript"/>
        <sz val="11"/>
        <rFont val="Aptos"/>
        <family val="2"/>
      </rPr>
      <t>9)</t>
    </r>
    <r>
      <rPr>
        <sz val="11"/>
        <rFont val="Aptos"/>
        <family val="2"/>
      </rPr>
      <t xml:space="preserve">;
b) ao campo de arbítrio.
</t>
    </r>
    <r>
      <rPr>
        <vertAlign val="superscript"/>
        <sz val="11"/>
        <rFont val="Aptos"/>
        <family val="2"/>
      </rPr>
      <t>9)</t>
    </r>
    <r>
      <rPr>
        <sz val="11"/>
        <rFont val="Aptos"/>
        <family val="2"/>
      </rPr>
      <t xml:space="preserve"> </t>
    </r>
    <r>
      <rPr>
        <b/>
        <sz val="11"/>
        <rFont val="Aptos"/>
        <family val="2"/>
      </rPr>
      <t>O intervalo de confiança será utilizado se o objetivo for estimar o valor de mercado</t>
    </r>
    <r>
      <rPr>
        <sz val="11"/>
        <rFont val="Aptos"/>
        <family val="2"/>
      </rPr>
      <t>. Se o objetivo for estimar preços, utiliza-se o intervalo de predição.</t>
    </r>
  </si>
  <si>
    <t>Amplitude do intervalo de confiança</t>
  </si>
  <si>
    <t>Amplitude do intervalo do campor arbítrio</t>
  </si>
  <si>
    <t>Água</t>
  </si>
  <si>
    <t>Esgoto</t>
  </si>
  <si>
    <t>Luz domiciliar</t>
  </si>
  <si>
    <t>Guias-sarjetas</t>
  </si>
  <si>
    <t>Telefone</t>
  </si>
  <si>
    <t>Luz pública</t>
  </si>
  <si>
    <t>Melhoramentos públicos do bem avaliando</t>
  </si>
  <si>
    <t>TRIBUNAL DE JUSTIÇA DO ESTADO DA PARAÍBA</t>
  </si>
  <si>
    <t>PRIMEIRA VARA CÍVEL DA COMARCA DE JOÃO PESSOA</t>
  </si>
  <si>
    <r>
      <t>F</t>
    </r>
    <r>
      <rPr>
        <vertAlign val="subscript"/>
        <sz val="11"/>
        <rFont val="Aptos"/>
        <family val="2"/>
      </rPr>
      <t>f</t>
    </r>
  </si>
  <si>
    <r>
      <t>F</t>
    </r>
    <r>
      <rPr>
        <vertAlign val="subscript"/>
        <sz val="11"/>
        <rFont val="Aptos"/>
        <family val="2"/>
      </rPr>
      <t>t</t>
    </r>
  </si>
  <si>
    <r>
      <t>F</t>
    </r>
    <r>
      <rPr>
        <vertAlign val="subscript"/>
        <sz val="11"/>
        <rFont val="Aptos"/>
        <family val="2"/>
      </rPr>
      <t>cs</t>
    </r>
  </si>
  <si>
    <r>
      <t>F</t>
    </r>
    <r>
      <rPr>
        <vertAlign val="subscript"/>
        <sz val="11"/>
        <rFont val="Aptos"/>
        <family val="2"/>
      </rPr>
      <t>p</t>
    </r>
  </si>
  <si>
    <r>
      <t>F</t>
    </r>
    <r>
      <rPr>
        <vertAlign val="subscript"/>
        <sz val="11"/>
        <rFont val="Aptos"/>
        <family val="2"/>
      </rPr>
      <t>e</t>
    </r>
  </si>
  <si>
    <r>
      <t>M</t>
    </r>
    <r>
      <rPr>
        <vertAlign val="subscript"/>
        <sz val="11"/>
        <rFont val="Aptos"/>
        <family val="2"/>
      </rPr>
      <t>p1</t>
    </r>
  </si>
  <si>
    <r>
      <t>M</t>
    </r>
    <r>
      <rPr>
        <vertAlign val="subscript"/>
        <sz val="11"/>
        <rFont val="Aptos"/>
        <family val="2"/>
      </rPr>
      <t>p2</t>
    </r>
  </si>
  <si>
    <r>
      <t>M</t>
    </r>
    <r>
      <rPr>
        <vertAlign val="subscript"/>
        <sz val="11"/>
        <rFont val="Aptos"/>
        <family val="2"/>
      </rPr>
      <t>p3</t>
    </r>
  </si>
  <si>
    <r>
      <t>M</t>
    </r>
    <r>
      <rPr>
        <vertAlign val="subscript"/>
        <sz val="11"/>
        <rFont val="Aptos"/>
        <family val="2"/>
      </rPr>
      <t>p4</t>
    </r>
  </si>
  <si>
    <r>
      <t>M</t>
    </r>
    <r>
      <rPr>
        <vertAlign val="subscript"/>
        <sz val="11"/>
        <rFont val="Aptos"/>
        <family val="2"/>
      </rPr>
      <t>p5</t>
    </r>
  </si>
  <si>
    <r>
      <t>M</t>
    </r>
    <r>
      <rPr>
        <vertAlign val="subscript"/>
        <sz val="11"/>
        <rFont val="Aptos"/>
        <family val="2"/>
      </rPr>
      <t>p6</t>
    </r>
  </si>
  <si>
    <r>
      <t>M</t>
    </r>
    <r>
      <rPr>
        <vertAlign val="subscript"/>
        <sz val="11"/>
        <rFont val="Aptos"/>
        <family val="2"/>
      </rPr>
      <t>p7</t>
    </r>
  </si>
  <si>
    <r>
      <t xml:space="preserve">Somatório das porcentagens correspondentes aos melhoramentos públicos </t>
    </r>
    <r>
      <rPr>
        <b/>
        <sz val="11"/>
        <rFont val="Aptos"/>
        <family val="2"/>
      </rPr>
      <t>presentes no paradigma e ausentes no bem avaliando</t>
    </r>
  </si>
  <si>
    <r>
      <t>Fator do item da amostra (f</t>
    </r>
    <r>
      <rPr>
        <vertAlign val="subscript"/>
        <sz val="11"/>
        <rFont val="Aptos"/>
        <family val="2"/>
      </rPr>
      <t>tr</t>
    </r>
    <r>
      <rPr>
        <sz val="11"/>
        <rFont val="Aptos"/>
        <family val="2"/>
      </rPr>
      <t>)</t>
    </r>
  </si>
  <si>
    <r>
      <t>Fator do bem avaliando (f</t>
    </r>
    <r>
      <rPr>
        <vertAlign val="subscript"/>
        <sz val="11"/>
        <rFont val="Aptos"/>
        <family val="2"/>
      </rPr>
      <t>a</t>
    </r>
    <r>
      <rPr>
        <sz val="11"/>
        <rFont val="Aptos"/>
        <family val="2"/>
      </rPr>
      <t>)</t>
    </r>
  </si>
  <si>
    <r>
      <t>t</t>
    </r>
    <r>
      <rPr>
        <vertAlign val="subscript"/>
        <sz val="11"/>
        <rFont val="Aptos"/>
        <family val="2"/>
      </rPr>
      <t>crítico</t>
    </r>
  </si>
  <si>
    <r>
      <rPr>
        <b/>
        <sz val="11"/>
        <rFont val="Aptos"/>
        <family val="2"/>
      </rPr>
      <t>NBR 14653-2:2011. Avaliação de bens. Parte 2: Imóveis urbanos.
Item 9.2.3</t>
    </r>
    <r>
      <rPr>
        <sz val="11"/>
        <rFont val="Aptos"/>
        <family val="2"/>
      </rPr>
      <t xml:space="preserve"> O grau de precisão deve estar conforme a Tabela 5.</t>
    </r>
  </si>
  <si>
    <t>2.11 - Desvalorizantes</t>
  </si>
  <si>
    <t>Campo de arbítrio
[-15%;+15%]</t>
  </si>
  <si>
    <t>LIMITES DO INTERVALO DE VALORES ADMISSÍVEIS E CAMPO DE ARBÍTRIO</t>
  </si>
  <si>
    <t>AVALIAÇÃO DO TERRENO</t>
  </si>
  <si>
    <t>LIMITES DO INTERVALO DE CONFIANÇA E GRAU DE PRECISÃO</t>
  </si>
  <si>
    <t>INTERVALO DE CONFIANÇA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</si>
</sst>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0.00_ ;[Red]\-#,##0.00\ "/>
    <numFmt numFmtId="165" formatCode="0.000000"/>
    <numFmt numFmtId="166" formatCode="0.0000"/>
    <numFmt numFmtId="167" formatCode="_-[$R$-416]\ * #,##0.00_-;\-[$R$-416]\ * #,##0.00_-;_-[$R$-416]\ * &quot;-&quot;??_-;_-@_-"/>
    <numFmt numFmtId="168" formatCode="#,##0.00_ ;\-#,##0.00\ "/>
    <numFmt numFmtId="169" formatCode="0%;[Red]\-0%"/>
    <numFmt numFmtId="170" formatCode="&quot;R$&quot;\ #,##0.00"/>
    <numFmt numFmtId="171" formatCode="[$-416]#,##0.00"/>
    <numFmt numFmtId="172" formatCode="[$R$-416]\ #,##0.00;[Red]\-[$R$-416]\ #,##0.00"/>
  </numFmts>
  <fonts count="16" x14ac:knownFonts="1">
    <font>
      <sz val="11"/>
      <color theme="1"/>
      <name val="Aptos"/>
      <family val="2"/>
    </font>
    <font>
      <sz val="11"/>
      <color theme="1"/>
      <name val="Aptos"/>
      <family val="2"/>
    </font>
    <font>
      <b/>
      <sz val="11"/>
      <name val="Aptos"/>
      <family val="2"/>
    </font>
    <font>
      <sz val="11"/>
      <name val="Aptos"/>
      <family val="2"/>
    </font>
    <font>
      <b/>
      <sz val="11"/>
      <color theme="1"/>
      <name val="Aptos"/>
      <family val="2"/>
    </font>
    <font>
      <b/>
      <sz val="14"/>
      <color theme="1"/>
      <name val="Aptos"/>
      <family val="2"/>
    </font>
    <font>
      <sz val="14"/>
      <color theme="1"/>
      <name val="Aptos"/>
      <family val="2"/>
    </font>
    <font>
      <sz val="12"/>
      <color theme="1"/>
      <name val="Aptos"/>
      <family val="2"/>
    </font>
    <font>
      <b/>
      <sz val="12"/>
      <color theme="0"/>
      <name val="Aptos"/>
      <family val="2"/>
    </font>
    <font>
      <b/>
      <sz val="12"/>
      <color theme="1"/>
      <name val="Aptos"/>
      <family val="2"/>
    </font>
    <font>
      <i/>
      <sz val="12"/>
      <color theme="1"/>
      <name val="Aptos"/>
      <family val="2"/>
    </font>
    <font>
      <sz val="12"/>
      <name val="Aptos"/>
      <family val="2"/>
    </font>
    <font>
      <vertAlign val="superscript"/>
      <sz val="11"/>
      <name val="Aptos"/>
      <family val="2"/>
    </font>
    <font>
      <sz val="11"/>
      <color theme="0"/>
      <name val="Aptos"/>
      <family val="2"/>
    </font>
    <font>
      <i/>
      <sz val="11"/>
      <name val="Aptos"/>
      <family val="2"/>
    </font>
    <font>
      <vertAlign val="subscript"/>
      <sz val="11"/>
      <name val="Aptos"/>
      <family val="2"/>
    </font>
  </fonts>
  <fills count="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bgColor indexed="64"/>
      </patternFill>
    </fill>
    <fill>
      <patternFill patternType="solid">
        <fgColor rgb="FFB9CFD9"/>
        <bgColor indexed="64"/>
      </patternFill>
    </fill>
    <fill>
      <patternFill patternType="solid">
        <fgColor theme="1" tint="0.34998626667073579"/>
        <bgColor indexed="64"/>
      </patternFill>
    </fill>
    <fill>
      <patternFill patternType="solid">
        <fgColor rgb="FF55828B"/>
        <bgColor indexed="64"/>
      </patternFill>
    </fill>
  </fills>
  <borders count="32">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style="thin">
        <color indexed="64"/>
      </top>
      <bottom/>
      <diagonal/>
    </border>
    <border>
      <left style="medium">
        <color indexed="64"/>
      </left>
      <right/>
      <top/>
      <bottom/>
      <diagonal/>
    </border>
    <border>
      <left/>
      <right style="medium">
        <color indexed="64"/>
      </right>
      <top/>
      <bottom/>
      <diagonal/>
    </border>
    <border>
      <left/>
      <right style="thick">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thin">
        <color indexed="64"/>
      </left>
      <right/>
      <top/>
      <bottom/>
      <diagonal/>
    </border>
    <border>
      <left/>
      <right style="hair">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rgb="FF666666"/>
      </left>
      <right style="hair">
        <color rgb="FF666666"/>
      </right>
      <top style="hair">
        <color rgb="FF666666"/>
      </top>
      <bottom style="thin">
        <color indexed="64"/>
      </bottom>
      <diagonal/>
    </border>
    <border>
      <left style="hair">
        <color rgb="FF666666"/>
      </left>
      <right/>
      <top style="hair">
        <color rgb="FF666666"/>
      </top>
      <bottom style="thin">
        <color indexed="64"/>
      </bottom>
      <diagonal/>
    </border>
    <border>
      <left/>
      <right/>
      <top style="hair">
        <color rgb="FF666666"/>
      </top>
      <bottom style="thin">
        <color indexed="64"/>
      </bottom>
      <diagonal/>
    </border>
    <border>
      <left/>
      <right style="hair">
        <color rgb="FF666666"/>
      </right>
      <top style="hair">
        <color rgb="FF666666"/>
      </top>
      <bottom style="thin">
        <color indexed="64"/>
      </bottom>
      <diagonal/>
    </border>
    <border>
      <left style="hair">
        <color rgb="FF666666"/>
      </left>
      <right style="hair">
        <color rgb="FF666666"/>
      </right>
      <top style="thin">
        <color auto="1"/>
      </top>
      <bottom style="thin">
        <color auto="1"/>
      </bottom>
      <diagonal/>
    </border>
    <border>
      <left style="hair">
        <color rgb="FF666666"/>
      </left>
      <right/>
      <top style="thin">
        <color auto="1"/>
      </top>
      <bottom style="thin">
        <color auto="1"/>
      </bottom>
      <diagonal/>
    </border>
    <border>
      <left/>
      <right style="hair">
        <color rgb="FF666666"/>
      </right>
      <top style="thin">
        <color auto="1"/>
      </top>
      <bottom style="thin">
        <color auto="1"/>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35">
    <xf numFmtId="0" fontId="0" fillId="0" borderId="0" xfId="0"/>
    <xf numFmtId="0" fontId="0" fillId="0" borderId="0" xfId="0" applyAlignment="1" applyProtection="1">
      <alignment vertical="center"/>
      <protection hidden="1"/>
    </xf>
    <xf numFmtId="0" fontId="6" fillId="0" borderId="0" xfId="0" applyFont="1" applyAlignment="1" applyProtection="1">
      <alignment horizontal="center" vertical="center"/>
      <protection hidden="1"/>
    </xf>
    <xf numFmtId="0" fontId="0" fillId="0" borderId="1" xfId="0" applyBorder="1" applyProtection="1">
      <protection hidden="1"/>
    </xf>
    <xf numFmtId="0" fontId="0" fillId="0" borderId="9" xfId="0" applyBorder="1" applyProtection="1">
      <protection hidden="1"/>
    </xf>
    <xf numFmtId="0" fontId="0" fillId="0" borderId="0" xfId="0" applyProtection="1">
      <protection hidden="1"/>
    </xf>
    <xf numFmtId="0" fontId="0" fillId="0" borderId="2" xfId="0" applyBorder="1" applyProtection="1">
      <protection hidden="1"/>
    </xf>
    <xf numFmtId="0" fontId="0" fillId="0" borderId="10" xfId="0" applyBorder="1" applyProtection="1">
      <protection hidden="1"/>
    </xf>
    <xf numFmtId="0" fontId="0" fillId="0" borderId="3" xfId="0" applyBorder="1" applyAlignment="1" applyProtection="1">
      <alignment vertical="center"/>
      <protection hidden="1"/>
    </xf>
    <xf numFmtId="0" fontId="0" fillId="0" borderId="14" xfId="0" applyBorder="1" applyProtection="1">
      <protection hidden="1"/>
    </xf>
    <xf numFmtId="0" fontId="0" fillId="0" borderId="15" xfId="0" applyBorder="1" applyProtection="1">
      <protection hidden="1"/>
    </xf>
    <xf numFmtId="0" fontId="0" fillId="0" borderId="16" xfId="0" applyBorder="1" applyProtection="1">
      <protection hidden="1"/>
    </xf>
    <xf numFmtId="0" fontId="0" fillId="0" borderId="22" xfId="0" applyBorder="1" applyProtection="1">
      <protection hidden="1"/>
    </xf>
    <xf numFmtId="0" fontId="2" fillId="0" borderId="0" xfId="0" applyFont="1" applyAlignment="1" applyProtection="1">
      <alignment vertical="center"/>
      <protection hidden="1"/>
    </xf>
    <xf numFmtId="0" fontId="2" fillId="0" borderId="10" xfId="0" applyFont="1" applyBorder="1" applyAlignment="1" applyProtection="1">
      <alignment vertical="center"/>
      <protection hidden="1"/>
    </xf>
    <xf numFmtId="0" fontId="3" fillId="0" borderId="0" xfId="0" applyFont="1" applyAlignment="1" applyProtection="1">
      <alignment vertical="center"/>
      <protection hidden="1"/>
    </xf>
    <xf numFmtId="0" fontId="3" fillId="0" borderId="17" xfId="0" applyFont="1" applyBorder="1" applyAlignment="1" applyProtection="1">
      <alignment vertical="center"/>
      <protection hidden="1"/>
    </xf>
    <xf numFmtId="0" fontId="3" fillId="0" borderId="10" xfId="0" applyFont="1" applyBorder="1" applyAlignment="1" applyProtection="1">
      <alignment vertical="center"/>
      <protection hidden="1"/>
    </xf>
    <xf numFmtId="0" fontId="0" fillId="0" borderId="1" xfId="0" applyBorder="1" applyAlignment="1" applyProtection="1">
      <alignment vertical="center"/>
      <protection hidden="1"/>
    </xf>
    <xf numFmtId="0" fontId="3" fillId="0" borderId="1" xfId="0" applyFont="1" applyBorder="1" applyAlignment="1" applyProtection="1">
      <alignment vertical="center"/>
      <protection hidden="1"/>
    </xf>
    <xf numFmtId="0" fontId="2" fillId="0" borderId="2" xfId="0" applyFont="1" applyBorder="1" applyAlignment="1" applyProtection="1">
      <alignment vertical="center" wrapText="1"/>
      <protection hidden="1"/>
    </xf>
    <xf numFmtId="0" fontId="2" fillId="0" borderId="0" xfId="0" applyFont="1" applyAlignment="1" applyProtection="1">
      <alignment vertical="center" wrapText="1"/>
      <protection hidden="1"/>
    </xf>
    <xf numFmtId="14" fontId="3" fillId="0" borderId="0" xfId="0" applyNumberFormat="1" applyFont="1" applyAlignment="1" applyProtection="1">
      <alignment vertical="center"/>
      <protection hidden="1"/>
    </xf>
    <xf numFmtId="49" fontId="3" fillId="0" borderId="0" xfId="0" applyNumberFormat="1" applyFont="1" applyAlignment="1" applyProtection="1">
      <alignment vertical="center"/>
      <protection hidden="1"/>
    </xf>
    <xf numFmtId="0" fontId="2" fillId="0" borderId="10" xfId="0" applyFont="1" applyBorder="1" applyAlignment="1" applyProtection="1">
      <alignment vertical="center" wrapText="1"/>
      <protection hidden="1"/>
    </xf>
    <xf numFmtId="0" fontId="3" fillId="0" borderId="3" xfId="0" applyFont="1" applyBorder="1" applyAlignment="1" applyProtection="1">
      <alignment vertical="center"/>
      <protection hidden="1"/>
    </xf>
    <xf numFmtId="0" fontId="3" fillId="0" borderId="18" xfId="0" applyFont="1" applyBorder="1" applyAlignment="1" applyProtection="1">
      <alignment vertical="center"/>
      <protection hidden="1"/>
    </xf>
    <xf numFmtId="0" fontId="2" fillId="0" borderId="14" xfId="0" applyFont="1" applyBorder="1" applyAlignment="1" applyProtection="1">
      <alignment vertical="center" wrapText="1"/>
      <protection hidden="1"/>
    </xf>
    <xf numFmtId="0" fontId="2" fillId="0" borderId="1" xfId="0" applyFont="1" applyBorder="1" applyAlignment="1" applyProtection="1">
      <alignment vertical="center" wrapText="1"/>
      <protection hidden="1"/>
    </xf>
    <xf numFmtId="0" fontId="3" fillId="0" borderId="0" xfId="0" applyFont="1" applyAlignment="1" applyProtection="1">
      <alignment vertical="center" wrapText="1"/>
      <protection hidden="1"/>
    </xf>
    <xf numFmtId="0" fontId="4" fillId="0" borderId="0" xfId="0" applyFont="1" applyAlignment="1" applyProtection="1">
      <alignment vertical="center"/>
      <protection hidden="1"/>
    </xf>
    <xf numFmtId="0" fontId="2" fillId="0" borderId="3" xfId="0" applyFont="1" applyBorder="1" applyAlignment="1" applyProtection="1">
      <alignment vertical="center"/>
      <protection hidden="1"/>
    </xf>
    <xf numFmtId="0" fontId="0" fillId="0" borderId="0" xfId="0" applyAlignment="1" applyProtection="1">
      <alignment horizontal="left" vertical="center"/>
      <protection hidden="1"/>
    </xf>
    <xf numFmtId="0" fontId="7" fillId="4" borderId="0" xfId="0" applyFont="1" applyFill="1" applyAlignment="1">
      <alignment horizontal="justify" vertical="top" wrapText="1"/>
    </xf>
    <xf numFmtId="0" fontId="7" fillId="0" borderId="0" xfId="0" applyFont="1" applyAlignment="1">
      <alignment horizontal="justify" vertical="top" wrapText="1"/>
    </xf>
    <xf numFmtId="0" fontId="9" fillId="0" borderId="0" xfId="0" applyFont="1" applyAlignment="1">
      <alignment horizontal="center" vertical="center" wrapText="1"/>
    </xf>
    <xf numFmtId="0" fontId="10" fillId="3" borderId="0" xfId="0" applyFont="1" applyFill="1" applyAlignment="1">
      <alignment horizontal="center" vertical="center" wrapText="1"/>
    </xf>
    <xf numFmtId="0" fontId="9" fillId="2" borderId="2" xfId="0" applyFont="1" applyFill="1" applyBorder="1" applyAlignment="1">
      <alignment horizontal="center" vertical="center" wrapText="1"/>
    </xf>
    <xf numFmtId="0" fontId="7" fillId="0" borderId="0" xfId="0" applyFont="1" applyAlignment="1">
      <alignment horizontal="left" vertical="top" wrapText="1" indent="1"/>
    </xf>
    <xf numFmtId="9" fontId="7" fillId="0" borderId="0" xfId="0" applyNumberFormat="1" applyFont="1" applyAlignment="1">
      <alignment horizontal="right" vertical="top" wrapText="1"/>
    </xf>
    <xf numFmtId="2" fontId="7" fillId="0" borderId="0" xfId="0" applyNumberFormat="1" applyFont="1" applyAlignment="1">
      <alignment horizontal="right" vertical="top" wrapText="1"/>
    </xf>
    <xf numFmtId="0" fontId="7" fillId="3" borderId="0" xfId="0" applyFont="1" applyFill="1" applyAlignment="1">
      <alignment horizontal="left" vertical="top" wrapText="1" indent="1"/>
    </xf>
    <xf numFmtId="169" fontId="7" fillId="3" borderId="0" xfId="0" applyNumberFormat="1" applyFont="1" applyFill="1" applyAlignment="1">
      <alignment horizontal="right" vertical="top" wrapText="1"/>
    </xf>
    <xf numFmtId="2" fontId="7" fillId="3" borderId="0" xfId="0" applyNumberFormat="1" applyFont="1" applyFill="1" applyAlignment="1">
      <alignment horizontal="right" vertical="top" wrapText="1"/>
    </xf>
    <xf numFmtId="0" fontId="9" fillId="2" borderId="8" xfId="0" applyFont="1" applyFill="1" applyBorder="1" applyAlignment="1">
      <alignment horizontal="right" vertical="center" wrapText="1"/>
    </xf>
    <xf numFmtId="0" fontId="7" fillId="7" borderId="0" xfId="0" applyFont="1" applyFill="1" applyAlignment="1">
      <alignment horizontal="justify" vertical="top" wrapText="1"/>
    </xf>
    <xf numFmtId="0" fontId="7" fillId="2" borderId="0" xfId="0" applyFont="1" applyFill="1" applyAlignment="1">
      <alignment horizontal="right" vertical="center" wrapText="1"/>
    </xf>
    <xf numFmtId="0" fontId="7" fillId="2" borderId="0" xfId="0" applyFont="1" applyFill="1" applyAlignment="1">
      <alignment horizontal="justify" vertical="top" wrapText="1"/>
    </xf>
    <xf numFmtId="0" fontId="7" fillId="0" borderId="8" xfId="0" applyFont="1" applyBorder="1" applyAlignment="1">
      <alignment horizontal="left" vertical="center" wrapText="1" indent="1"/>
    </xf>
    <xf numFmtId="170" fontId="7" fillId="7" borderId="0" xfId="0" applyNumberFormat="1" applyFont="1" applyFill="1" applyAlignment="1">
      <alignment horizontal="right" vertical="center" wrapText="1"/>
    </xf>
    <xf numFmtId="171" fontId="7" fillId="7" borderId="0" xfId="0" applyNumberFormat="1" applyFont="1" applyFill="1" applyAlignment="1">
      <alignment horizontal="right" vertical="center" wrapText="1"/>
    </xf>
    <xf numFmtId="170" fontId="7" fillId="0" borderId="0" xfId="0" applyNumberFormat="1" applyFont="1" applyAlignment="1">
      <alignment horizontal="right" vertical="center" wrapText="1"/>
    </xf>
    <xf numFmtId="171" fontId="7" fillId="0" borderId="0" xfId="0" applyNumberFormat="1" applyFont="1" applyAlignment="1">
      <alignment horizontal="right" vertical="center" wrapText="1"/>
    </xf>
    <xf numFmtId="0" fontId="7" fillId="2" borderId="1" xfId="0" applyFont="1" applyFill="1" applyBorder="1" applyAlignment="1">
      <alignment horizontal="right" vertical="center" wrapText="1"/>
    </xf>
    <xf numFmtId="0" fontId="7" fillId="7" borderId="0" xfId="0" applyFont="1" applyFill="1" applyAlignment="1">
      <alignment horizontal="left" vertical="center" wrapText="1" indent="1"/>
    </xf>
    <xf numFmtId="0" fontId="9" fillId="0" borderId="25" xfId="0" applyFont="1" applyBorder="1" applyAlignment="1">
      <alignment horizontal="center" vertical="top" wrapText="1"/>
    </xf>
    <xf numFmtId="0" fontId="9" fillId="0" borderId="0" xfId="0" applyFont="1" applyAlignment="1">
      <alignment horizontal="center" vertical="top" wrapText="1"/>
    </xf>
    <xf numFmtId="0" fontId="9" fillId="0" borderId="29" xfId="0" applyFont="1" applyBorder="1" applyAlignment="1">
      <alignment horizontal="right" vertical="center" wrapText="1"/>
    </xf>
    <xf numFmtId="172" fontId="7" fillId="0" borderId="0" xfId="0" applyNumberFormat="1" applyFont="1" applyAlignment="1">
      <alignment horizontal="right" vertical="center" wrapText="1"/>
    </xf>
    <xf numFmtId="0" fontId="3" fillId="4" borderId="0" xfId="0" applyFont="1" applyFill="1" applyAlignment="1" applyProtection="1">
      <alignment vertical="center" wrapText="1"/>
      <protection hidden="1"/>
    </xf>
    <xf numFmtId="0" fontId="3" fillId="0" borderId="0" xfId="0" applyFont="1" applyAlignment="1" applyProtection="1">
      <alignment horizontal="left" vertical="center" wrapText="1"/>
      <protection hidden="1"/>
    </xf>
    <xf numFmtId="0" fontId="13" fillId="0" borderId="0" xfId="0" applyFont="1" applyAlignment="1" applyProtection="1">
      <alignment vertical="center" wrapText="1"/>
      <protection hidden="1"/>
    </xf>
    <xf numFmtId="0" fontId="3" fillId="3" borderId="2" xfId="0" applyFont="1" applyFill="1" applyBorder="1" applyAlignment="1" applyProtection="1">
      <alignment horizontal="center" vertical="center" wrapText="1"/>
      <protection hidden="1"/>
    </xf>
    <xf numFmtId="0" fontId="3" fillId="0" borderId="2" xfId="0" applyFont="1" applyBorder="1" applyAlignment="1" applyProtection="1">
      <alignment vertical="center" wrapText="1"/>
      <protection hidden="1"/>
    </xf>
    <xf numFmtId="164" fontId="3" fillId="0" borderId="0" xfId="0" applyNumberFormat="1" applyFont="1" applyAlignment="1" applyProtection="1">
      <alignment vertical="center" wrapText="1"/>
      <protection hidden="1"/>
    </xf>
    <xf numFmtId="0" fontId="14" fillId="0" borderId="0" xfId="0" applyFont="1" applyAlignment="1" applyProtection="1">
      <alignment horizontal="center" vertical="center" wrapText="1"/>
      <protection hidden="1"/>
    </xf>
    <xf numFmtId="0" fontId="3" fillId="0" borderId="5" xfId="0" applyFont="1" applyBorder="1" applyAlignment="1" applyProtection="1">
      <alignment vertical="center" wrapText="1"/>
      <protection hidden="1"/>
    </xf>
    <xf numFmtId="164" fontId="3" fillId="0" borderId="5" xfId="0" applyNumberFormat="1" applyFont="1" applyBorder="1" applyAlignment="1" applyProtection="1">
      <alignment vertical="center" wrapText="1"/>
      <protection hidden="1"/>
    </xf>
    <xf numFmtId="0" fontId="3" fillId="0" borderId="5" xfId="0" applyFont="1" applyBorder="1" applyAlignment="1" applyProtection="1">
      <alignment horizontal="left" vertical="center" wrapText="1"/>
      <protection hidden="1"/>
    </xf>
    <xf numFmtId="2" fontId="3" fillId="0" borderId="5" xfId="0" applyNumberFormat="1" applyFont="1" applyBorder="1" applyAlignment="1" applyProtection="1">
      <alignment horizontal="left" vertical="center" wrapText="1"/>
      <protection hidden="1"/>
    </xf>
    <xf numFmtId="0" fontId="3" fillId="3" borderId="0" xfId="0" applyFont="1" applyFill="1" applyAlignment="1" applyProtection="1">
      <alignment horizontal="center" vertical="center" wrapText="1"/>
      <protection hidden="1"/>
    </xf>
    <xf numFmtId="164" fontId="3" fillId="3" borderId="15" xfId="0" applyNumberFormat="1" applyFont="1" applyFill="1" applyBorder="1" applyAlignment="1" applyProtection="1">
      <alignment vertical="center" wrapText="1"/>
      <protection hidden="1"/>
    </xf>
    <xf numFmtId="164" fontId="3" fillId="0" borderId="15" xfId="0" applyNumberFormat="1" applyFont="1" applyBorder="1" applyAlignment="1" applyProtection="1">
      <alignment vertical="center" wrapText="1"/>
      <protection hidden="1"/>
    </xf>
    <xf numFmtId="0" fontId="3" fillId="0" borderId="15" xfId="0" applyFont="1" applyBorder="1" applyAlignment="1" applyProtection="1">
      <alignment vertical="center" wrapText="1"/>
      <protection hidden="1"/>
    </xf>
    <xf numFmtId="9" fontId="3" fillId="0" borderId="0" xfId="2" applyFont="1" applyAlignment="1" applyProtection="1">
      <alignment vertical="center" wrapText="1"/>
      <protection hidden="1"/>
    </xf>
    <xf numFmtId="9" fontId="3" fillId="0" borderId="0" xfId="0" applyNumberFormat="1" applyFont="1" applyAlignment="1" applyProtection="1">
      <alignment vertical="center" wrapText="1"/>
      <protection hidden="1"/>
    </xf>
    <xf numFmtId="43" fontId="3" fillId="0" borderId="0" xfId="1" applyFont="1" applyAlignment="1" applyProtection="1">
      <alignment vertical="center" wrapText="1"/>
      <protection hidden="1"/>
    </xf>
    <xf numFmtId="0" fontId="3" fillId="3" borderId="2" xfId="0" applyFont="1" applyFill="1" applyBorder="1" applyAlignment="1" applyProtection="1">
      <alignment vertical="center" wrapText="1"/>
      <protection hidden="1"/>
    </xf>
    <xf numFmtId="4" fontId="3" fillId="0" borderId="5" xfId="2" applyNumberFormat="1" applyFont="1" applyFill="1" applyBorder="1" applyAlignment="1" applyProtection="1">
      <alignment horizontal="right" vertical="center" wrapText="1" readingOrder="1"/>
      <protection hidden="1"/>
    </xf>
    <xf numFmtId="4" fontId="3" fillId="0" borderId="1" xfId="2" applyNumberFormat="1" applyFont="1" applyFill="1" applyBorder="1" applyAlignment="1" applyProtection="1">
      <alignment horizontal="right" vertical="center" wrapText="1" readingOrder="1"/>
      <protection hidden="1"/>
    </xf>
    <xf numFmtId="4" fontId="3" fillId="0" borderId="15" xfId="2" applyNumberFormat="1" applyFont="1" applyFill="1" applyBorder="1" applyAlignment="1" applyProtection="1">
      <alignment horizontal="right" vertical="center" wrapText="1" readingOrder="1"/>
      <protection hidden="1"/>
    </xf>
    <xf numFmtId="0" fontId="3" fillId="3" borderId="1" xfId="0" applyFont="1" applyFill="1" applyBorder="1" applyAlignment="1" applyProtection="1">
      <alignment horizontal="center" vertical="center" wrapText="1"/>
      <protection hidden="1"/>
    </xf>
    <xf numFmtId="164" fontId="13" fillId="0" borderId="0" xfId="0" applyNumberFormat="1" applyFont="1" applyAlignment="1" applyProtection="1">
      <alignment vertical="center" wrapText="1"/>
      <protection hidden="1"/>
    </xf>
    <xf numFmtId="10" fontId="3" fillId="0" borderId="0" xfId="2" applyNumberFormat="1" applyFont="1" applyBorder="1" applyAlignment="1" applyProtection="1">
      <alignment horizontal="right" vertical="center" wrapText="1"/>
      <protection hidden="1"/>
    </xf>
    <xf numFmtId="165" fontId="13" fillId="0" borderId="0" xfId="1" applyNumberFormat="1" applyFont="1" applyBorder="1" applyAlignment="1" applyProtection="1">
      <alignment horizontal="right" vertical="center" wrapText="1"/>
      <protection hidden="1"/>
    </xf>
    <xf numFmtId="10" fontId="13" fillId="0" borderId="0" xfId="0" applyNumberFormat="1" applyFont="1" applyAlignment="1" applyProtection="1">
      <alignment vertical="center" wrapText="1"/>
      <protection hidden="1"/>
    </xf>
    <xf numFmtId="0" fontId="3" fillId="0" borderId="0" xfId="0" applyFont="1" applyAlignment="1" applyProtection="1">
      <alignment horizontal="justify" wrapText="1"/>
      <protection hidden="1"/>
    </xf>
    <xf numFmtId="0" fontId="14" fillId="0" borderId="0" xfId="0" applyFont="1" applyAlignment="1" applyProtection="1">
      <alignment vertical="center" wrapText="1"/>
      <protection hidden="1"/>
    </xf>
    <xf numFmtId="0" fontId="3" fillId="0" borderId="11" xfId="0" applyFont="1" applyBorder="1" applyAlignment="1" applyProtection="1">
      <alignment vertical="center" wrapText="1"/>
      <protection hidden="1"/>
    </xf>
    <xf numFmtId="0" fontId="13" fillId="0" borderId="0" xfId="0" applyFont="1" applyAlignment="1" applyProtection="1">
      <alignment horizontal="left" vertical="center" wrapText="1"/>
      <protection hidden="1"/>
    </xf>
    <xf numFmtId="4" fontId="13" fillId="0" borderId="0" xfId="0" applyNumberFormat="1" applyFont="1" applyAlignment="1" applyProtection="1">
      <alignment vertical="center" wrapText="1"/>
      <protection hidden="1"/>
    </xf>
    <xf numFmtId="0" fontId="7" fillId="0" borderId="30" xfId="0" applyFont="1" applyBorder="1" applyAlignment="1">
      <alignment horizontal="left" vertical="center" wrapText="1" indent="1"/>
    </xf>
    <xf numFmtId="0" fontId="7" fillId="0" borderId="5" xfId="0" applyFont="1" applyBorder="1" applyAlignment="1">
      <alignment horizontal="left" vertical="center" wrapText="1" indent="1"/>
    </xf>
    <xf numFmtId="0" fontId="7" fillId="0" borderId="31" xfId="0" applyFont="1" applyBorder="1" applyAlignment="1">
      <alignment horizontal="left" vertical="center" wrapText="1" indent="1"/>
    </xf>
    <xf numFmtId="172" fontId="7" fillId="0" borderId="30" xfId="0" applyNumberFormat="1" applyFont="1" applyBorder="1" applyAlignment="1">
      <alignment horizontal="right" vertical="center" wrapText="1"/>
    </xf>
    <xf numFmtId="172" fontId="7" fillId="0" borderId="5" xfId="0" applyNumberFormat="1" applyFont="1" applyBorder="1" applyAlignment="1">
      <alignment horizontal="right" vertical="center" wrapText="1"/>
    </xf>
    <xf numFmtId="172" fontId="7" fillId="0" borderId="31" xfId="0" applyNumberFormat="1" applyFont="1" applyBorder="1" applyAlignment="1">
      <alignment horizontal="right" vertical="center" wrapText="1"/>
    </xf>
    <xf numFmtId="0" fontId="7" fillId="0" borderId="0" xfId="0" applyFont="1" applyAlignment="1">
      <alignment horizontal="justify" vertical="top" wrapText="1"/>
    </xf>
    <xf numFmtId="2" fontId="11" fillId="0" borderId="5" xfId="1" applyNumberFormat="1" applyFont="1" applyBorder="1" applyAlignment="1">
      <alignment horizontal="right" vertical="center" wrapText="1" indent="1"/>
    </xf>
    <xf numFmtId="0" fontId="7" fillId="0" borderId="15" xfId="0" applyFont="1" applyBorder="1" applyAlignment="1">
      <alignment horizontal="left" vertical="center" wrapText="1" indent="1"/>
    </xf>
    <xf numFmtId="170" fontId="7" fillId="0" borderId="15" xfId="0" applyNumberFormat="1" applyFont="1" applyBorder="1" applyAlignment="1">
      <alignment horizontal="right" vertical="center" wrapText="1" indent="1"/>
    </xf>
    <xf numFmtId="0" fontId="9" fillId="2" borderId="1" xfId="0" applyFont="1" applyFill="1" applyBorder="1" applyAlignment="1">
      <alignment horizontal="left" vertical="center" wrapText="1"/>
    </xf>
    <xf numFmtId="0" fontId="9" fillId="0" borderId="26" xfId="0" applyFont="1" applyBorder="1" applyAlignment="1">
      <alignment horizontal="center" vertical="top" wrapText="1"/>
    </xf>
    <xf numFmtId="0" fontId="9" fillId="0" borderId="27" xfId="0" applyFont="1" applyBorder="1" applyAlignment="1">
      <alignment horizontal="center" vertical="top" wrapText="1"/>
    </xf>
    <xf numFmtId="0" fontId="9" fillId="0" borderId="28" xfId="0" applyFont="1" applyBorder="1" applyAlignment="1">
      <alignment horizontal="center" vertical="top" wrapText="1"/>
    </xf>
    <xf numFmtId="170" fontId="7" fillId="0" borderId="5" xfId="0" applyNumberFormat="1" applyFont="1" applyBorder="1" applyAlignment="1">
      <alignment horizontal="right" vertical="center" wrapText="1" indent="1"/>
    </xf>
    <xf numFmtId="171" fontId="7" fillId="0" borderId="5" xfId="0" applyNumberFormat="1" applyFont="1" applyBorder="1" applyAlignment="1">
      <alignment horizontal="right" vertical="center" wrapText="1" indent="1"/>
    </xf>
    <xf numFmtId="0" fontId="7" fillId="0" borderId="8" xfId="0" applyFont="1" applyBorder="1" applyAlignment="1">
      <alignment horizontal="left" vertical="top" wrapText="1" indent="1"/>
    </xf>
    <xf numFmtId="0" fontId="7" fillId="0" borderId="2" xfId="0" applyFont="1" applyBorder="1" applyAlignment="1">
      <alignment horizontal="left" vertical="top" wrapText="1" indent="1"/>
    </xf>
    <xf numFmtId="0" fontId="7" fillId="0" borderId="8" xfId="0" applyFont="1" applyBorder="1" applyAlignment="1">
      <alignment horizontal="left" vertical="center" wrapText="1" indent="1"/>
    </xf>
    <xf numFmtId="171" fontId="7" fillId="0" borderId="8" xfId="0" applyNumberFormat="1" applyFont="1" applyBorder="1" applyAlignment="1">
      <alignment horizontal="right" vertical="center" wrapText="1" indent="1"/>
    </xf>
    <xf numFmtId="170" fontId="7" fillId="0" borderId="8" xfId="0" applyNumberFormat="1" applyFont="1" applyBorder="1" applyAlignment="1">
      <alignment horizontal="right" vertical="center" wrapText="1" indent="1"/>
    </xf>
    <xf numFmtId="2" fontId="11" fillId="0" borderId="8" xfId="1" applyNumberFormat="1" applyFont="1" applyBorder="1" applyAlignment="1">
      <alignment horizontal="right" vertical="center" wrapText="1" indent="1"/>
    </xf>
    <xf numFmtId="0" fontId="7" fillId="0" borderId="0" xfId="0" applyFont="1" applyAlignment="1">
      <alignment horizontal="left" vertical="top" wrapText="1" indent="1"/>
    </xf>
    <xf numFmtId="0" fontId="8" fillId="4" borderId="1" xfId="0" applyFont="1" applyFill="1" applyBorder="1" applyAlignment="1">
      <alignment horizontal="left" vertical="center" wrapText="1" indent="1"/>
    </xf>
    <xf numFmtId="0" fontId="8" fillId="6" borderId="0" xfId="0" applyFont="1" applyFill="1" applyAlignment="1">
      <alignment horizontal="center" vertical="center" wrapText="1"/>
    </xf>
    <xf numFmtId="0" fontId="9" fillId="2" borderId="2" xfId="0" applyFont="1" applyFill="1" applyBorder="1" applyAlignment="1">
      <alignment horizontal="center" vertical="center" wrapText="1"/>
    </xf>
    <xf numFmtId="0" fontId="3" fillId="0" borderId="0" xfId="0" applyFont="1" applyAlignment="1" applyProtection="1">
      <alignment horizontal="justify" vertical="center" wrapText="1"/>
      <protection hidden="1"/>
    </xf>
    <xf numFmtId="0" fontId="3" fillId="3" borderId="2" xfId="0" applyFont="1" applyFill="1" applyBorder="1" applyAlignment="1" applyProtection="1">
      <alignment horizontal="center" vertical="center" wrapText="1"/>
      <protection hidden="1"/>
    </xf>
    <xf numFmtId="0" fontId="3" fillId="0" borderId="2" xfId="0" applyFont="1" applyBorder="1" applyAlignment="1" applyProtection="1">
      <alignment vertical="center" wrapText="1"/>
      <protection hidden="1"/>
    </xf>
    <xf numFmtId="0" fontId="3" fillId="0" borderId="0" xfId="0" applyFont="1" applyAlignment="1" applyProtection="1">
      <alignment vertical="center" wrapText="1"/>
      <protection hidden="1"/>
    </xf>
    <xf numFmtId="0" fontId="3" fillId="0" borderId="5" xfId="0" applyFont="1" applyBorder="1" applyAlignment="1" applyProtection="1">
      <alignment vertical="center" wrapText="1"/>
      <protection hidden="1"/>
    </xf>
    <xf numFmtId="164" fontId="3" fillId="0" borderId="2" xfId="0" applyNumberFormat="1" applyFont="1" applyBorder="1" applyAlignment="1" applyProtection="1">
      <alignment vertical="center" wrapText="1"/>
      <protection hidden="1"/>
    </xf>
    <xf numFmtId="10" fontId="3" fillId="0" borderId="2" xfId="2" applyNumberFormat="1" applyFont="1" applyBorder="1" applyAlignment="1" applyProtection="1">
      <alignment vertical="center" wrapText="1"/>
      <protection hidden="1"/>
    </xf>
    <xf numFmtId="164" fontId="3" fillId="0" borderId="0" xfId="0" applyNumberFormat="1" applyFont="1" applyAlignment="1" applyProtection="1">
      <alignment vertical="center" wrapText="1"/>
      <protection hidden="1"/>
    </xf>
    <xf numFmtId="0" fontId="2" fillId="5" borderId="2" xfId="0" applyFont="1" applyFill="1" applyBorder="1" applyAlignment="1" applyProtection="1">
      <alignment vertical="center" wrapText="1"/>
      <protection hidden="1"/>
    </xf>
    <xf numFmtId="0" fontId="3" fillId="3" borderId="0" xfId="0" applyFont="1" applyFill="1" applyAlignment="1" applyProtection="1">
      <alignment horizontal="center" vertical="center" wrapText="1"/>
      <protection hidden="1"/>
    </xf>
    <xf numFmtId="164" fontId="3" fillId="0" borderId="15" xfId="0" applyNumberFormat="1" applyFont="1" applyBorder="1" applyAlignment="1" applyProtection="1">
      <alignment vertical="center" wrapText="1"/>
      <protection hidden="1"/>
    </xf>
    <xf numFmtId="4" fontId="3" fillId="0" borderId="0" xfId="2" applyNumberFormat="1" applyFont="1" applyFill="1" applyAlignment="1" applyProtection="1">
      <alignment horizontal="right" vertical="center" wrapText="1" readingOrder="1"/>
      <protection hidden="1"/>
    </xf>
    <xf numFmtId="4" fontId="3" fillId="0" borderId="5" xfId="2" applyNumberFormat="1" applyFont="1" applyFill="1" applyBorder="1" applyAlignment="1" applyProtection="1">
      <alignment horizontal="right" vertical="center" wrapText="1" readingOrder="1"/>
      <protection hidden="1"/>
    </xf>
    <xf numFmtId="0" fontId="13" fillId="0" borderId="0" xfId="0" applyFont="1" applyAlignment="1" applyProtection="1">
      <alignment vertical="center" wrapText="1"/>
      <protection hidden="1"/>
    </xf>
    <xf numFmtId="164" fontId="3" fillId="0" borderId="2" xfId="0" applyNumberFormat="1" applyFont="1" applyBorder="1" applyAlignment="1" applyProtection="1">
      <alignment horizontal="right" vertical="center" wrapText="1"/>
      <protection hidden="1"/>
    </xf>
    <xf numFmtId="0" fontId="3" fillId="0" borderId="2" xfId="0" applyFont="1" applyBorder="1" applyAlignment="1" applyProtection="1">
      <alignment horizontal="right" vertical="center" wrapText="1"/>
      <protection hidden="1"/>
    </xf>
    <xf numFmtId="0" fontId="3" fillId="0" borderId="0" xfId="0" applyFont="1" applyAlignment="1" applyProtection="1">
      <alignment horizontal="center" vertical="center" wrapText="1"/>
      <protection hidden="1"/>
    </xf>
    <xf numFmtId="0" fontId="2" fillId="0" borderId="0" xfId="0" applyFont="1" applyAlignment="1" applyProtection="1">
      <alignment vertical="center" wrapText="1"/>
      <protection hidden="1"/>
    </xf>
    <xf numFmtId="0" fontId="2" fillId="3" borderId="0" xfId="0" applyFont="1" applyFill="1" applyAlignment="1" applyProtection="1">
      <alignment horizontal="left" vertical="center" wrapText="1"/>
      <protection hidden="1"/>
    </xf>
    <xf numFmtId="10" fontId="3" fillId="0" borderId="2" xfId="0" applyNumberFormat="1" applyFont="1" applyBorder="1" applyAlignment="1" applyProtection="1">
      <alignment vertical="center" wrapText="1"/>
      <protection hidden="1"/>
    </xf>
    <xf numFmtId="0" fontId="3" fillId="0" borderId="5" xfId="0" applyFont="1" applyBorder="1" applyAlignment="1" applyProtection="1">
      <alignment horizontal="right" vertical="center" wrapText="1"/>
      <protection hidden="1"/>
    </xf>
    <xf numFmtId="164" fontId="3" fillId="0" borderId="5" xfId="0" applyNumberFormat="1" applyFont="1" applyBorder="1" applyAlignment="1" applyProtection="1">
      <alignment vertical="center" wrapText="1"/>
      <protection hidden="1"/>
    </xf>
    <xf numFmtId="0" fontId="2" fillId="0" borderId="3" xfId="0" applyFont="1" applyBorder="1" applyAlignment="1" applyProtection="1">
      <alignment horizontal="center" vertical="center" wrapText="1"/>
      <protection hidden="1"/>
    </xf>
    <xf numFmtId="0" fontId="2" fillId="0" borderId="0" xfId="0" applyFont="1" applyAlignment="1" applyProtection="1">
      <alignment horizontal="center" vertical="center" wrapText="1"/>
      <protection hidden="1"/>
    </xf>
    <xf numFmtId="0" fontId="3" fillId="0" borderId="3" xfId="0" applyFont="1" applyBorder="1" applyAlignment="1" applyProtection="1">
      <alignment horizontal="center" vertical="center" wrapText="1"/>
      <protection hidden="1"/>
    </xf>
    <xf numFmtId="0" fontId="3" fillId="0" borderId="4" xfId="0" applyFont="1" applyBorder="1" applyAlignment="1" applyProtection="1">
      <alignment horizontal="center" vertical="center" wrapText="1"/>
      <protection hidden="1"/>
    </xf>
    <xf numFmtId="0" fontId="3" fillId="0" borderId="5" xfId="0" applyFont="1" applyBorder="1" applyAlignment="1" applyProtection="1">
      <alignment horizontal="center" vertical="center" wrapText="1"/>
      <protection hidden="1"/>
    </xf>
    <xf numFmtId="0" fontId="3" fillId="0" borderId="6" xfId="0" applyFont="1" applyBorder="1" applyAlignment="1" applyProtection="1">
      <alignment horizontal="center" vertical="center" wrapText="1"/>
      <protection hidden="1"/>
    </xf>
    <xf numFmtId="0" fontId="3" fillId="3" borderId="4" xfId="0" applyFont="1" applyFill="1" applyBorder="1" applyAlignment="1" applyProtection="1">
      <alignment horizontal="center" vertical="center" wrapText="1"/>
      <protection hidden="1"/>
    </xf>
    <xf numFmtId="0" fontId="3" fillId="3" borderId="5" xfId="0" applyFont="1" applyFill="1" applyBorder="1" applyAlignment="1" applyProtection="1">
      <alignment horizontal="center" vertical="center" wrapText="1"/>
      <protection hidden="1"/>
    </xf>
    <xf numFmtId="0" fontId="3" fillId="3" borderId="6" xfId="0" applyFont="1" applyFill="1" applyBorder="1" applyAlignment="1" applyProtection="1">
      <alignment horizontal="center" vertical="center" wrapText="1"/>
      <protection hidden="1"/>
    </xf>
    <xf numFmtId="10" fontId="3" fillId="0" borderId="2" xfId="2" applyNumberFormat="1" applyFont="1" applyBorder="1" applyAlignment="1" applyProtection="1">
      <alignment horizontal="right" vertical="center" wrapText="1"/>
      <protection hidden="1"/>
    </xf>
    <xf numFmtId="0" fontId="2" fillId="3" borderId="0" xfId="0" applyFont="1" applyFill="1" applyAlignment="1" applyProtection="1">
      <alignment horizontal="center" vertical="center" wrapText="1"/>
      <protection hidden="1"/>
    </xf>
    <xf numFmtId="10" fontId="3" fillId="0" borderId="5" xfId="2" applyNumberFormat="1" applyFont="1" applyFill="1" applyBorder="1" applyAlignment="1" applyProtection="1">
      <alignment vertical="center" wrapText="1"/>
      <protection hidden="1"/>
    </xf>
    <xf numFmtId="0" fontId="2" fillId="0" borderId="2" xfId="0" applyFont="1" applyBorder="1" applyAlignment="1" applyProtection="1">
      <alignment vertical="center" wrapText="1"/>
      <protection hidden="1"/>
    </xf>
    <xf numFmtId="167" fontId="2" fillId="0" borderId="2" xfId="0" applyNumberFormat="1" applyFont="1" applyBorder="1" applyAlignment="1" applyProtection="1">
      <alignment horizontal="right" vertical="center" wrapText="1"/>
      <protection hidden="1"/>
    </xf>
    <xf numFmtId="0" fontId="3" fillId="0" borderId="0" xfId="0" applyFont="1" applyAlignment="1" applyProtection="1">
      <alignment horizontal="justify" wrapText="1"/>
      <protection hidden="1"/>
    </xf>
    <xf numFmtId="0" fontId="3" fillId="0" borderId="0" xfId="0" applyFont="1" applyAlignment="1" applyProtection="1">
      <alignment horizontal="right" vertical="center" wrapText="1"/>
      <protection hidden="1"/>
    </xf>
    <xf numFmtId="10" fontId="3" fillId="0" borderId="0" xfId="0" applyNumberFormat="1" applyFont="1" applyAlignment="1" applyProtection="1">
      <alignment vertical="center" wrapText="1"/>
      <protection hidden="1"/>
    </xf>
    <xf numFmtId="165" fontId="3" fillId="0" borderId="5" xfId="1" applyNumberFormat="1" applyFont="1" applyBorder="1" applyAlignment="1" applyProtection="1">
      <alignment horizontal="right" vertical="center" wrapText="1"/>
      <protection hidden="1"/>
    </xf>
    <xf numFmtId="1" fontId="3" fillId="0" borderId="2" xfId="1" applyNumberFormat="1" applyFont="1" applyBorder="1" applyAlignment="1" applyProtection="1">
      <alignment horizontal="right" vertical="center" wrapText="1"/>
      <protection hidden="1"/>
    </xf>
    <xf numFmtId="9" fontId="3" fillId="0" borderId="2" xfId="2" applyFont="1" applyBorder="1" applyAlignment="1" applyProtection="1">
      <alignment vertical="center" wrapText="1"/>
      <protection hidden="1"/>
    </xf>
    <xf numFmtId="0" fontId="3" fillId="3" borderId="1" xfId="0" applyFont="1" applyFill="1" applyBorder="1" applyAlignment="1" applyProtection="1">
      <alignment horizontal="center" vertical="center" wrapText="1"/>
      <protection hidden="1"/>
    </xf>
    <xf numFmtId="164" fontId="3" fillId="0" borderId="2" xfId="0" applyNumberFormat="1" applyFont="1" applyBorder="1" applyAlignment="1" applyProtection="1">
      <alignment horizontal="center" vertical="center" wrapText="1"/>
      <protection hidden="1"/>
    </xf>
    <xf numFmtId="164" fontId="3" fillId="0" borderId="5" xfId="0" applyNumberFormat="1" applyFont="1" applyBorder="1" applyAlignment="1" applyProtection="1">
      <alignment horizontal="center" vertical="center" wrapText="1"/>
      <protection hidden="1"/>
    </xf>
    <xf numFmtId="164" fontId="3" fillId="0" borderId="15" xfId="0" applyNumberFormat="1" applyFont="1" applyBorder="1" applyAlignment="1" applyProtection="1">
      <alignment horizontal="center" vertical="center" wrapText="1"/>
      <protection hidden="1"/>
    </xf>
    <xf numFmtId="164" fontId="3" fillId="0" borderId="0" xfId="0" applyNumberFormat="1" applyFont="1" applyAlignment="1" applyProtection="1">
      <alignment horizontal="right" vertical="center" wrapText="1"/>
      <protection hidden="1"/>
    </xf>
    <xf numFmtId="164" fontId="3" fillId="0" borderId="5" xfId="0" applyNumberFormat="1" applyFont="1" applyBorder="1" applyAlignment="1" applyProtection="1">
      <alignment horizontal="right" vertical="center" wrapText="1"/>
      <protection hidden="1"/>
    </xf>
    <xf numFmtId="164" fontId="3" fillId="0" borderId="15" xfId="0" applyNumberFormat="1" applyFont="1" applyBorder="1" applyAlignment="1" applyProtection="1">
      <alignment horizontal="right" vertical="center" wrapText="1"/>
      <protection hidden="1"/>
    </xf>
    <xf numFmtId="4" fontId="3" fillId="0" borderId="2" xfId="0" applyNumberFormat="1" applyFont="1" applyBorder="1" applyAlignment="1" applyProtection="1">
      <alignment horizontal="right" vertical="center" wrapText="1"/>
      <protection hidden="1"/>
    </xf>
    <xf numFmtId="164" fontId="3" fillId="0" borderId="1" xfId="0" applyNumberFormat="1" applyFont="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3" fillId="0" borderId="15" xfId="0" applyFont="1" applyBorder="1" applyAlignment="1" applyProtection="1">
      <alignment vertical="center" wrapText="1"/>
      <protection hidden="1"/>
    </xf>
    <xf numFmtId="0" fontId="3" fillId="0" borderId="2" xfId="0" applyFont="1" applyBorder="1" applyAlignment="1" applyProtection="1">
      <alignment horizontal="justify" vertical="center" wrapText="1"/>
      <protection hidden="1"/>
    </xf>
    <xf numFmtId="0" fontId="2" fillId="3" borderId="2" xfId="0" applyFont="1" applyFill="1" applyBorder="1" applyAlignment="1" applyProtection="1">
      <alignment horizontal="center" vertical="center" wrapText="1"/>
      <protection hidden="1"/>
    </xf>
    <xf numFmtId="164" fontId="3" fillId="0" borderId="0" xfId="0" applyNumberFormat="1" applyFont="1" applyAlignment="1" applyProtection="1">
      <alignment horizontal="center" vertical="center" wrapText="1"/>
      <protection hidden="1"/>
    </xf>
    <xf numFmtId="0" fontId="2" fillId="0" borderId="1" xfId="0" applyFont="1" applyBorder="1" applyAlignment="1" applyProtection="1">
      <alignment horizontal="center" vertical="center" wrapText="1"/>
      <protection hidden="1"/>
    </xf>
    <xf numFmtId="0" fontId="2" fillId="5" borderId="0" xfId="0" applyFont="1" applyFill="1" applyAlignment="1" applyProtection="1">
      <alignment vertical="center" wrapText="1"/>
      <protection hidden="1"/>
    </xf>
    <xf numFmtId="9" fontId="3" fillId="0" borderId="5" xfId="2" applyFont="1" applyBorder="1" applyAlignment="1" applyProtection="1">
      <alignment horizontal="right" vertical="center" wrapText="1"/>
      <protection hidden="1"/>
    </xf>
    <xf numFmtId="0" fontId="3" fillId="0" borderId="0" xfId="0" applyFont="1" applyAlignment="1" applyProtection="1">
      <alignment horizontal="left" vertical="center" wrapText="1"/>
      <protection hidden="1"/>
    </xf>
    <xf numFmtId="0" fontId="14" fillId="0" borderId="8" xfId="0" applyFont="1" applyBorder="1" applyAlignment="1" applyProtection="1">
      <alignment horizontal="center" vertical="center" wrapText="1"/>
      <protection hidden="1"/>
    </xf>
    <xf numFmtId="0" fontId="3" fillId="5"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wrapText="1"/>
      <protection hidden="1"/>
    </xf>
    <xf numFmtId="0" fontId="3" fillId="0" borderId="2" xfId="0" applyFont="1" applyBorder="1" applyAlignment="1" applyProtection="1">
      <alignment horizontal="center" vertical="center" wrapText="1"/>
      <protection hidden="1"/>
    </xf>
    <xf numFmtId="164" fontId="14" fillId="0" borderId="2" xfId="0" applyNumberFormat="1" applyFont="1" applyBorder="1" applyAlignment="1" applyProtection="1">
      <alignment horizontal="right" vertical="center" wrapText="1"/>
      <protection hidden="1"/>
    </xf>
    <xf numFmtId="0" fontId="14" fillId="0" borderId="2" xfId="0" applyFont="1" applyBorder="1" applyAlignment="1" applyProtection="1">
      <alignment horizontal="right" vertical="center" wrapText="1"/>
      <protection hidden="1"/>
    </xf>
    <xf numFmtId="164" fontId="14" fillId="0" borderId="2" xfId="0" applyNumberFormat="1" applyFont="1" applyBorder="1" applyAlignment="1" applyProtection="1">
      <alignment horizontal="left" vertical="center" wrapText="1"/>
      <protection hidden="1"/>
    </xf>
    <xf numFmtId="0" fontId="14" fillId="0" borderId="2" xfId="0" applyFont="1" applyBorder="1" applyAlignment="1" applyProtection="1">
      <alignment horizontal="left" vertical="center" wrapText="1"/>
      <protection hidden="1"/>
    </xf>
    <xf numFmtId="166" fontId="3" fillId="0" borderId="5" xfId="0" applyNumberFormat="1" applyFont="1" applyBorder="1" applyAlignment="1" applyProtection="1">
      <alignment horizontal="right" vertical="center" wrapText="1"/>
      <protection hidden="1"/>
    </xf>
    <xf numFmtId="164" fontId="2" fillId="0" borderId="2" xfId="0" applyNumberFormat="1" applyFont="1" applyBorder="1" applyAlignment="1" applyProtection="1">
      <alignment horizontal="center" vertical="center" wrapText="1"/>
      <protection hidden="1"/>
    </xf>
    <xf numFmtId="0" fontId="2" fillId="0" borderId="2" xfId="0" applyFont="1" applyBorder="1" applyAlignment="1" applyProtection="1">
      <alignment horizontal="center" vertical="center" wrapText="1"/>
      <protection hidden="1"/>
    </xf>
    <xf numFmtId="9" fontId="3" fillId="0" borderId="3" xfId="2" applyFont="1" applyFill="1" applyBorder="1" applyAlignment="1" applyProtection="1">
      <alignment horizontal="center" vertical="center" wrapText="1"/>
      <protection hidden="1"/>
    </xf>
    <xf numFmtId="10" fontId="3" fillId="0" borderId="2" xfId="2" applyNumberFormat="1" applyFont="1" applyFill="1" applyBorder="1" applyAlignment="1" applyProtection="1">
      <alignment horizontal="right" vertical="center" wrapText="1"/>
      <protection hidden="1"/>
    </xf>
    <xf numFmtId="10" fontId="3" fillId="0" borderId="5" xfId="0" applyNumberFormat="1" applyFont="1" applyBorder="1" applyAlignment="1" applyProtection="1">
      <alignment vertical="center" wrapText="1"/>
      <protection hidden="1"/>
    </xf>
    <xf numFmtId="1" fontId="3" fillId="0" borderId="2" xfId="1" applyNumberFormat="1" applyFont="1" applyBorder="1" applyAlignment="1" applyProtection="1">
      <alignment vertical="center" wrapText="1"/>
      <protection hidden="1"/>
    </xf>
    <xf numFmtId="10" fontId="3" fillId="0" borderId="5" xfId="2" applyNumberFormat="1" applyFont="1" applyBorder="1" applyAlignment="1" applyProtection="1">
      <alignment vertical="center" wrapText="1"/>
      <protection hidden="1"/>
    </xf>
    <xf numFmtId="1" fontId="3" fillId="0" borderId="5" xfId="1" applyNumberFormat="1" applyFont="1" applyBorder="1" applyAlignment="1" applyProtection="1">
      <alignment horizontal="right" vertical="center" wrapText="1"/>
      <protection hidden="1"/>
    </xf>
    <xf numFmtId="0" fontId="5" fillId="0" borderId="0" xfId="0" applyFont="1" applyAlignment="1" applyProtection="1">
      <alignment horizontal="center" vertical="center"/>
      <protection locked="0"/>
    </xf>
    <xf numFmtId="0" fontId="5" fillId="0" borderId="0" xfId="0" applyFont="1" applyAlignment="1" applyProtection="1">
      <alignment horizontal="center" vertical="center"/>
      <protection hidden="1"/>
    </xf>
    <xf numFmtId="168" fontId="2" fillId="5" borderId="12" xfId="0" applyNumberFormat="1" applyFont="1" applyFill="1" applyBorder="1" applyAlignment="1" applyProtection="1">
      <alignment horizontal="left" vertical="center"/>
      <protection hidden="1"/>
    </xf>
    <xf numFmtId="168" fontId="2" fillId="5" borderId="7" xfId="0" applyNumberFormat="1" applyFont="1" applyFill="1" applyBorder="1" applyAlignment="1" applyProtection="1">
      <alignment horizontal="left" vertical="center"/>
      <protection hidden="1"/>
    </xf>
    <xf numFmtId="168" fontId="2" fillId="5" borderId="13" xfId="0" applyNumberFormat="1" applyFont="1" applyFill="1" applyBorder="1" applyAlignment="1" applyProtection="1">
      <alignment horizontal="left" vertical="center"/>
      <protection hidden="1"/>
    </xf>
    <xf numFmtId="0" fontId="0" fillId="0" borderId="3" xfId="0" applyBorder="1" applyAlignment="1" applyProtection="1">
      <alignment vertical="center"/>
      <protection hidden="1"/>
    </xf>
    <xf numFmtId="0" fontId="0" fillId="0" borderId="4" xfId="0" applyBorder="1" applyAlignment="1" applyProtection="1">
      <alignment vertical="center"/>
      <protection hidden="1"/>
    </xf>
    <xf numFmtId="0" fontId="0" fillId="0" borderId="5" xfId="0" applyBorder="1" applyAlignment="1" applyProtection="1">
      <alignment vertical="center"/>
      <protection hidden="1"/>
    </xf>
    <xf numFmtId="0" fontId="0" fillId="0" borderId="6" xfId="0" applyBorder="1" applyAlignment="1" applyProtection="1">
      <alignment vertical="center"/>
      <protection hidden="1"/>
    </xf>
    <xf numFmtId="0" fontId="0" fillId="0" borderId="3" xfId="0" applyBorder="1" applyAlignment="1" applyProtection="1">
      <alignment vertical="center" shrinkToFit="1"/>
      <protection hidden="1"/>
    </xf>
    <xf numFmtId="3" fontId="0" fillId="0" borderId="3" xfId="0" applyNumberFormat="1" applyBorder="1" applyAlignment="1" applyProtection="1">
      <alignment vertical="center"/>
      <protection hidden="1"/>
    </xf>
    <xf numFmtId="0" fontId="0" fillId="0" borderId="4" xfId="0" applyBorder="1" applyProtection="1">
      <protection hidden="1"/>
    </xf>
    <xf numFmtId="0" fontId="0" fillId="0" borderId="5" xfId="0" applyBorder="1" applyProtection="1">
      <protection hidden="1"/>
    </xf>
    <xf numFmtId="0" fontId="0" fillId="0" borderId="6" xfId="0" applyBorder="1" applyProtection="1">
      <protection hidden="1"/>
    </xf>
    <xf numFmtId="0" fontId="0" fillId="0" borderId="3" xfId="0" applyBorder="1" applyProtection="1">
      <protection hidden="1"/>
    </xf>
    <xf numFmtId="0" fontId="4" fillId="0" borderId="3" xfId="0" applyFont="1" applyBorder="1" applyProtection="1">
      <protection hidden="1"/>
    </xf>
    <xf numFmtId="0" fontId="2" fillId="0" borderId="0" xfId="0" applyFont="1" applyAlignment="1" applyProtection="1">
      <alignment vertical="center"/>
      <protection hidden="1"/>
    </xf>
    <xf numFmtId="168" fontId="2" fillId="5" borderId="9" xfId="0" applyNumberFormat="1" applyFont="1" applyFill="1" applyBorder="1" applyAlignment="1" applyProtection="1">
      <alignment horizontal="left" vertical="center"/>
      <protection hidden="1"/>
    </xf>
    <xf numFmtId="168" fontId="2" fillId="5" borderId="0" xfId="0" applyNumberFormat="1" applyFont="1" applyFill="1" applyAlignment="1" applyProtection="1">
      <alignment horizontal="left" vertical="center"/>
      <protection hidden="1"/>
    </xf>
    <xf numFmtId="168" fontId="2" fillId="5" borderId="10" xfId="0" applyNumberFormat="1" applyFont="1" applyFill="1" applyBorder="1" applyAlignment="1" applyProtection="1">
      <alignment horizontal="left" vertical="center"/>
      <protection hidden="1"/>
    </xf>
    <xf numFmtId="0" fontId="4" fillId="0" borderId="4" xfId="0" applyFont="1" applyBorder="1" applyProtection="1">
      <protection hidden="1"/>
    </xf>
    <xf numFmtId="0" fontId="4" fillId="0" borderId="5" xfId="0" applyFont="1" applyBorder="1" applyProtection="1">
      <protection hidden="1"/>
    </xf>
    <xf numFmtId="0" fontId="4" fillId="0" borderId="6" xfId="0" applyFont="1" applyBorder="1" applyProtection="1">
      <protection hidden="1"/>
    </xf>
    <xf numFmtId="0" fontId="2" fillId="0" borderId="4" xfId="0" applyFont="1" applyBorder="1" applyAlignment="1" applyProtection="1">
      <alignment vertical="center" wrapText="1"/>
      <protection hidden="1"/>
    </xf>
    <xf numFmtId="0" fontId="2" fillId="0" borderId="5" xfId="0" applyFont="1" applyBorder="1" applyAlignment="1" applyProtection="1">
      <alignment vertical="center" wrapText="1"/>
      <protection hidden="1"/>
    </xf>
    <xf numFmtId="0" fontId="2" fillId="0" borderId="3" xfId="0" applyFont="1" applyBorder="1" applyAlignment="1" applyProtection="1">
      <alignment vertical="center" wrapText="1"/>
      <protection hidden="1"/>
    </xf>
    <xf numFmtId="0" fontId="3" fillId="0" borderId="0" xfId="0" applyFont="1" applyAlignment="1" applyProtection="1">
      <alignment vertical="center"/>
      <protection hidden="1"/>
    </xf>
    <xf numFmtId="0" fontId="0" fillId="0" borderId="19" xfId="0" applyBorder="1" applyAlignment="1" applyProtection="1">
      <alignment vertical="center"/>
      <protection hidden="1"/>
    </xf>
    <xf numFmtId="0" fontId="0" fillId="0" borderId="20" xfId="0" applyBorder="1" applyAlignment="1" applyProtection="1">
      <alignment vertical="center"/>
      <protection hidden="1"/>
    </xf>
    <xf numFmtId="0" fontId="0" fillId="0" borderId="21" xfId="0" applyBorder="1" applyAlignment="1" applyProtection="1">
      <alignment vertical="center"/>
      <protection hidden="1"/>
    </xf>
    <xf numFmtId="0" fontId="0" fillId="0" borderId="23" xfId="0" applyBorder="1" applyAlignment="1" applyProtection="1">
      <alignment vertical="center"/>
      <protection hidden="1"/>
    </xf>
    <xf numFmtId="0" fontId="0" fillId="0" borderId="22" xfId="0" applyBorder="1" applyAlignment="1" applyProtection="1">
      <alignment vertical="center"/>
      <protection hidden="1"/>
    </xf>
    <xf numFmtId="0" fontId="0" fillId="0" borderId="24" xfId="0" applyBorder="1" applyAlignment="1" applyProtection="1">
      <alignment vertical="center"/>
      <protection hidden="1"/>
    </xf>
    <xf numFmtId="0" fontId="0" fillId="0" borderId="0" xfId="0" applyProtection="1">
      <protection hidden="1"/>
    </xf>
    <xf numFmtId="0" fontId="0" fillId="0" borderId="2" xfId="0" applyBorder="1" applyProtection="1">
      <protection hidden="1"/>
    </xf>
    <xf numFmtId="0" fontId="0" fillId="0" borderId="19" xfId="0" applyBorder="1" applyProtection="1">
      <protection hidden="1"/>
    </xf>
    <xf numFmtId="0" fontId="0" fillId="0" borderId="20" xfId="0" applyBorder="1" applyProtection="1">
      <protection hidden="1"/>
    </xf>
    <xf numFmtId="0" fontId="0" fillId="0" borderId="21" xfId="0" applyBorder="1" applyProtection="1">
      <protection hidden="1"/>
    </xf>
    <xf numFmtId="20" fontId="0" fillId="0" borderId="23" xfId="0" applyNumberFormat="1" applyBorder="1" applyProtection="1">
      <protection hidden="1"/>
    </xf>
    <xf numFmtId="20" fontId="0" fillId="0" borderId="22" xfId="0" applyNumberFormat="1" applyBorder="1" applyProtection="1">
      <protection hidden="1"/>
    </xf>
    <xf numFmtId="20" fontId="0" fillId="0" borderId="24" xfId="0" applyNumberFormat="1" applyBorder="1" applyProtection="1">
      <protection hidden="1"/>
    </xf>
  </cellXfs>
  <cellStyles count="3">
    <cellStyle name="Normal" xfId="0" builtinId="0"/>
    <cellStyle name="Porcentagem" xfId="2" builtinId="5"/>
    <cellStyle name="Vírgula" xfId="1" builtinId="3"/>
  </cellStyles>
  <dxfs count="11">
    <dxf>
      <fill>
        <patternFill>
          <bgColor rgb="FFFF0000"/>
        </patternFill>
      </fill>
    </dxf>
    <dxf>
      <fill>
        <patternFill>
          <bgColor rgb="FFFF0000"/>
        </patternFill>
      </fill>
    </dxf>
    <dxf>
      <fill>
        <patternFill>
          <bgColor rgb="FFFFFF00"/>
        </patternFill>
      </fill>
    </dxf>
    <dxf>
      <fill>
        <patternFill>
          <bgColor rgb="FFFFFF00"/>
        </patternFill>
      </fill>
    </dxf>
    <dxf>
      <fill>
        <patternFill>
          <bgColor theme="3" tint="0.749961851863155"/>
        </patternFill>
      </fill>
    </dxf>
    <dxf>
      <fill>
        <patternFill>
          <bgColor rgb="FFFFFF00"/>
        </patternFill>
      </fill>
    </dxf>
    <dxf>
      <fill>
        <patternFill>
          <bgColor theme="3" tint="0.749961851863155"/>
        </patternFill>
      </fill>
    </dxf>
    <dxf>
      <fill>
        <patternFill>
          <bgColor rgb="FFFFFF00"/>
        </patternFill>
      </fill>
    </dxf>
    <dxf>
      <fill>
        <patternFill>
          <bgColor theme="3" tint="0.749961851863155"/>
        </patternFill>
      </fill>
    </dxf>
    <dxf>
      <font>
        <color auto="1"/>
      </font>
      <fill>
        <patternFill>
          <bgColor rgb="FFFFFF00"/>
        </patternFill>
      </fill>
    </dxf>
    <dxf>
      <fill>
        <patternFill>
          <bgColor rgb="FFFFFF00"/>
        </patternFill>
      </fill>
    </dxf>
  </dxfs>
  <tableStyles count="0" defaultTableStyle="TableStyleMedium2" defaultPivotStyle="PivotStyleLight16"/>
  <colors>
    <mruColors>
      <color rgb="FF213A8F"/>
      <color rgb="FFB8C5EE"/>
      <color rgb="FFE52621"/>
      <color rgb="FFFFFFFF"/>
      <color rgb="FF010101"/>
      <color rgb="FFB9CFD9"/>
      <color rgb="FF156082"/>
      <color rgb="FF5B9BD5"/>
      <color rgb="FF99ACE7"/>
      <color rgb="FFCEDC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4.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5.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6.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7.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Ex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pt-BR" sz="1000" b="1"/>
              <a:t>Dispersão da amostra (critério Arley)</a:t>
            </a:r>
          </a:p>
        </c:rich>
      </c:tx>
      <c:layout>
        <c:manualLayout>
          <c:xMode val="edge"/>
          <c:yMode val="edge"/>
          <c:x val="0.37220625000000002"/>
          <c:y val="2.8222222222222221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lineChart>
        <c:grouping val="standard"/>
        <c:varyColors val="0"/>
        <c:ser>
          <c:idx val="1"/>
          <c:order val="1"/>
          <c:tx>
            <c:strRef>
              <c:f>TERRENO!$Y$252</c:f>
              <c:strCache>
                <c:ptCount val="1"/>
                <c:pt idx="0">
                  <c:v>Média</c:v>
                </c:pt>
              </c:strCache>
            </c:strRef>
          </c:tx>
          <c:spPr>
            <a:ln w="19050" cap="sq">
              <a:solidFill>
                <a:schemeClr val="tx1">
                  <a:lumMod val="75000"/>
                  <a:lumOff val="25000"/>
                </a:schemeClr>
              </a:solidFill>
              <a:prstDash val="dash"/>
              <a:round/>
            </a:ln>
            <a:effectLst/>
          </c:spPr>
          <c:marker>
            <c:symbol val="none"/>
          </c:marker>
          <c:val>
            <c:numRef>
              <c:f>TERRENO!$Y$253:$Y$255</c:f>
              <c:numCache>
                <c:formatCode>#,##0.00_ ;[Red]\-#,##0.00\ </c:formatCode>
                <c:ptCount val="3"/>
                <c:pt idx="0">
                  <c:v>549.52380952380952</c:v>
                </c:pt>
                <c:pt idx="1">
                  <c:v>549.52380952380952</c:v>
                </c:pt>
                <c:pt idx="2">
                  <c:v>549.52380952380952</c:v>
                </c:pt>
              </c:numCache>
            </c:numRef>
          </c:val>
          <c:smooth val="0"/>
          <c:extLst>
            <c:ext xmlns:c16="http://schemas.microsoft.com/office/drawing/2014/chart" uri="{C3380CC4-5D6E-409C-BE32-E72D297353CC}">
              <c16:uniqueId val="{00000000-1443-4631-873E-3E5C214F64BD}"/>
            </c:ext>
          </c:extLst>
        </c:ser>
        <c:ser>
          <c:idx val="3"/>
          <c:order val="2"/>
          <c:tx>
            <c:strRef>
              <c:f>TERRENO!$W$252</c:f>
              <c:strCache>
                <c:ptCount val="1"/>
                <c:pt idx="0">
                  <c:v>Limite inferior</c:v>
                </c:pt>
              </c:strCache>
            </c:strRef>
          </c:tx>
          <c:spPr>
            <a:ln w="12700" cap="sq">
              <a:solidFill>
                <a:srgbClr val="FF0000"/>
              </a:solidFill>
              <a:round/>
            </a:ln>
            <a:effectLst/>
          </c:spPr>
          <c:marker>
            <c:symbol val="none"/>
          </c:marker>
          <c:val>
            <c:numRef>
              <c:f>TERRENO!$W$253:$W$255</c:f>
              <c:numCache>
                <c:formatCode>#,##0.00_ ;[Red]\-#,##0.00\ </c:formatCode>
                <c:ptCount val="3"/>
                <c:pt idx="0">
                  <c:v>489.31817920196681</c:v>
                </c:pt>
                <c:pt idx="1">
                  <c:v>489.31817920196681</c:v>
                </c:pt>
                <c:pt idx="2">
                  <c:v>489.31817920196681</c:v>
                </c:pt>
              </c:numCache>
            </c:numRef>
          </c:val>
          <c:smooth val="0"/>
          <c:extLst>
            <c:ext xmlns:c16="http://schemas.microsoft.com/office/drawing/2014/chart" uri="{C3380CC4-5D6E-409C-BE32-E72D297353CC}">
              <c16:uniqueId val="{00000002-1443-4631-873E-3E5C214F64BD}"/>
            </c:ext>
          </c:extLst>
        </c:ser>
        <c:ser>
          <c:idx val="2"/>
          <c:order val="3"/>
          <c:tx>
            <c:strRef>
              <c:f>TERRENO!$X$252</c:f>
              <c:strCache>
                <c:ptCount val="1"/>
                <c:pt idx="0">
                  <c:v>Limite superior</c:v>
                </c:pt>
              </c:strCache>
            </c:strRef>
          </c:tx>
          <c:spPr>
            <a:ln w="12700" cap="sq">
              <a:solidFill>
                <a:schemeClr val="tx2">
                  <a:lumMod val="50000"/>
                  <a:lumOff val="50000"/>
                </a:schemeClr>
              </a:solidFill>
              <a:round/>
            </a:ln>
            <a:effectLst/>
          </c:spPr>
          <c:marker>
            <c:symbol val="none"/>
          </c:marker>
          <c:val>
            <c:numRef>
              <c:f>TERRENO!$X$253:$X$255</c:f>
              <c:numCache>
                <c:formatCode>#,##0.00_ ;[Red]\-#,##0.00\ </c:formatCode>
                <c:ptCount val="3"/>
                <c:pt idx="0">
                  <c:v>609.72943984565222</c:v>
                </c:pt>
                <c:pt idx="1">
                  <c:v>609.72943984565222</c:v>
                </c:pt>
                <c:pt idx="2">
                  <c:v>609.72943984565222</c:v>
                </c:pt>
              </c:numCache>
            </c:numRef>
          </c:val>
          <c:smooth val="0"/>
          <c:extLst>
            <c:ext xmlns:c16="http://schemas.microsoft.com/office/drawing/2014/chart" uri="{C3380CC4-5D6E-409C-BE32-E72D297353CC}">
              <c16:uniqueId val="{00000001-1443-4631-873E-3E5C214F64BD}"/>
            </c:ext>
          </c:extLst>
        </c:ser>
        <c:dLbls>
          <c:showLegendKey val="0"/>
          <c:showVal val="0"/>
          <c:showCatName val="0"/>
          <c:showSerName val="0"/>
          <c:showPercent val="0"/>
          <c:showBubbleSize val="0"/>
        </c:dLbls>
        <c:marker val="1"/>
        <c:smooth val="0"/>
        <c:axId val="417256671"/>
        <c:axId val="417258591"/>
      </c:lineChart>
      <c:scatterChart>
        <c:scatterStyle val="lineMarker"/>
        <c:varyColors val="0"/>
        <c:ser>
          <c:idx val="0"/>
          <c:order val="0"/>
          <c:tx>
            <c:strRef>
              <c:f>TERRENO!$B$232</c:f>
              <c:strCache>
                <c:ptCount val="1"/>
                <c:pt idx="0">
                  <c:v>Valor unitário homogeneizado</c:v>
                </c:pt>
              </c:strCache>
            </c:strRef>
          </c:tx>
          <c:spPr>
            <a:ln w="25400" cap="rnd">
              <a:noFill/>
              <a:round/>
            </a:ln>
            <a:effectLst/>
          </c:spPr>
          <c:marker>
            <c:symbol val="diamond"/>
            <c:size val="6"/>
            <c:spPr>
              <a:solidFill>
                <a:schemeClr val="tx1"/>
              </a:solidFill>
              <a:ln w="9525">
                <a:noFill/>
              </a:ln>
              <a:effectLst/>
            </c:spPr>
          </c:marker>
          <c:yVal>
            <c:numRef>
              <c:f>TERRENO!$B$233:$B$235</c:f>
              <c:numCache>
                <c:formatCode>#,##0.00_ ;[Red]\-#,##0.00\ </c:formatCode>
                <c:ptCount val="3"/>
                <c:pt idx="0">
                  <c:v>500</c:v>
                </c:pt>
                <c:pt idx="1">
                  <c:v>578.57142857142867</c:v>
                </c:pt>
                <c:pt idx="2">
                  <c:v>570</c:v>
                </c:pt>
              </c:numCache>
            </c:numRef>
          </c:yVal>
          <c:smooth val="0"/>
          <c:extLst>
            <c:ext xmlns:c16="http://schemas.microsoft.com/office/drawing/2014/chart" uri="{C3380CC4-5D6E-409C-BE32-E72D297353CC}">
              <c16:uniqueId val="{00000003-1443-4631-873E-3E5C214F64BD}"/>
            </c:ext>
          </c:extLst>
        </c:ser>
        <c:dLbls>
          <c:showLegendKey val="0"/>
          <c:showVal val="0"/>
          <c:showCatName val="0"/>
          <c:showSerName val="0"/>
          <c:showPercent val="0"/>
          <c:showBubbleSize val="0"/>
        </c:dLbls>
        <c:axId val="417256671"/>
        <c:axId val="417258591"/>
      </c:scatterChart>
      <c:catAx>
        <c:axId val="417256671"/>
        <c:scaling>
          <c:orientation val="minMax"/>
        </c:scaling>
        <c:delete val="0"/>
        <c:axPos val="b"/>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417258591"/>
        <c:crosses val="autoZero"/>
        <c:auto val="1"/>
        <c:lblAlgn val="ctr"/>
        <c:lblOffset val="100"/>
        <c:noMultiLvlLbl val="0"/>
      </c:catAx>
      <c:valAx>
        <c:axId val="417258591"/>
        <c:scaling>
          <c:orientation val="minMax"/>
        </c:scaling>
        <c:delete val="0"/>
        <c:axPos val="l"/>
        <c:numFmt formatCode="#,##0_ ;[Red]\-#,##0\ " sourceLinked="0"/>
        <c:majorTickMark val="none"/>
        <c:minorTickMark val="none"/>
        <c:tickLblPos val="nextTo"/>
        <c:spPr>
          <a:noFill/>
          <a:ln w="12700">
            <a:solidFill>
              <a:schemeClr val="bg1">
                <a:lumMod val="75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417256671"/>
        <c:crosses val="autoZero"/>
        <c:crossBetween val="between"/>
        <c:majorUnit val="200"/>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6350" cap="flat" cmpd="sng" algn="ctr">
      <a:solidFill>
        <a:schemeClr val="bg1">
          <a:lumMod val="85000"/>
        </a:schemeClr>
      </a:solidFill>
      <a:round/>
    </a:ln>
    <a:effectLst>
      <a:outerShdw blurRad="50800" dist="25400" dir="2700000" algn="tl" rotWithShape="0">
        <a:prstClr val="black">
          <a:alpha val="40000"/>
        </a:prstClr>
      </a:outerShdw>
    </a:effectLst>
  </c:spPr>
  <c:txPr>
    <a:bodyPr/>
    <a:lstStyle/>
    <a:p>
      <a:pPr>
        <a:defRPr sz="7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pt-BR" sz="1000" b="1"/>
              <a:t>Dispersão da amostra (critério Chauvenet)</a:t>
            </a:r>
          </a:p>
        </c:rich>
      </c:tx>
      <c:layout>
        <c:manualLayout>
          <c:xMode val="edge"/>
          <c:yMode val="edge"/>
          <c:x val="0.37220625000000002"/>
          <c:y val="2.8222222222222221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lineChart>
        <c:grouping val="standard"/>
        <c:varyColors val="0"/>
        <c:ser>
          <c:idx val="2"/>
          <c:order val="1"/>
          <c:tx>
            <c:strRef>
              <c:f>TERRENO!$Y$213</c:f>
              <c:strCache>
                <c:ptCount val="1"/>
                <c:pt idx="0">
                  <c:v>Média</c:v>
                </c:pt>
              </c:strCache>
            </c:strRef>
          </c:tx>
          <c:spPr>
            <a:ln w="19050" cap="rnd">
              <a:solidFill>
                <a:schemeClr val="tx1">
                  <a:lumMod val="65000"/>
                  <a:lumOff val="35000"/>
                </a:schemeClr>
              </a:solidFill>
              <a:prstDash val="dash"/>
              <a:round/>
            </a:ln>
            <a:effectLst/>
          </c:spPr>
          <c:marker>
            <c:symbol val="none"/>
          </c:marker>
          <c:val>
            <c:numRef>
              <c:f>TERRENO!$Y$214:$Y$216</c:f>
              <c:numCache>
                <c:formatCode>#,##0.00_ ;[Red]\-#,##0.00\ </c:formatCode>
                <c:ptCount val="3"/>
                <c:pt idx="0">
                  <c:v>549.52380952380952</c:v>
                </c:pt>
                <c:pt idx="1">
                  <c:v>549.52380952380952</c:v>
                </c:pt>
                <c:pt idx="2">
                  <c:v>549.52380952380952</c:v>
                </c:pt>
              </c:numCache>
            </c:numRef>
          </c:val>
          <c:smooth val="0"/>
          <c:extLst>
            <c:ext xmlns:c16="http://schemas.microsoft.com/office/drawing/2014/chart" uri="{C3380CC4-5D6E-409C-BE32-E72D297353CC}">
              <c16:uniqueId val="{00000000-9EAB-4EFA-A35A-0D72ED0D5B29}"/>
            </c:ext>
          </c:extLst>
        </c:ser>
        <c:ser>
          <c:idx val="1"/>
          <c:order val="2"/>
          <c:tx>
            <c:strRef>
              <c:f>TERRENO!$W$213</c:f>
              <c:strCache>
                <c:ptCount val="1"/>
                <c:pt idx="0">
                  <c:v>Limite inferior</c:v>
                </c:pt>
              </c:strCache>
            </c:strRef>
          </c:tx>
          <c:spPr>
            <a:ln w="12700" cap="sq">
              <a:solidFill>
                <a:srgbClr val="FF0000"/>
              </a:solidFill>
              <a:round/>
            </a:ln>
            <a:effectLst/>
          </c:spPr>
          <c:marker>
            <c:symbol val="none"/>
          </c:marker>
          <c:val>
            <c:numRef>
              <c:f>TERRENO!$W$214:$W$216</c:f>
              <c:numCache>
                <c:formatCode>#,##0.00_ ;[Red]\-#,##0.00\ </c:formatCode>
                <c:ptCount val="3"/>
                <c:pt idx="0">
                  <c:v>489.91334329485181</c:v>
                </c:pt>
                <c:pt idx="1">
                  <c:v>489.91334329485181</c:v>
                </c:pt>
                <c:pt idx="2">
                  <c:v>489.91334329485181</c:v>
                </c:pt>
              </c:numCache>
            </c:numRef>
          </c:val>
          <c:smooth val="0"/>
          <c:extLst>
            <c:ext xmlns:c16="http://schemas.microsoft.com/office/drawing/2014/chart" uri="{C3380CC4-5D6E-409C-BE32-E72D297353CC}">
              <c16:uniqueId val="{00000001-9EAB-4EFA-A35A-0D72ED0D5B29}"/>
            </c:ext>
          </c:extLst>
        </c:ser>
        <c:ser>
          <c:idx val="3"/>
          <c:order val="3"/>
          <c:tx>
            <c:strRef>
              <c:f>TERRENO!$X$213</c:f>
              <c:strCache>
                <c:ptCount val="1"/>
                <c:pt idx="0">
                  <c:v>Limite superior</c:v>
                </c:pt>
              </c:strCache>
            </c:strRef>
          </c:tx>
          <c:spPr>
            <a:ln w="12700" cap="sq">
              <a:solidFill>
                <a:schemeClr val="tx2">
                  <a:lumMod val="50000"/>
                  <a:lumOff val="50000"/>
                </a:schemeClr>
              </a:solidFill>
              <a:prstDash val="solid"/>
              <a:round/>
            </a:ln>
            <a:effectLst/>
          </c:spPr>
          <c:marker>
            <c:symbol val="none"/>
          </c:marker>
          <c:val>
            <c:numRef>
              <c:f>TERRENO!$X$214:$X$216</c:f>
              <c:numCache>
                <c:formatCode>#,##0.00_ ;[Red]\-#,##0.00\ </c:formatCode>
                <c:ptCount val="3"/>
                <c:pt idx="0">
                  <c:v>609.13427575276728</c:v>
                </c:pt>
                <c:pt idx="1">
                  <c:v>609.13427575276728</c:v>
                </c:pt>
                <c:pt idx="2">
                  <c:v>609.13427575276728</c:v>
                </c:pt>
              </c:numCache>
            </c:numRef>
          </c:val>
          <c:smooth val="0"/>
          <c:extLst>
            <c:ext xmlns:c16="http://schemas.microsoft.com/office/drawing/2014/chart" uri="{C3380CC4-5D6E-409C-BE32-E72D297353CC}">
              <c16:uniqueId val="{00000002-9EAB-4EFA-A35A-0D72ED0D5B29}"/>
            </c:ext>
          </c:extLst>
        </c:ser>
        <c:dLbls>
          <c:showLegendKey val="0"/>
          <c:showVal val="0"/>
          <c:showCatName val="0"/>
          <c:showSerName val="0"/>
          <c:showPercent val="0"/>
          <c:showBubbleSize val="0"/>
        </c:dLbls>
        <c:marker val="1"/>
        <c:smooth val="0"/>
        <c:axId val="417256671"/>
        <c:axId val="417258591"/>
      </c:lineChart>
      <c:scatterChart>
        <c:scatterStyle val="lineMarker"/>
        <c:varyColors val="0"/>
        <c:ser>
          <c:idx val="0"/>
          <c:order val="0"/>
          <c:tx>
            <c:strRef>
              <c:f>TERRENO!$B$196</c:f>
              <c:strCache>
                <c:ptCount val="1"/>
                <c:pt idx="0">
                  <c:v>Valor unitário homogeneizado</c:v>
                </c:pt>
              </c:strCache>
            </c:strRef>
          </c:tx>
          <c:spPr>
            <a:ln w="25400" cap="rnd">
              <a:noFill/>
              <a:round/>
            </a:ln>
            <a:effectLst/>
          </c:spPr>
          <c:marker>
            <c:symbol val="diamond"/>
            <c:size val="6"/>
            <c:spPr>
              <a:solidFill>
                <a:schemeClr val="tx1"/>
              </a:solidFill>
              <a:ln w="9525">
                <a:noFill/>
              </a:ln>
              <a:effectLst/>
            </c:spPr>
          </c:marker>
          <c:yVal>
            <c:numRef>
              <c:f>TERRENO!$B$197:$B$199</c:f>
              <c:numCache>
                <c:formatCode>#,##0.00_ ;[Red]\-#,##0.00\ </c:formatCode>
                <c:ptCount val="3"/>
                <c:pt idx="0">
                  <c:v>500</c:v>
                </c:pt>
                <c:pt idx="1">
                  <c:v>578.57142857142867</c:v>
                </c:pt>
                <c:pt idx="2">
                  <c:v>570</c:v>
                </c:pt>
              </c:numCache>
            </c:numRef>
          </c:yVal>
          <c:smooth val="0"/>
          <c:extLst>
            <c:ext xmlns:c16="http://schemas.microsoft.com/office/drawing/2014/chart" uri="{C3380CC4-5D6E-409C-BE32-E72D297353CC}">
              <c16:uniqueId val="{00000003-9EAB-4EFA-A35A-0D72ED0D5B29}"/>
            </c:ext>
          </c:extLst>
        </c:ser>
        <c:dLbls>
          <c:showLegendKey val="0"/>
          <c:showVal val="0"/>
          <c:showCatName val="0"/>
          <c:showSerName val="0"/>
          <c:showPercent val="0"/>
          <c:showBubbleSize val="0"/>
        </c:dLbls>
        <c:axId val="417256671"/>
        <c:axId val="417258591"/>
      </c:scatterChart>
      <c:catAx>
        <c:axId val="417256671"/>
        <c:scaling>
          <c:orientation val="minMax"/>
        </c:scaling>
        <c:delete val="0"/>
        <c:axPos val="b"/>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417258591"/>
        <c:crosses val="autoZero"/>
        <c:auto val="1"/>
        <c:lblAlgn val="ctr"/>
        <c:lblOffset val="100"/>
        <c:noMultiLvlLbl val="0"/>
      </c:catAx>
      <c:valAx>
        <c:axId val="417258591"/>
        <c:scaling>
          <c:orientation val="minMax"/>
          <c:max val="800"/>
        </c:scaling>
        <c:delete val="0"/>
        <c:axPos val="l"/>
        <c:numFmt formatCode="#,##0_ ;[Red]\-#,##0\ " sourceLinked="0"/>
        <c:majorTickMark val="none"/>
        <c:minorTickMark val="none"/>
        <c:tickLblPos val="nextTo"/>
        <c:spPr>
          <a:noFill/>
          <a:ln w="12700">
            <a:solidFill>
              <a:schemeClr val="bg1">
                <a:lumMod val="75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4172566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6350" cap="flat" cmpd="sng" algn="ctr">
      <a:solidFill>
        <a:schemeClr val="bg1">
          <a:lumMod val="85000"/>
        </a:schemeClr>
      </a:solidFill>
      <a:round/>
    </a:ln>
    <a:effectLst>
      <a:outerShdw blurRad="50800" dist="25400" dir="2700000" algn="tl" rotWithShape="0">
        <a:prstClr val="black">
          <a:alpha val="40000"/>
        </a:prstClr>
      </a:outerShdw>
    </a:effectLst>
  </c:spPr>
  <c:txPr>
    <a:bodyPr/>
    <a:lstStyle/>
    <a:p>
      <a:pPr>
        <a:defRPr sz="8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pt-BR" sz="1000" b="1"/>
              <a:t>Dispersão da amostra (intervalo em torno da média)</a:t>
            </a: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lineChart>
        <c:grouping val="standard"/>
        <c:varyColors val="0"/>
        <c:ser>
          <c:idx val="3"/>
          <c:order val="0"/>
          <c:tx>
            <c:strRef>
              <c:f>TERRENO!$Y$178</c:f>
              <c:strCache>
                <c:ptCount val="1"/>
                <c:pt idx="0">
                  <c:v>Média</c:v>
                </c:pt>
              </c:strCache>
            </c:strRef>
          </c:tx>
          <c:spPr>
            <a:ln w="19050" cap="sq">
              <a:solidFill>
                <a:schemeClr val="tx1">
                  <a:lumMod val="65000"/>
                  <a:lumOff val="35000"/>
                </a:schemeClr>
              </a:solidFill>
              <a:prstDash val="dash"/>
              <a:round/>
            </a:ln>
            <a:effectLst/>
          </c:spPr>
          <c:marker>
            <c:symbol val="none"/>
          </c:marker>
          <c:val>
            <c:numRef>
              <c:f>TERRENO!$Y$179:$Y$181</c:f>
              <c:numCache>
                <c:formatCode>#,##0.00_ ;[Red]\-#,##0.00\ </c:formatCode>
                <c:ptCount val="3"/>
                <c:pt idx="0">
                  <c:v>549.52380952380952</c:v>
                </c:pt>
                <c:pt idx="1">
                  <c:v>549.52380952380952</c:v>
                </c:pt>
                <c:pt idx="2">
                  <c:v>549.52380952380952</c:v>
                </c:pt>
              </c:numCache>
            </c:numRef>
          </c:val>
          <c:smooth val="0"/>
          <c:extLst>
            <c:ext xmlns:c16="http://schemas.microsoft.com/office/drawing/2014/chart" uri="{C3380CC4-5D6E-409C-BE32-E72D297353CC}">
              <c16:uniqueId val="{00000000-AF5E-4F53-A392-A7B36898D71B}"/>
            </c:ext>
          </c:extLst>
        </c:ser>
        <c:ser>
          <c:idx val="2"/>
          <c:order val="2"/>
          <c:tx>
            <c:strRef>
              <c:f>TERRENO!$X$178</c:f>
              <c:strCache>
                <c:ptCount val="1"/>
                <c:pt idx="0">
                  <c:v>Limite superior</c:v>
                </c:pt>
              </c:strCache>
            </c:strRef>
          </c:tx>
          <c:spPr>
            <a:ln w="12700" cap="sq">
              <a:solidFill>
                <a:srgbClr val="0070C0"/>
              </a:solidFill>
              <a:prstDash val="solid"/>
              <a:round/>
            </a:ln>
            <a:effectLst/>
          </c:spPr>
          <c:marker>
            <c:symbol val="none"/>
          </c:marker>
          <c:val>
            <c:numRef>
              <c:f>TERRENO!$X$179:$X$181</c:f>
              <c:numCache>
                <c:formatCode>#,##0.00_ ;[Red]\-#,##0.00\ </c:formatCode>
                <c:ptCount val="3"/>
                <c:pt idx="0">
                  <c:v>714.38095238095241</c:v>
                </c:pt>
                <c:pt idx="1">
                  <c:v>714.38095238095241</c:v>
                </c:pt>
                <c:pt idx="2">
                  <c:v>714.38095238095241</c:v>
                </c:pt>
              </c:numCache>
            </c:numRef>
          </c:val>
          <c:smooth val="0"/>
          <c:extLst>
            <c:ext xmlns:c16="http://schemas.microsoft.com/office/drawing/2014/chart" uri="{C3380CC4-5D6E-409C-BE32-E72D297353CC}">
              <c16:uniqueId val="{00000001-AF5E-4F53-A392-A7B36898D71B}"/>
            </c:ext>
          </c:extLst>
        </c:ser>
        <c:ser>
          <c:idx val="1"/>
          <c:order val="3"/>
          <c:tx>
            <c:strRef>
              <c:f>TERRENO!$W$178</c:f>
              <c:strCache>
                <c:ptCount val="1"/>
                <c:pt idx="0">
                  <c:v>Limite inferior</c:v>
                </c:pt>
              </c:strCache>
            </c:strRef>
          </c:tx>
          <c:spPr>
            <a:ln w="12700" cap="sq">
              <a:solidFill>
                <a:srgbClr val="FF0000"/>
              </a:solidFill>
              <a:round/>
            </a:ln>
            <a:effectLst/>
          </c:spPr>
          <c:marker>
            <c:symbol val="none"/>
          </c:marker>
          <c:val>
            <c:numRef>
              <c:f>TERRENO!$W$179:$W$181</c:f>
              <c:numCache>
                <c:formatCode>#,##0.00_ ;[Red]\-#,##0.00\ </c:formatCode>
                <c:ptCount val="3"/>
                <c:pt idx="0">
                  <c:v>384.66666666666663</c:v>
                </c:pt>
                <c:pt idx="1">
                  <c:v>384.66666666666663</c:v>
                </c:pt>
                <c:pt idx="2">
                  <c:v>384.66666666666663</c:v>
                </c:pt>
              </c:numCache>
            </c:numRef>
          </c:val>
          <c:smooth val="0"/>
          <c:extLst>
            <c:ext xmlns:c16="http://schemas.microsoft.com/office/drawing/2014/chart" uri="{C3380CC4-5D6E-409C-BE32-E72D297353CC}">
              <c16:uniqueId val="{00000002-AF5E-4F53-A392-A7B36898D71B}"/>
            </c:ext>
          </c:extLst>
        </c:ser>
        <c:dLbls>
          <c:showLegendKey val="0"/>
          <c:showVal val="0"/>
          <c:showCatName val="0"/>
          <c:showSerName val="0"/>
          <c:showPercent val="0"/>
          <c:showBubbleSize val="0"/>
        </c:dLbls>
        <c:marker val="1"/>
        <c:smooth val="0"/>
        <c:axId val="417256671"/>
        <c:axId val="417258591"/>
      </c:lineChart>
      <c:scatterChart>
        <c:scatterStyle val="lineMarker"/>
        <c:varyColors val="0"/>
        <c:ser>
          <c:idx val="0"/>
          <c:order val="1"/>
          <c:tx>
            <c:strRef>
              <c:f>TERRENO!$B$163</c:f>
              <c:strCache>
                <c:ptCount val="1"/>
                <c:pt idx="0">
                  <c:v>Valor unitário homogeneizado</c:v>
                </c:pt>
              </c:strCache>
            </c:strRef>
          </c:tx>
          <c:spPr>
            <a:ln w="25400" cap="rnd">
              <a:noFill/>
              <a:round/>
            </a:ln>
            <a:effectLst/>
          </c:spPr>
          <c:marker>
            <c:symbol val="diamond"/>
            <c:size val="6"/>
            <c:spPr>
              <a:solidFill>
                <a:schemeClr val="tx1"/>
              </a:solidFill>
              <a:ln w="9525">
                <a:noFill/>
              </a:ln>
              <a:effectLst/>
            </c:spPr>
          </c:marker>
          <c:yVal>
            <c:numRef>
              <c:f>TERRENO!$B$164:$B$166</c:f>
              <c:numCache>
                <c:formatCode>#,##0.00_ ;[Red]\-#,##0.00\ </c:formatCode>
                <c:ptCount val="3"/>
                <c:pt idx="0">
                  <c:v>500</c:v>
                </c:pt>
                <c:pt idx="1">
                  <c:v>578.57142857142867</c:v>
                </c:pt>
                <c:pt idx="2">
                  <c:v>570</c:v>
                </c:pt>
              </c:numCache>
            </c:numRef>
          </c:yVal>
          <c:smooth val="0"/>
          <c:extLst>
            <c:ext xmlns:c16="http://schemas.microsoft.com/office/drawing/2014/chart" uri="{C3380CC4-5D6E-409C-BE32-E72D297353CC}">
              <c16:uniqueId val="{00000003-AF5E-4F53-A392-A7B36898D71B}"/>
            </c:ext>
          </c:extLst>
        </c:ser>
        <c:dLbls>
          <c:showLegendKey val="0"/>
          <c:showVal val="0"/>
          <c:showCatName val="0"/>
          <c:showSerName val="0"/>
          <c:showPercent val="0"/>
          <c:showBubbleSize val="0"/>
        </c:dLbls>
        <c:axId val="417256671"/>
        <c:axId val="417258591"/>
      </c:scatterChart>
      <c:catAx>
        <c:axId val="417256671"/>
        <c:scaling>
          <c:orientation val="minMax"/>
        </c:scaling>
        <c:delete val="0"/>
        <c:axPos val="b"/>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417258591"/>
        <c:crosses val="autoZero"/>
        <c:auto val="1"/>
        <c:lblAlgn val="ctr"/>
        <c:lblOffset val="100"/>
        <c:noMultiLvlLbl val="0"/>
      </c:catAx>
      <c:valAx>
        <c:axId val="417258591"/>
        <c:scaling>
          <c:orientation val="minMax"/>
        </c:scaling>
        <c:delete val="0"/>
        <c:axPos val="l"/>
        <c:numFmt formatCode="#,##0_ ;[Red]\-#,##0\ " sourceLinked="0"/>
        <c:majorTickMark val="none"/>
        <c:minorTickMark val="none"/>
        <c:tickLblPos val="nextTo"/>
        <c:spPr>
          <a:noFill/>
          <a:ln w="12700">
            <a:solidFill>
              <a:schemeClr val="bg1">
                <a:lumMod val="75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4172566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showDLblsOverMax val="0"/>
    <c:extLst/>
  </c:chart>
  <c:spPr>
    <a:solidFill>
      <a:schemeClr val="bg1"/>
    </a:solidFill>
    <a:ln w="6350" cap="flat" cmpd="sng" algn="ctr">
      <a:solidFill>
        <a:schemeClr val="bg1">
          <a:lumMod val="85000"/>
        </a:schemeClr>
      </a:solidFill>
      <a:round/>
    </a:ln>
    <a:effectLst>
      <a:outerShdw blurRad="50800" dist="25400" dir="2700000" algn="tl" rotWithShape="0">
        <a:prstClr val="black">
          <a:alpha val="40000"/>
        </a:prstClr>
      </a:outerShdw>
    </a:effectLst>
  </c:spPr>
  <c:txPr>
    <a:bodyPr/>
    <a:lstStyle/>
    <a:p>
      <a:pPr>
        <a:defRPr sz="8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en-US" sz="1000" b="1"/>
              <a:t>Fatores dos elementos da amostra</a:t>
            </a: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barChart>
        <c:barDir val="col"/>
        <c:grouping val="clustered"/>
        <c:varyColors val="0"/>
        <c:ser>
          <c:idx val="0"/>
          <c:order val="0"/>
          <c:tx>
            <c:v>Elementos da amostra</c:v>
          </c:tx>
          <c:spPr>
            <a:solidFill>
              <a:schemeClr val="accent1"/>
            </a:solidFill>
            <a:ln>
              <a:noFill/>
            </a:ln>
            <a:effectLst/>
          </c:spPr>
          <c:invertIfNegative val="0"/>
          <c:val>
            <c:numRef>
              <c:f>TERRENO!$J$44:$J$46</c:f>
              <c:numCache>
                <c:formatCode>#,##0.00_ ;[Red]\-#,##0.00\ </c:formatCode>
                <c:ptCount val="3"/>
                <c:pt idx="0">
                  <c:v>1</c:v>
                </c:pt>
                <c:pt idx="1">
                  <c:v>1</c:v>
                </c:pt>
                <c:pt idx="2">
                  <c:v>1</c:v>
                </c:pt>
              </c:numCache>
            </c:numRef>
          </c:val>
          <c:extLst>
            <c:ext xmlns:c16="http://schemas.microsoft.com/office/drawing/2014/chart" uri="{C3380CC4-5D6E-409C-BE32-E72D297353CC}">
              <c16:uniqueId val="{00000000-856B-4272-AB9B-2BD4692A542C}"/>
            </c:ext>
          </c:extLst>
        </c:ser>
        <c:dLbls>
          <c:showLegendKey val="0"/>
          <c:showVal val="0"/>
          <c:showCatName val="0"/>
          <c:showSerName val="0"/>
          <c:showPercent val="0"/>
          <c:showBubbleSize val="0"/>
        </c:dLbls>
        <c:gapWidth val="219"/>
        <c:overlap val="-27"/>
        <c:axId val="884650287"/>
        <c:axId val="863456463"/>
      </c:barChart>
      <c:catAx>
        <c:axId val="884650287"/>
        <c:scaling>
          <c:orientation val="minMax"/>
        </c:scaling>
        <c:delete val="0"/>
        <c:axPos val="b"/>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63456463"/>
        <c:crosses val="autoZero"/>
        <c:auto val="1"/>
        <c:lblAlgn val="ctr"/>
        <c:lblOffset val="100"/>
        <c:noMultiLvlLbl val="0"/>
      </c:catAx>
      <c:valAx>
        <c:axId val="863456463"/>
        <c:scaling>
          <c:orientation val="minMax"/>
          <c:max val="1.5"/>
        </c:scaling>
        <c:delete val="0"/>
        <c:axPos val="l"/>
        <c:numFmt formatCode="#,##0.00_ ;[Red]\-#,##0.00\ " sourceLinked="1"/>
        <c:majorTickMark val="none"/>
        <c:minorTickMark val="none"/>
        <c:tickLblPos val="nextTo"/>
        <c:spPr>
          <a:noFill/>
          <a:ln>
            <a:solidFill>
              <a:schemeClr val="tx1">
                <a:lumMod val="50000"/>
                <a:lumOff val="50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84650287"/>
        <c:crosses val="autoZero"/>
        <c:crossBetween val="between"/>
        <c:maj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lumMod val="15000"/>
          <a:lumOff val="85000"/>
        </a:schemeClr>
      </a:solidFill>
      <a:round/>
    </a:ln>
    <a:effectLst>
      <a:outerShdw blurRad="50800" dist="38100" dir="2700000" algn="tl" rotWithShape="0">
        <a:schemeClr val="tx1">
          <a:lumMod val="65000"/>
          <a:lumOff val="35000"/>
          <a:alpha val="40000"/>
        </a:schemeClr>
      </a:outerShdw>
    </a:effectLst>
  </c:spPr>
  <c:txPr>
    <a:bodyPr/>
    <a:lstStyle/>
    <a:p>
      <a:pPr>
        <a:defRPr sz="9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en-US" sz="1000" b="1"/>
              <a:t>Comparação: elementos da amostra e paradigma</a:t>
            </a:r>
            <a:endParaRPr lang="en-US" sz="1000" b="0" i="1"/>
          </a:p>
        </c:rich>
      </c:tx>
      <c:overlay val="0"/>
      <c:spPr>
        <a:noFill/>
        <a:ln cap="sq">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en-US"/>
        </a:p>
      </c:txPr>
    </c:title>
    <c:autoTitleDeleted val="0"/>
    <c:plotArea>
      <c:layout/>
      <c:barChart>
        <c:barDir val="col"/>
        <c:grouping val="clustered"/>
        <c:varyColors val="0"/>
        <c:ser>
          <c:idx val="0"/>
          <c:order val="0"/>
          <c:tx>
            <c:v>Elementos da amostra</c:v>
          </c:tx>
          <c:spPr>
            <a:solidFill>
              <a:schemeClr val="accent1"/>
            </a:solidFill>
            <a:ln>
              <a:noFill/>
            </a:ln>
            <a:effectLst/>
          </c:spPr>
          <c:invertIfNegative val="0"/>
          <c:cat>
            <c:strLit>
              <c:ptCount val="3"/>
              <c:pt idx="0">
                <c:v>1</c:v>
              </c:pt>
              <c:pt idx="1">
                <c:v>2</c:v>
              </c:pt>
              <c:pt idx="2">
                <c:v>3</c:v>
              </c:pt>
              <c:pt idx="3">
                <c:v>4</c:v>
              </c:pt>
              <c:pt idx="4">
                <c:v>5</c:v>
              </c:pt>
              <c:pt idx="5">
                <c:v>6</c:v>
              </c:pt>
              <c:pt idx="6">
                <c:v>7</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TERRENO!$J$44:$J$46</c15:sqref>
                  </c15:fullRef>
                </c:ext>
              </c:extLst>
              <c:f>TERRENO!$J$44:$J$46</c:f>
              <c:numCache>
                <c:formatCode>#,##0.00_ ;[Red]\-#,##0.00\ </c:formatCode>
                <c:ptCount val="3"/>
                <c:pt idx="0">
                  <c:v>1</c:v>
                </c:pt>
                <c:pt idx="1">
                  <c:v>1</c:v>
                </c:pt>
                <c:pt idx="2">
                  <c:v>1</c:v>
                </c:pt>
              </c:numCache>
            </c:numRef>
          </c:val>
          <c:extLst>
            <c:ext xmlns:c16="http://schemas.microsoft.com/office/drawing/2014/chart" uri="{C3380CC4-5D6E-409C-BE32-E72D297353CC}">
              <c16:uniqueId val="{00000000-AEE4-4CF8-812E-E46FA56CA779}"/>
            </c:ext>
          </c:extLst>
        </c:ser>
        <c:dLbls>
          <c:showLegendKey val="0"/>
          <c:showVal val="0"/>
          <c:showCatName val="0"/>
          <c:showSerName val="0"/>
          <c:showPercent val="0"/>
          <c:showBubbleSize val="0"/>
        </c:dLbls>
        <c:gapWidth val="219"/>
        <c:axId val="884650287"/>
        <c:axId val="863456463"/>
      </c:barChart>
      <c:lineChart>
        <c:grouping val="standard"/>
        <c:varyColors val="0"/>
        <c:ser>
          <c:idx val="1"/>
          <c:order val="1"/>
          <c:tx>
            <c:v>Paradigma</c:v>
          </c:tx>
          <c:spPr>
            <a:ln w="28575" cap="sq">
              <a:solidFill>
                <a:srgbClr val="FF0000"/>
              </a:solidFill>
              <a:round/>
            </a:ln>
            <a:effectLst/>
          </c:spPr>
          <c:marker>
            <c:symbol val="none"/>
          </c:marker>
          <c:cat>
            <c:strLit>
              <c:ptCount val="3"/>
              <c:pt idx="0">
                <c:v>1</c:v>
              </c:pt>
              <c:pt idx="1">
                <c:v>2</c:v>
              </c:pt>
              <c:pt idx="2">
                <c:v>3</c:v>
              </c:pt>
              <c:extLst>
                <c:ext xmlns:c15="http://schemas.microsoft.com/office/drawing/2012/chart" uri="{02D57815-91ED-43cb-92C2-25804820EDAC}">
                  <c15:autoCat val="1"/>
                </c:ext>
              </c:extLst>
            </c:strLit>
          </c:cat>
          <c:val>
            <c:numRef>
              <c:extLst>
                <c:ext xmlns:c16="http://schemas.microsoft.com/office/drawing/2014/chart" uri="{F5D05F6E-A05E-4728-AFD3-386EB277150F}">
                  <c16:filteredLitCache>
                    <c:numCache>
                      <c:formatCode>General</c:formatCode>
                      <c:ptCount val="4"/>
                      <c:pt idx="3">
                        <c:v>1</c:v>
                      </c:pt>
                      <c:pt idx="4">
                        <c:v>1</c:v>
                      </c:pt>
                      <c:pt idx="5">
                        <c:v>1</c:v>
                      </c:pt>
                      <c:pt idx="6">
                        <c:v>1</c:v>
                      </c:pt>
                    </c:numCache>
                  </c16:filteredLitCache>
                </c:ext>
              </c:extLst>
              <c:f/>
              <c:numCache>
                <c:formatCode>General</c:formatCode>
                <c:ptCount val="3"/>
                <c:pt idx="0">
                  <c:v>1</c:v>
                </c:pt>
                <c:pt idx="1">
                  <c:v>1</c:v>
                </c:pt>
                <c:pt idx="2">
                  <c:v>1</c:v>
                </c:pt>
              </c:numCache>
            </c:numRef>
          </c:val>
          <c:smooth val="0"/>
          <c:extLst>
            <c:ext xmlns:c16="http://schemas.microsoft.com/office/drawing/2014/chart" uri="{C3380CC4-5D6E-409C-BE32-E72D297353CC}">
              <c16:uniqueId val="{00000001-AEE4-4CF8-812E-E46FA56CA779}"/>
            </c:ext>
          </c:extLst>
        </c:ser>
        <c:dLbls>
          <c:showLegendKey val="0"/>
          <c:showVal val="0"/>
          <c:showCatName val="0"/>
          <c:showSerName val="0"/>
          <c:showPercent val="0"/>
          <c:showBubbleSize val="0"/>
        </c:dLbls>
        <c:marker val="1"/>
        <c:smooth val="0"/>
        <c:axId val="884650287"/>
        <c:axId val="863456463"/>
      </c:lineChart>
      <c:catAx>
        <c:axId val="884650287"/>
        <c:scaling>
          <c:orientation val="minMax"/>
        </c:scaling>
        <c:delete val="0"/>
        <c:axPos val="b"/>
        <c:numFmt formatCode="General" sourceLinked="0"/>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63456463"/>
        <c:crosses val="autoZero"/>
        <c:auto val="1"/>
        <c:lblAlgn val="ctr"/>
        <c:lblOffset val="100"/>
        <c:noMultiLvlLbl val="0"/>
      </c:catAx>
      <c:valAx>
        <c:axId val="863456463"/>
        <c:scaling>
          <c:orientation val="minMax"/>
          <c:max val="1.5"/>
        </c:scaling>
        <c:delete val="0"/>
        <c:axPos val="l"/>
        <c:numFmt formatCode="#,##0.00_ ;[Red]\-#,##0.00\ " sourceLinked="1"/>
        <c:majorTickMark val="none"/>
        <c:minorTickMark val="none"/>
        <c:tickLblPos val="nextTo"/>
        <c:spPr>
          <a:noFill/>
          <a:ln>
            <a:solidFill>
              <a:schemeClr val="tx1">
                <a:lumMod val="50000"/>
                <a:lumOff val="50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84650287"/>
        <c:crosses val="autoZero"/>
        <c:crossBetween val="between"/>
        <c:maj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lumMod val="15000"/>
          <a:lumOff val="85000"/>
        </a:schemeClr>
      </a:solidFill>
      <a:round/>
    </a:ln>
    <a:effectLst>
      <a:outerShdw blurRad="50800" dist="38100" dir="2700000" algn="tl" rotWithShape="0">
        <a:schemeClr val="tx1">
          <a:lumMod val="65000"/>
          <a:lumOff val="35000"/>
          <a:alpha val="40000"/>
        </a:schemeClr>
      </a:outerShdw>
    </a:effectLst>
  </c:spPr>
  <c:txPr>
    <a:bodyPr/>
    <a:lstStyle/>
    <a:p>
      <a:pPr>
        <a:defRPr sz="9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en-US" sz="1000" b="1"/>
              <a:t>Ajuste dos elementos</a:t>
            </a:r>
            <a:r>
              <a:rPr lang="en-US" sz="1000" b="1" baseline="0"/>
              <a:t> </a:t>
            </a:r>
            <a:r>
              <a:rPr lang="en-US" sz="1000" b="1"/>
              <a:t>da amostra ao paradigma</a:t>
            </a:r>
            <a:endParaRPr lang="en-US" sz="1000" b="0" i="1"/>
          </a:p>
        </c:rich>
      </c:tx>
      <c:overlay val="0"/>
      <c:spPr>
        <a:noFill/>
        <a:ln cap="sq">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en-US"/>
        </a:p>
      </c:txPr>
    </c:title>
    <c:autoTitleDeleted val="0"/>
    <c:plotArea>
      <c:layout/>
      <c:barChart>
        <c:barDir val="col"/>
        <c:grouping val="clustered"/>
        <c:varyColors val="0"/>
        <c:ser>
          <c:idx val="0"/>
          <c:order val="0"/>
          <c:tx>
            <c:v>Elementos da amostra</c:v>
          </c:tx>
          <c:spPr>
            <a:solidFill>
              <a:schemeClr val="accent1"/>
            </a:solidFill>
            <a:ln>
              <a:noFill/>
            </a:ln>
            <a:effectLst/>
          </c:spPr>
          <c:invertIfNegative val="0"/>
          <c:val>
            <c:numLit>
              <c:formatCode>General</c:formatCode>
              <c:ptCount val="3"/>
              <c:pt idx="0">
                <c:v>1</c:v>
              </c:pt>
              <c:pt idx="1">
                <c:v>1</c:v>
              </c:pt>
              <c:pt idx="2">
                <c:v>1</c:v>
              </c:pt>
            </c:numLit>
          </c:val>
          <c:extLst>
            <c:ext xmlns:c16="http://schemas.microsoft.com/office/drawing/2014/chart" uri="{C3380CC4-5D6E-409C-BE32-E72D297353CC}">
              <c16:uniqueId val="{00000000-6DCF-41DA-8038-187D049CAA9F}"/>
            </c:ext>
          </c:extLst>
        </c:ser>
        <c:dLbls>
          <c:showLegendKey val="0"/>
          <c:showVal val="0"/>
          <c:showCatName val="0"/>
          <c:showSerName val="0"/>
          <c:showPercent val="0"/>
          <c:showBubbleSize val="0"/>
        </c:dLbls>
        <c:gapWidth val="219"/>
        <c:axId val="884650287"/>
        <c:axId val="863456463"/>
      </c:barChart>
      <c:lineChart>
        <c:grouping val="standard"/>
        <c:varyColors val="0"/>
        <c:ser>
          <c:idx val="1"/>
          <c:order val="1"/>
          <c:tx>
            <c:v>Paradigma</c:v>
          </c:tx>
          <c:spPr>
            <a:ln w="28575" cap="sq">
              <a:solidFill>
                <a:srgbClr val="FF0000"/>
              </a:solidFill>
              <a:round/>
            </a:ln>
            <a:effectLst/>
          </c:spPr>
          <c:marker>
            <c:symbol val="none"/>
          </c:marker>
          <c:val>
            <c:numLit>
              <c:formatCode>General</c:formatCode>
              <c:ptCount val="3"/>
              <c:pt idx="0">
                <c:v>1</c:v>
              </c:pt>
              <c:pt idx="1">
                <c:v>1</c:v>
              </c:pt>
              <c:pt idx="2">
                <c:v>1</c:v>
              </c:pt>
            </c:numLit>
          </c:val>
          <c:smooth val="0"/>
          <c:extLst>
            <c:ext xmlns:c16="http://schemas.microsoft.com/office/drawing/2014/chart" uri="{C3380CC4-5D6E-409C-BE32-E72D297353CC}">
              <c16:uniqueId val="{00000001-6DCF-41DA-8038-187D049CAA9F}"/>
            </c:ext>
          </c:extLst>
        </c:ser>
        <c:dLbls>
          <c:showLegendKey val="0"/>
          <c:showVal val="0"/>
          <c:showCatName val="0"/>
          <c:showSerName val="0"/>
          <c:showPercent val="0"/>
          <c:showBubbleSize val="0"/>
        </c:dLbls>
        <c:marker val="1"/>
        <c:smooth val="0"/>
        <c:axId val="884650287"/>
        <c:axId val="863456463"/>
      </c:lineChart>
      <c:catAx>
        <c:axId val="884650287"/>
        <c:scaling>
          <c:orientation val="minMax"/>
        </c:scaling>
        <c:delete val="0"/>
        <c:axPos val="b"/>
        <c:numFmt formatCode="General" sourceLinked="0"/>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63456463"/>
        <c:crosses val="autoZero"/>
        <c:auto val="1"/>
        <c:lblAlgn val="ctr"/>
        <c:lblOffset val="100"/>
        <c:noMultiLvlLbl val="0"/>
      </c:catAx>
      <c:valAx>
        <c:axId val="863456463"/>
        <c:scaling>
          <c:orientation val="minMax"/>
          <c:max val="1.5"/>
        </c:scaling>
        <c:delete val="0"/>
        <c:axPos val="l"/>
        <c:numFmt formatCode="General" sourceLinked="1"/>
        <c:majorTickMark val="none"/>
        <c:minorTickMark val="none"/>
        <c:tickLblPos val="nextTo"/>
        <c:spPr>
          <a:noFill/>
          <a:ln>
            <a:solidFill>
              <a:schemeClr val="tx1">
                <a:lumMod val="50000"/>
                <a:lumOff val="50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84650287"/>
        <c:crosses val="autoZero"/>
        <c:crossBetween val="between"/>
        <c:maj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lumMod val="15000"/>
          <a:lumOff val="85000"/>
        </a:schemeClr>
      </a:solidFill>
      <a:round/>
    </a:ln>
    <a:effectLst>
      <a:outerShdw blurRad="50800" dist="38100" dir="2700000" algn="tl" rotWithShape="0">
        <a:schemeClr val="tx1">
          <a:lumMod val="65000"/>
          <a:lumOff val="35000"/>
          <a:alpha val="40000"/>
        </a:schemeClr>
      </a:outerShdw>
    </a:effectLst>
  </c:spPr>
  <c:txPr>
    <a:bodyPr/>
    <a:lstStyle/>
    <a:p>
      <a:pPr>
        <a:defRPr sz="9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en-US" sz="1000" b="1"/>
              <a:t>F</a:t>
            </a:r>
            <a:r>
              <a:rPr lang="en-US" sz="1000" b="1" baseline="0"/>
              <a:t>ator do bem avaliando</a:t>
            </a:r>
            <a:endParaRPr lang="en-US" sz="1000" b="0" i="1"/>
          </a:p>
        </c:rich>
      </c:tx>
      <c:overlay val="0"/>
      <c:spPr>
        <a:noFill/>
        <a:ln cap="sq">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en-US"/>
        </a:p>
      </c:txPr>
    </c:title>
    <c:autoTitleDeleted val="0"/>
    <c:plotArea>
      <c:layout/>
      <c:barChart>
        <c:barDir val="col"/>
        <c:grouping val="clustered"/>
        <c:varyColors val="0"/>
        <c:ser>
          <c:idx val="0"/>
          <c:order val="0"/>
          <c:tx>
            <c:v>Ajuste ao bem avaliando</c:v>
          </c:tx>
          <c:spPr>
            <a:solidFill>
              <a:schemeClr val="accent1"/>
            </a:solidFill>
            <a:ln>
              <a:noFill/>
            </a:ln>
            <a:effectLst/>
          </c:spPr>
          <c:invertIfNegative val="0"/>
          <c:val>
            <c:numRef>
              <c:f>TERRENO!$L$44:$L$46</c:f>
              <c:numCache>
                <c:formatCode>#,##0.00_ ;[Red]\-#,##0.00\ </c:formatCode>
                <c:ptCount val="3"/>
                <c:pt idx="0">
                  <c:v>1</c:v>
                </c:pt>
                <c:pt idx="1">
                  <c:v>1</c:v>
                </c:pt>
                <c:pt idx="2">
                  <c:v>1</c:v>
                </c:pt>
              </c:numCache>
            </c:numRef>
          </c:val>
          <c:extLst>
            <c:ext xmlns:c16="http://schemas.microsoft.com/office/drawing/2014/chart" uri="{C3380CC4-5D6E-409C-BE32-E72D297353CC}">
              <c16:uniqueId val="{00000000-5C1A-48B0-B3F8-D5672AAA8F67}"/>
            </c:ext>
          </c:extLst>
        </c:ser>
        <c:dLbls>
          <c:showLegendKey val="0"/>
          <c:showVal val="0"/>
          <c:showCatName val="0"/>
          <c:showSerName val="0"/>
          <c:showPercent val="0"/>
          <c:showBubbleSize val="0"/>
        </c:dLbls>
        <c:gapWidth val="219"/>
        <c:axId val="884650287"/>
        <c:axId val="863456463"/>
      </c:barChart>
      <c:lineChart>
        <c:grouping val="standard"/>
        <c:varyColors val="0"/>
        <c:ser>
          <c:idx val="1"/>
          <c:order val="1"/>
          <c:tx>
            <c:v>Paradigma</c:v>
          </c:tx>
          <c:spPr>
            <a:ln w="28575" cap="sq">
              <a:solidFill>
                <a:srgbClr val="FF0000"/>
              </a:solidFill>
              <a:round/>
            </a:ln>
            <a:effectLst/>
          </c:spPr>
          <c:marker>
            <c:symbol val="none"/>
          </c:marker>
          <c:val>
            <c:numLit>
              <c:formatCode>General</c:formatCode>
              <c:ptCount val="3"/>
              <c:pt idx="0">
                <c:v>1</c:v>
              </c:pt>
              <c:pt idx="1">
                <c:v>1</c:v>
              </c:pt>
              <c:pt idx="2">
                <c:v>1</c:v>
              </c:pt>
            </c:numLit>
          </c:val>
          <c:smooth val="0"/>
          <c:extLst>
            <c:ext xmlns:c16="http://schemas.microsoft.com/office/drawing/2014/chart" uri="{C3380CC4-5D6E-409C-BE32-E72D297353CC}">
              <c16:uniqueId val="{00000001-5C1A-48B0-B3F8-D5672AAA8F67}"/>
            </c:ext>
          </c:extLst>
        </c:ser>
        <c:dLbls>
          <c:showLegendKey val="0"/>
          <c:showVal val="0"/>
          <c:showCatName val="0"/>
          <c:showSerName val="0"/>
          <c:showPercent val="0"/>
          <c:showBubbleSize val="0"/>
        </c:dLbls>
        <c:marker val="1"/>
        <c:smooth val="0"/>
        <c:axId val="884650287"/>
        <c:axId val="863456463"/>
      </c:lineChart>
      <c:catAx>
        <c:axId val="884650287"/>
        <c:scaling>
          <c:orientation val="minMax"/>
        </c:scaling>
        <c:delete val="0"/>
        <c:axPos val="b"/>
        <c:numFmt formatCode="General" sourceLinked="0"/>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63456463"/>
        <c:crosses val="autoZero"/>
        <c:auto val="1"/>
        <c:lblAlgn val="ctr"/>
        <c:lblOffset val="100"/>
        <c:noMultiLvlLbl val="0"/>
      </c:catAx>
      <c:valAx>
        <c:axId val="863456463"/>
        <c:scaling>
          <c:orientation val="minMax"/>
          <c:max val="1.5"/>
        </c:scaling>
        <c:delete val="0"/>
        <c:axPos val="l"/>
        <c:numFmt formatCode="#,##0.00_ ;[Red]\-#,##0.00\ " sourceLinked="1"/>
        <c:majorTickMark val="none"/>
        <c:minorTickMark val="none"/>
        <c:tickLblPos val="nextTo"/>
        <c:spPr>
          <a:noFill/>
          <a:ln>
            <a:solidFill>
              <a:schemeClr val="tx1">
                <a:lumMod val="50000"/>
                <a:lumOff val="50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84650287"/>
        <c:crosses val="autoZero"/>
        <c:crossBetween val="between"/>
        <c:maj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lumMod val="15000"/>
          <a:lumOff val="85000"/>
        </a:schemeClr>
      </a:solidFill>
      <a:round/>
    </a:ln>
    <a:effectLst>
      <a:outerShdw blurRad="50800" dist="38100" dir="2700000" algn="tl" rotWithShape="0">
        <a:schemeClr val="tx1">
          <a:lumMod val="65000"/>
          <a:lumOff val="35000"/>
          <a:alpha val="40000"/>
        </a:schemeClr>
      </a:outerShdw>
    </a:effectLst>
  </c:spPr>
  <c:txPr>
    <a:bodyPr/>
    <a:lstStyle/>
    <a:p>
      <a:pPr>
        <a:defRPr sz="9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 dir="row">_xlchart.v2.1</cx:f>
      </cx:strDim>
      <cx:numDim type="val">
        <cx:f dir="row">_xlchart.v2.2</cx:f>
      </cx:numDim>
    </cx:data>
  </cx:chartData>
  <cx:chart>
    <cx:title pos="t" align="ctr" overlay="0">
      <cx:tx>
        <cx:txData>
          <cx:v>Amplitude do intervalo de confiança, e de valores admissíveis</cx:v>
        </cx:txData>
      </cx:tx>
      <cx:txPr>
        <a:bodyPr spcFirstLastPara="1" vertOverflow="ellipsis" horzOverflow="overflow" wrap="square" lIns="0" tIns="0" rIns="0" bIns="0" anchor="ctr" anchorCtr="1"/>
        <a:lstStyle/>
        <a:p>
          <a:pPr algn="ctr" rtl="0">
            <a:defRPr sz="1050" b="1"/>
          </a:pPr>
          <a:r>
            <a:rPr lang="pt-BR" sz="1050" b="1" i="0" u="none" strike="noStrike" baseline="0">
              <a:solidFill>
                <a:sysClr val="windowText" lastClr="000000">
                  <a:lumMod val="65000"/>
                  <a:lumOff val="35000"/>
                </a:sysClr>
              </a:solidFill>
              <a:latin typeface="Aptos Narrow" panose="02110004020202020204"/>
            </a:rPr>
            <a:t>Amplitude do intervalo de confiança, e de valores admissíveis</a:t>
          </a:r>
        </a:p>
      </cx:txPr>
    </cx:title>
    <cx:plotArea>
      <cx:plotAreaRegion>
        <cx:series layoutId="funnel" uniqueId="{6409214E-F7EB-45D8-B9AD-80B23B426D8D}" formatIdx="0">
          <cx:tx>
            <cx:txData>
              <cx:f>_xlchart.v2.0</cx:f>
              <cx:v>LIMITES DO INTERVALO DE VALORES ADMISSÍVEIS E CAMPO DE ARBÍTRIO</cx:v>
            </cx:txData>
          </cx:tx>
          <cx:dataPt idx="0">
            <cx:spPr>
              <a:solidFill>
                <a:srgbClr val="B9CFD9"/>
              </a:solidFill>
            </cx:spPr>
          </cx:dataPt>
          <cx:dataPt idx="1">
            <cx:spPr>
              <a:solidFill>
                <a:sysClr val="window" lastClr="FFFFFF">
                  <a:lumMod val="85000"/>
                </a:sysClr>
              </a:solidFill>
            </cx:spPr>
          </cx:dataPt>
          <cx:dataLabels>
            <cx:visibility seriesName="0" categoryName="1" value="1"/>
            <cx:separator>: </cx:separator>
          </cx:dataLabels>
          <cx:dataId val="0"/>
        </cx:series>
      </cx:plotAreaRegion>
      <cx:axis id="0" hidden="1">
        <cx:catScaling gapWidth="0.0599999987"/>
        <cx:tickLabels/>
        <cx:txPr>
          <a:bodyPr vertOverflow="overflow" horzOverflow="overflow" wrap="square" lIns="0" tIns="0" rIns="0" bIns="0"/>
          <a:lstStyle/>
          <a:p>
            <a:pPr algn="ctr" rtl="0">
              <a:defRPr sz="900" b="1" i="0">
                <a:solidFill>
                  <a:srgbClr val="595959"/>
                </a:solidFill>
                <a:latin typeface="Aptos Narrow" panose="020B0004020202020204" pitchFamily="34" charset="0"/>
                <a:ea typeface="Aptos Narrow" panose="020B0004020202020204" pitchFamily="34" charset="0"/>
                <a:cs typeface="Aptos Narrow" panose="020B0004020202020204" pitchFamily="34" charset="0"/>
              </a:defRPr>
            </a:pPr>
            <a:endParaRPr lang="pt-BR" b="1"/>
          </a:p>
        </cx:txPr>
      </cx:axis>
    </cx:plotArea>
  </cx:chart>
  <cx:spPr>
    <a:ln w="12700">
      <a:no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419">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3" Type="http://schemas.openxmlformats.org/officeDocument/2006/relationships/chart" Target="../charts/chart2.xml"/><Relationship Id="rId7" Type="http://schemas.openxmlformats.org/officeDocument/2006/relationships/chart" Target="../charts/chart5.xml"/><Relationship Id="rId2" Type="http://schemas.microsoft.com/office/2014/relationships/chartEx" Target="../charts/chartEx1.xml"/><Relationship Id="rId1" Type="http://schemas.openxmlformats.org/officeDocument/2006/relationships/chart" Target="../charts/chart1.xml"/><Relationship Id="rId6" Type="http://schemas.openxmlformats.org/officeDocument/2006/relationships/chart" Target="../charts/chart4.xml"/><Relationship Id="rId5" Type="http://schemas.openxmlformats.org/officeDocument/2006/relationships/image" Target="../media/image1.png"/><Relationship Id="rId4" Type="http://schemas.openxmlformats.org/officeDocument/2006/relationships/chart" Target="../charts/chart3.xml"/><Relationship Id="rId9"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0</xdr:col>
      <xdr:colOff>38118</xdr:colOff>
      <xdr:row>0</xdr:row>
      <xdr:rowOff>38113</xdr:rowOff>
    </xdr:from>
    <xdr:to>
      <xdr:col>7</xdr:col>
      <xdr:colOff>600093</xdr:colOff>
      <xdr:row>0</xdr:row>
      <xdr:rowOff>1678794</xdr:rowOff>
    </xdr:to>
    <xdr:pic>
      <xdr:nvPicPr>
        <xdr:cNvPr id="2" name="Imagem 1">
          <a:extLst>
            <a:ext uri="{FF2B5EF4-FFF2-40B4-BE49-F238E27FC236}">
              <a16:creationId xmlns:a16="http://schemas.microsoft.com/office/drawing/2014/main" id="{CCA0775C-A495-4512-9143-01B1CFAA9CB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18" y="38113"/>
          <a:ext cx="8048625" cy="16406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504818</xdr:colOff>
      <xdr:row>250</xdr:row>
      <xdr:rowOff>247649</xdr:rowOff>
    </xdr:from>
    <xdr:to>
      <xdr:col>13</xdr:col>
      <xdr:colOff>206918</xdr:colOff>
      <xdr:row>265</xdr:row>
      <xdr:rowOff>132899</xdr:rowOff>
    </xdr:to>
    <xdr:graphicFrame macro="">
      <xdr:nvGraphicFramePr>
        <xdr:cNvPr id="10" name="Gráfico 9">
          <a:extLst>
            <a:ext uri="{FF2B5EF4-FFF2-40B4-BE49-F238E27FC236}">
              <a16:creationId xmlns:a16="http://schemas.microsoft.com/office/drawing/2014/main" id="{4562C375-45DF-4FB0-87CE-1C98A5B2F2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476248</xdr:colOff>
      <xdr:row>328</xdr:row>
      <xdr:rowOff>238953</xdr:rowOff>
    </xdr:from>
    <xdr:to>
      <xdr:col>15</xdr:col>
      <xdr:colOff>33523</xdr:colOff>
      <xdr:row>334</xdr:row>
      <xdr:rowOff>193053</xdr:rowOff>
    </xdr:to>
    <mc:AlternateContent xmlns:mc="http://schemas.openxmlformats.org/markup-compatibility/2006">
      <mc:Choice xmlns:cx2="http://schemas.microsoft.com/office/drawing/2015/10/21/chartex" Requires="cx2">
        <xdr:graphicFrame macro="">
          <xdr:nvGraphicFramePr>
            <xdr:cNvPr id="23" name="Gráfico 22">
              <a:extLst>
                <a:ext uri="{FF2B5EF4-FFF2-40B4-BE49-F238E27FC236}">
                  <a16:creationId xmlns:a16="http://schemas.microsoft.com/office/drawing/2014/main" id="{8BD8C828-FAAC-4929-BE9E-B513FCB683F4}"/>
                </a:ext>
              </a:extLst>
            </xdr:cNvPr>
            <xdr:cNvGraphicFramePr>
              <a:graphicFrameLocks/>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1485898" y="85687728"/>
              <a:ext cx="6120000" cy="1440000"/>
            </a:xfrm>
            <a:prstGeom prst="rect">
              <a:avLst/>
            </a:prstGeom>
            <a:solidFill>
              <a:prstClr val="white"/>
            </a:solidFill>
            <a:ln w="1">
              <a:solidFill>
                <a:prstClr val="green"/>
              </a:solidFill>
            </a:ln>
          </xdr:spPr>
          <xdr:txBody>
            <a:bodyPr vertOverflow="clip" horzOverflow="clip"/>
            <a:lstStyle/>
            <a:p>
              <a:r>
                <a:rPr lang="pt-BR" sz="1100"/>
                <a:t>Este gráfico não está disponível na sua versão de Excel.
Editar esta forma ou salvar esta pasta de trabalho em um formato de arquivo diferente quebrará o gráfico permanentemente.</a:t>
              </a:r>
            </a:p>
          </xdr:txBody>
        </xdr:sp>
      </mc:Fallback>
    </mc:AlternateContent>
    <xdr:clientData/>
  </xdr:twoCellAnchor>
  <xdr:twoCellAnchor editAs="oneCell">
    <xdr:from>
      <xdr:col>2</xdr:col>
      <xdr:colOff>0</xdr:colOff>
      <xdr:row>212</xdr:row>
      <xdr:rowOff>828</xdr:rowOff>
    </xdr:from>
    <xdr:to>
      <xdr:col>13</xdr:col>
      <xdr:colOff>206925</xdr:colOff>
      <xdr:row>226</xdr:row>
      <xdr:rowOff>133728</xdr:rowOff>
    </xdr:to>
    <xdr:graphicFrame macro="">
      <xdr:nvGraphicFramePr>
        <xdr:cNvPr id="2" name="Gráfico 1">
          <a:extLst>
            <a:ext uri="{FF2B5EF4-FFF2-40B4-BE49-F238E27FC236}">
              <a16:creationId xmlns:a16="http://schemas.microsoft.com/office/drawing/2014/main" id="{212CD043-942F-40D2-9E6A-A0D9A4A90A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xdr:col>
      <xdr:colOff>0</xdr:colOff>
      <xdr:row>175</xdr:row>
      <xdr:rowOff>247649</xdr:rowOff>
    </xdr:from>
    <xdr:to>
      <xdr:col>13</xdr:col>
      <xdr:colOff>206925</xdr:colOff>
      <xdr:row>190</xdr:row>
      <xdr:rowOff>132899</xdr:rowOff>
    </xdr:to>
    <xdr:graphicFrame macro="">
      <xdr:nvGraphicFramePr>
        <xdr:cNvPr id="4" name="Gráfico 3">
          <a:extLst>
            <a:ext uri="{FF2B5EF4-FFF2-40B4-BE49-F238E27FC236}">
              <a16:creationId xmlns:a16="http://schemas.microsoft.com/office/drawing/2014/main" id="{E024E44B-6B68-43D1-8AB6-F334BF3662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28576</xdr:colOff>
      <xdr:row>0</xdr:row>
      <xdr:rowOff>38101</xdr:rowOff>
    </xdr:from>
    <xdr:to>
      <xdr:col>14</xdr:col>
      <xdr:colOff>390526</xdr:colOff>
      <xdr:row>0</xdr:row>
      <xdr:rowOff>1552576</xdr:rowOff>
    </xdr:to>
    <xdr:pic>
      <xdr:nvPicPr>
        <xdr:cNvPr id="6" name="Imagem 5">
          <a:extLst>
            <a:ext uri="{FF2B5EF4-FFF2-40B4-BE49-F238E27FC236}">
              <a16:creationId xmlns:a16="http://schemas.microsoft.com/office/drawing/2014/main" id="{B09D6B3D-032D-50E6-B041-206442EFADE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8576" y="38101"/>
          <a:ext cx="7429500" cy="1514475"/>
        </a:xfrm>
        <a:prstGeom prst="rect">
          <a:avLst/>
        </a:prstGeom>
      </xdr:spPr>
    </xdr:pic>
    <xdr:clientData/>
  </xdr:twoCellAnchor>
  <xdr:twoCellAnchor editAs="oneCell">
    <xdr:from>
      <xdr:col>2</xdr:col>
      <xdr:colOff>0</xdr:colOff>
      <xdr:row>54</xdr:row>
      <xdr:rowOff>0</xdr:rowOff>
    </xdr:from>
    <xdr:to>
      <xdr:col>13</xdr:col>
      <xdr:colOff>206925</xdr:colOff>
      <xdr:row>68</xdr:row>
      <xdr:rowOff>132900</xdr:rowOff>
    </xdr:to>
    <xdr:graphicFrame macro="">
      <xdr:nvGraphicFramePr>
        <xdr:cNvPr id="7" name="Gráfico 6">
          <a:extLst>
            <a:ext uri="{FF2B5EF4-FFF2-40B4-BE49-F238E27FC236}">
              <a16:creationId xmlns:a16="http://schemas.microsoft.com/office/drawing/2014/main" id="{5EC23D0D-8467-4FBD-A964-3AF9AE84CD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0</xdr:colOff>
      <xdr:row>70</xdr:row>
      <xdr:rowOff>0</xdr:rowOff>
    </xdr:from>
    <xdr:to>
      <xdr:col>13</xdr:col>
      <xdr:colOff>206925</xdr:colOff>
      <xdr:row>84</xdr:row>
      <xdr:rowOff>132900</xdr:rowOff>
    </xdr:to>
    <xdr:graphicFrame macro="">
      <xdr:nvGraphicFramePr>
        <xdr:cNvPr id="8" name="Gráfico 7">
          <a:extLst>
            <a:ext uri="{FF2B5EF4-FFF2-40B4-BE49-F238E27FC236}">
              <a16:creationId xmlns:a16="http://schemas.microsoft.com/office/drawing/2014/main" id="{C8FA57C0-7196-411F-811B-E7D8BC66E4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2</xdr:col>
      <xdr:colOff>0</xdr:colOff>
      <xdr:row>88</xdr:row>
      <xdr:rowOff>0</xdr:rowOff>
    </xdr:from>
    <xdr:to>
      <xdr:col>13</xdr:col>
      <xdr:colOff>206925</xdr:colOff>
      <xdr:row>102</xdr:row>
      <xdr:rowOff>132900</xdr:rowOff>
    </xdr:to>
    <xdr:graphicFrame macro="">
      <xdr:nvGraphicFramePr>
        <xdr:cNvPr id="9" name="Gráfico 8">
          <a:extLst>
            <a:ext uri="{FF2B5EF4-FFF2-40B4-BE49-F238E27FC236}">
              <a16:creationId xmlns:a16="http://schemas.microsoft.com/office/drawing/2014/main" id="{2B720C3C-457C-45C9-BDF8-455377120F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2</xdr:col>
      <xdr:colOff>0</xdr:colOff>
      <xdr:row>106</xdr:row>
      <xdr:rowOff>0</xdr:rowOff>
    </xdr:from>
    <xdr:to>
      <xdr:col>13</xdr:col>
      <xdr:colOff>206925</xdr:colOff>
      <xdr:row>120</xdr:row>
      <xdr:rowOff>132900</xdr:rowOff>
    </xdr:to>
    <xdr:graphicFrame macro="">
      <xdr:nvGraphicFramePr>
        <xdr:cNvPr id="11" name="Gráfico 10">
          <a:extLst>
            <a:ext uri="{FF2B5EF4-FFF2-40B4-BE49-F238E27FC236}">
              <a16:creationId xmlns:a16="http://schemas.microsoft.com/office/drawing/2014/main" id="{3A04113D-0F3B-41D3-8D8B-0C2C99993A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20904-0EC1-4033-A838-31B14920C139}">
  <dimension ref="A1:M429"/>
  <sheetViews>
    <sheetView topLeftCell="A44" zoomScaleNormal="100" workbookViewId="0"/>
  </sheetViews>
  <sheetFormatPr defaultColWidth="10.375" defaultRowHeight="20.100000000000001" customHeight="1" x14ac:dyDescent="0.25"/>
  <cols>
    <col min="1" max="1" width="4.5" style="34" customWidth="1"/>
    <col min="2" max="9" width="15.625" style="34" customWidth="1"/>
    <col min="10" max="10" width="3.625" style="34" customWidth="1"/>
    <col min="11" max="11" width="25.625" style="34" customWidth="1"/>
    <col min="12" max="13" width="20.625" style="34" customWidth="1"/>
    <col min="14" max="14" width="25.625" style="34" customWidth="1"/>
    <col min="15" max="19" width="9.375" style="34" customWidth="1"/>
    <col min="20" max="20" width="7" style="34" customWidth="1"/>
    <col min="21" max="21" width="23.25" style="34" customWidth="1"/>
    <col min="22" max="31" width="9.375" style="34" customWidth="1"/>
    <col min="32" max="16384" width="10.375" style="34"/>
  </cols>
  <sheetData>
    <row r="1" spans="1:13" ht="140.1" customHeight="1" x14ac:dyDescent="0.25">
      <c r="A1" s="33"/>
      <c r="B1" s="33"/>
      <c r="C1" s="33"/>
      <c r="D1" s="33"/>
      <c r="E1" s="33"/>
      <c r="F1" s="33"/>
      <c r="G1" s="33"/>
      <c r="H1" s="33"/>
      <c r="I1" s="33"/>
    </row>
    <row r="2" spans="1:13" ht="3.95" customHeight="1" x14ac:dyDescent="0.25"/>
    <row r="3" spans="1:13" ht="3.95" customHeight="1" x14ac:dyDescent="0.25">
      <c r="A3" s="33"/>
      <c r="B3" s="33"/>
      <c r="C3" s="33"/>
      <c r="D3" s="33"/>
      <c r="E3" s="33"/>
      <c r="F3" s="33"/>
      <c r="G3" s="33"/>
      <c r="H3" s="33"/>
      <c r="I3" s="33"/>
    </row>
    <row r="5" spans="1:13" ht="20.100000000000001" customHeight="1" thickBot="1" x14ac:dyDescent="0.3">
      <c r="A5" s="114" t="s">
        <v>273</v>
      </c>
      <c r="B5" s="114"/>
      <c r="C5" s="114"/>
      <c r="D5" s="114"/>
      <c r="E5" s="114"/>
      <c r="F5" s="114"/>
      <c r="G5" s="114"/>
      <c r="H5" s="114"/>
      <c r="I5" s="114"/>
      <c r="J5" s="35"/>
      <c r="K5" s="115" t="s">
        <v>274</v>
      </c>
      <c r="L5" s="115"/>
      <c r="M5" s="115"/>
    </row>
    <row r="6" spans="1:13" ht="20.100000000000001" customHeight="1" x14ac:dyDescent="0.25">
      <c r="K6" s="36" t="s">
        <v>15</v>
      </c>
      <c r="L6" s="36" t="s">
        <v>275</v>
      </c>
      <c r="M6" s="36" t="s">
        <v>16</v>
      </c>
    </row>
    <row r="7" spans="1:13" ht="20.100000000000001" customHeight="1" x14ac:dyDescent="0.25">
      <c r="A7" s="37"/>
      <c r="B7" s="116" t="s">
        <v>276</v>
      </c>
      <c r="C7" s="116"/>
      <c r="D7" s="116"/>
      <c r="E7" s="116"/>
      <c r="F7" s="116"/>
      <c r="G7" s="116"/>
      <c r="H7" s="116"/>
      <c r="I7" s="116"/>
      <c r="J7" s="35"/>
      <c r="K7" s="38" t="s">
        <v>277</v>
      </c>
      <c r="L7" s="39">
        <v>0</v>
      </c>
      <c r="M7" s="40">
        <f>1+L7</f>
        <v>1</v>
      </c>
    </row>
    <row r="8" spans="1:13" ht="20.100000000000001" customHeight="1" x14ac:dyDescent="0.25">
      <c r="K8" s="41" t="s">
        <v>278</v>
      </c>
      <c r="L8" s="42">
        <v>-0.1</v>
      </c>
      <c r="M8" s="43">
        <f>1+L8</f>
        <v>0.9</v>
      </c>
    </row>
    <row r="9" spans="1:13" ht="20.100000000000001" customHeight="1" x14ac:dyDescent="0.25">
      <c r="A9" s="44">
        <v>1</v>
      </c>
      <c r="B9" s="92" t="s">
        <v>279</v>
      </c>
      <c r="C9" s="92"/>
      <c r="D9" s="92" t="s">
        <v>280</v>
      </c>
      <c r="E9" s="92"/>
      <c r="F9" s="92"/>
      <c r="G9" s="92"/>
      <c r="H9" s="92"/>
      <c r="I9" s="92"/>
      <c r="J9" s="45"/>
    </row>
    <row r="10" spans="1:13" ht="20.100000000000001" customHeight="1" x14ac:dyDescent="0.25">
      <c r="A10" s="46"/>
      <c r="B10" s="92" t="s">
        <v>281</v>
      </c>
      <c r="C10" s="92"/>
      <c r="D10" s="92"/>
      <c r="E10" s="92"/>
      <c r="F10" s="92"/>
      <c r="G10" s="92"/>
      <c r="H10" s="92"/>
      <c r="I10" s="92"/>
      <c r="J10" s="45"/>
    </row>
    <row r="11" spans="1:13" ht="20.100000000000001" customHeight="1" x14ac:dyDescent="0.25">
      <c r="A11" s="46"/>
      <c r="B11" s="113" t="s">
        <v>282</v>
      </c>
      <c r="C11" s="113"/>
      <c r="D11" s="113"/>
      <c r="E11" s="113"/>
      <c r="F11" s="113"/>
      <c r="G11" s="113"/>
      <c r="H11" s="113"/>
      <c r="I11" s="113"/>
      <c r="J11" s="45"/>
    </row>
    <row r="12" spans="1:13" ht="20.100000000000001" customHeight="1" x14ac:dyDescent="0.25">
      <c r="A12" s="46"/>
      <c r="B12" s="113"/>
      <c r="C12" s="113"/>
      <c r="D12" s="113"/>
      <c r="E12" s="113"/>
      <c r="F12" s="113"/>
      <c r="G12" s="113"/>
      <c r="H12" s="113"/>
      <c r="I12" s="113"/>
      <c r="J12" s="45"/>
    </row>
    <row r="13" spans="1:13" ht="20.100000000000001" customHeight="1" x14ac:dyDescent="0.25">
      <c r="A13" s="47"/>
      <c r="B13" s="109" t="s">
        <v>278</v>
      </c>
      <c r="C13" s="109"/>
      <c r="D13" s="109"/>
      <c r="E13" s="48"/>
      <c r="F13" s="48"/>
      <c r="G13" s="111">
        <v>250000</v>
      </c>
      <c r="H13" s="111"/>
      <c r="I13" s="111"/>
      <c r="J13" s="49"/>
    </row>
    <row r="14" spans="1:13" ht="20.100000000000001" customHeight="1" x14ac:dyDescent="0.25">
      <c r="A14" s="46"/>
      <c r="B14" s="109" t="s">
        <v>283</v>
      </c>
      <c r="C14" s="109"/>
      <c r="D14" s="109"/>
      <c r="E14" s="109"/>
      <c r="F14" s="109"/>
      <c r="G14" s="110">
        <v>450</v>
      </c>
      <c r="H14" s="110"/>
      <c r="I14" s="110"/>
      <c r="J14" s="50"/>
    </row>
    <row r="15" spans="1:13" ht="20.100000000000001" customHeight="1" x14ac:dyDescent="0.25">
      <c r="A15" s="46"/>
      <c r="B15" s="109" t="s">
        <v>284</v>
      </c>
      <c r="C15" s="109"/>
      <c r="D15" s="109"/>
      <c r="E15" s="109"/>
      <c r="F15" s="109"/>
      <c r="G15" s="111">
        <f>G13/G14</f>
        <v>555.55555555555554</v>
      </c>
      <c r="H15" s="111"/>
      <c r="I15" s="111"/>
      <c r="J15" s="51"/>
    </row>
    <row r="16" spans="1:13" ht="20.100000000000001" customHeight="1" x14ac:dyDescent="0.25">
      <c r="A16" s="46"/>
      <c r="B16" s="109" t="s">
        <v>285</v>
      </c>
      <c r="C16" s="109"/>
      <c r="D16" s="109"/>
      <c r="E16" s="109"/>
      <c r="F16" s="109"/>
      <c r="G16" s="112" cm="1">
        <f t="array" ref="G16">_xlfn.IFS(B13=$K$7,$M$7,B13=$K$8,$M$8)</f>
        <v>0.9</v>
      </c>
      <c r="H16" s="112"/>
      <c r="I16" s="112"/>
      <c r="J16" s="52"/>
    </row>
    <row r="17" spans="1:10" ht="20.100000000000001" customHeight="1" thickBot="1" x14ac:dyDescent="0.3">
      <c r="A17" s="53"/>
      <c r="B17" s="99" t="s">
        <v>286</v>
      </c>
      <c r="C17" s="99"/>
      <c r="D17" s="99"/>
      <c r="E17" s="99"/>
      <c r="F17" s="99"/>
      <c r="G17" s="100">
        <f>G15*G16</f>
        <v>500</v>
      </c>
      <c r="H17" s="100"/>
      <c r="I17" s="100"/>
      <c r="J17" s="52"/>
    </row>
    <row r="19" spans="1:10" ht="20.100000000000001" customHeight="1" x14ac:dyDescent="0.25">
      <c r="A19" s="44">
        <v>2</v>
      </c>
      <c r="B19" s="92" t="s">
        <v>279</v>
      </c>
      <c r="C19" s="92"/>
      <c r="D19" s="92" t="s">
        <v>287</v>
      </c>
      <c r="E19" s="92"/>
      <c r="F19" s="92"/>
      <c r="G19" s="92"/>
      <c r="H19" s="92"/>
      <c r="I19" s="92"/>
      <c r="J19" s="54"/>
    </row>
    <row r="20" spans="1:10" ht="20.100000000000001" customHeight="1" x14ac:dyDescent="0.25">
      <c r="A20" s="46"/>
      <c r="B20" s="92" t="s">
        <v>281</v>
      </c>
      <c r="C20" s="92"/>
      <c r="D20" s="92"/>
      <c r="E20" s="92"/>
      <c r="F20" s="92"/>
      <c r="G20" s="92"/>
      <c r="H20" s="92"/>
      <c r="I20" s="92"/>
      <c r="J20" s="54"/>
    </row>
    <row r="21" spans="1:10" ht="20.100000000000001" customHeight="1" x14ac:dyDescent="0.25">
      <c r="A21" s="46"/>
      <c r="B21" s="113" t="s">
        <v>288</v>
      </c>
      <c r="C21" s="113"/>
      <c r="D21" s="113"/>
      <c r="E21" s="113"/>
      <c r="F21" s="113"/>
      <c r="G21" s="113"/>
      <c r="H21" s="113"/>
      <c r="I21" s="113"/>
      <c r="J21" s="45"/>
    </row>
    <row r="22" spans="1:10" ht="20.100000000000001" customHeight="1" x14ac:dyDescent="0.25">
      <c r="A22" s="46"/>
      <c r="B22" s="113"/>
      <c r="C22" s="113"/>
      <c r="D22" s="113"/>
      <c r="E22" s="113"/>
      <c r="F22" s="113"/>
      <c r="G22" s="113"/>
      <c r="H22" s="113"/>
      <c r="I22" s="113"/>
      <c r="J22" s="45"/>
    </row>
    <row r="23" spans="1:10" ht="20.100000000000001" customHeight="1" x14ac:dyDescent="0.25">
      <c r="A23" s="47"/>
      <c r="B23" s="109" t="s">
        <v>278</v>
      </c>
      <c r="C23" s="109"/>
      <c r="D23" s="109"/>
      <c r="E23" s="48"/>
      <c r="F23" s="48"/>
      <c r="G23" s="111">
        <v>180000</v>
      </c>
      <c r="H23" s="111"/>
      <c r="I23" s="111"/>
      <c r="J23" s="49"/>
    </row>
    <row r="24" spans="1:10" ht="20.100000000000001" customHeight="1" x14ac:dyDescent="0.25">
      <c r="A24" s="46"/>
      <c r="B24" s="109" t="s">
        <v>283</v>
      </c>
      <c r="C24" s="109"/>
      <c r="D24" s="109"/>
      <c r="E24" s="109"/>
      <c r="F24" s="109"/>
      <c r="G24" s="110">
        <v>300</v>
      </c>
      <c r="H24" s="110"/>
      <c r="I24" s="110"/>
      <c r="J24" s="50"/>
    </row>
    <row r="25" spans="1:10" ht="20.100000000000001" customHeight="1" x14ac:dyDescent="0.25">
      <c r="A25" s="46"/>
      <c r="B25" s="109" t="s">
        <v>284</v>
      </c>
      <c r="C25" s="109"/>
      <c r="D25" s="109"/>
      <c r="E25" s="109"/>
      <c r="F25" s="109"/>
      <c r="G25" s="111">
        <f>G23/G24</f>
        <v>600</v>
      </c>
      <c r="H25" s="111"/>
      <c r="I25" s="111"/>
      <c r="J25" s="51"/>
    </row>
    <row r="26" spans="1:10" ht="20.100000000000001" customHeight="1" x14ac:dyDescent="0.25">
      <c r="A26" s="46"/>
      <c r="B26" s="109" t="s">
        <v>285</v>
      </c>
      <c r="C26" s="109"/>
      <c r="D26" s="109"/>
      <c r="E26" s="109"/>
      <c r="F26" s="109"/>
      <c r="G26" s="112" cm="1">
        <f t="array" ref="G26">_xlfn.IFS(B23=$K$7,$M$7,B23=$K$8,$M$8)</f>
        <v>0.9</v>
      </c>
      <c r="H26" s="112"/>
      <c r="I26" s="112"/>
      <c r="J26" s="52"/>
    </row>
    <row r="27" spans="1:10" ht="20.100000000000001" customHeight="1" thickBot="1" x14ac:dyDescent="0.3">
      <c r="A27" s="53"/>
      <c r="B27" s="99" t="s">
        <v>286</v>
      </c>
      <c r="C27" s="99"/>
      <c r="D27" s="99"/>
      <c r="E27" s="99"/>
      <c r="F27" s="99"/>
      <c r="G27" s="100">
        <f>G25*G26</f>
        <v>540</v>
      </c>
      <c r="H27" s="100"/>
      <c r="I27" s="100"/>
      <c r="J27" s="52"/>
    </row>
    <row r="29" spans="1:10" ht="20.100000000000001" customHeight="1" x14ac:dyDescent="0.25">
      <c r="A29" s="44">
        <v>3</v>
      </c>
      <c r="B29" s="92" t="s">
        <v>279</v>
      </c>
      <c r="C29" s="92"/>
      <c r="D29" s="92" t="s">
        <v>287</v>
      </c>
      <c r="E29" s="92"/>
      <c r="F29" s="92"/>
      <c r="G29" s="92"/>
      <c r="H29" s="92"/>
      <c r="I29" s="92"/>
      <c r="J29" s="54"/>
    </row>
    <row r="30" spans="1:10" ht="20.100000000000001" customHeight="1" x14ac:dyDescent="0.25">
      <c r="A30" s="46"/>
      <c r="B30" s="92" t="s">
        <v>281</v>
      </c>
      <c r="C30" s="92"/>
      <c r="D30" s="92"/>
      <c r="E30" s="92"/>
      <c r="F30" s="92"/>
      <c r="G30" s="92"/>
      <c r="H30" s="92"/>
      <c r="I30" s="92"/>
      <c r="J30" s="54"/>
    </row>
    <row r="31" spans="1:10" ht="20.100000000000001" customHeight="1" x14ac:dyDescent="0.25">
      <c r="A31" s="46"/>
      <c r="B31" s="113" t="s">
        <v>289</v>
      </c>
      <c r="C31" s="113"/>
      <c r="D31" s="113"/>
      <c r="E31" s="113"/>
      <c r="F31" s="113"/>
      <c r="G31" s="113"/>
      <c r="H31" s="113"/>
      <c r="I31" s="113"/>
      <c r="J31" s="45"/>
    </row>
    <row r="32" spans="1:10" ht="20.100000000000001" customHeight="1" x14ac:dyDescent="0.25">
      <c r="A32" s="46"/>
      <c r="B32" s="113"/>
      <c r="C32" s="113"/>
      <c r="D32" s="113"/>
      <c r="E32" s="113"/>
      <c r="F32" s="113"/>
      <c r="G32" s="113"/>
      <c r="H32" s="113"/>
      <c r="I32" s="113"/>
      <c r="J32" s="45"/>
    </row>
    <row r="33" spans="1:10" ht="20.100000000000001" customHeight="1" x14ac:dyDescent="0.25">
      <c r="A33" s="47"/>
      <c r="B33" s="109" t="s">
        <v>277</v>
      </c>
      <c r="C33" s="109"/>
      <c r="D33" s="109"/>
      <c r="E33" s="48"/>
      <c r="F33" s="48"/>
      <c r="G33" s="111">
        <v>230000</v>
      </c>
      <c r="H33" s="111"/>
      <c r="I33" s="111"/>
      <c r="J33" s="49"/>
    </row>
    <row r="34" spans="1:10" ht="20.100000000000001" customHeight="1" x14ac:dyDescent="0.25">
      <c r="A34" s="46"/>
      <c r="B34" s="109" t="s">
        <v>283</v>
      </c>
      <c r="C34" s="109"/>
      <c r="D34" s="109"/>
      <c r="E34" s="109"/>
      <c r="F34" s="109"/>
      <c r="G34" s="110">
        <v>375</v>
      </c>
      <c r="H34" s="110"/>
      <c r="I34" s="110"/>
      <c r="J34" s="50"/>
    </row>
    <row r="35" spans="1:10" ht="20.100000000000001" customHeight="1" x14ac:dyDescent="0.25">
      <c r="A35" s="46"/>
      <c r="B35" s="109" t="s">
        <v>284</v>
      </c>
      <c r="C35" s="109"/>
      <c r="D35" s="109"/>
      <c r="E35" s="109"/>
      <c r="F35" s="109"/>
      <c r="G35" s="111">
        <f>G33/G34</f>
        <v>613.33333333333337</v>
      </c>
      <c r="H35" s="111"/>
      <c r="I35" s="111"/>
      <c r="J35" s="51"/>
    </row>
    <row r="36" spans="1:10" ht="20.100000000000001" customHeight="1" x14ac:dyDescent="0.25">
      <c r="A36" s="46"/>
      <c r="B36" s="109" t="s">
        <v>285</v>
      </c>
      <c r="C36" s="109"/>
      <c r="D36" s="109"/>
      <c r="E36" s="109"/>
      <c r="F36" s="109"/>
      <c r="G36" s="112" cm="1">
        <f t="array" ref="G36">_xlfn.IFS(B33=$K$7,$M$7,B33=$K$8,$M$8)</f>
        <v>1</v>
      </c>
      <c r="H36" s="112"/>
      <c r="I36" s="112"/>
      <c r="J36" s="52"/>
    </row>
    <row r="37" spans="1:10" ht="20.100000000000001" customHeight="1" thickBot="1" x14ac:dyDescent="0.3">
      <c r="A37" s="53"/>
      <c r="B37" s="99" t="s">
        <v>286</v>
      </c>
      <c r="C37" s="99"/>
      <c r="D37" s="99"/>
      <c r="E37" s="99"/>
      <c r="F37" s="99"/>
      <c r="G37" s="100">
        <f>G35*G36</f>
        <v>613.33333333333337</v>
      </c>
      <c r="H37" s="100"/>
      <c r="I37" s="100"/>
      <c r="J37" s="52"/>
    </row>
    <row r="39" spans="1:10" ht="20.100000000000001" customHeight="1" x14ac:dyDescent="0.25">
      <c r="A39" s="44">
        <v>4</v>
      </c>
      <c r="B39" s="92" t="s">
        <v>279</v>
      </c>
      <c r="C39" s="92"/>
      <c r="D39" s="92" t="s">
        <v>290</v>
      </c>
      <c r="E39" s="92"/>
      <c r="F39" s="92"/>
      <c r="G39" s="92"/>
      <c r="H39" s="92"/>
      <c r="I39" s="92"/>
      <c r="J39" s="54"/>
    </row>
    <row r="40" spans="1:10" ht="20.100000000000001" customHeight="1" x14ac:dyDescent="0.25">
      <c r="A40" s="46"/>
      <c r="B40" s="92" t="s">
        <v>281</v>
      </c>
      <c r="C40" s="92"/>
      <c r="D40" s="92"/>
      <c r="E40" s="92"/>
      <c r="F40" s="92"/>
      <c r="G40" s="92"/>
      <c r="H40" s="92"/>
      <c r="I40" s="92"/>
      <c r="J40" s="54"/>
    </row>
    <row r="41" spans="1:10" ht="20.100000000000001" customHeight="1" x14ac:dyDescent="0.25">
      <c r="A41" s="46"/>
      <c r="B41" s="107" t="s">
        <v>291</v>
      </c>
      <c r="C41" s="107"/>
      <c r="D41" s="107"/>
      <c r="E41" s="107"/>
      <c r="F41" s="107"/>
      <c r="G41" s="107"/>
      <c r="H41" s="107"/>
      <c r="I41" s="107"/>
      <c r="J41" s="45"/>
    </row>
    <row r="42" spans="1:10" ht="20.100000000000001" customHeight="1" x14ac:dyDescent="0.25">
      <c r="A42" s="46"/>
      <c r="B42" s="108"/>
      <c r="C42" s="108"/>
      <c r="D42" s="108"/>
      <c r="E42" s="108"/>
      <c r="F42" s="108"/>
      <c r="G42" s="108"/>
      <c r="H42" s="108"/>
      <c r="I42" s="108"/>
      <c r="J42" s="45"/>
    </row>
    <row r="43" spans="1:10" ht="20.100000000000001" customHeight="1" x14ac:dyDescent="0.25">
      <c r="A43" s="47"/>
      <c r="B43" s="92" t="s">
        <v>278</v>
      </c>
      <c r="C43" s="92"/>
      <c r="D43" s="92"/>
      <c r="E43" s="48"/>
      <c r="F43" s="48"/>
      <c r="G43" s="105">
        <v>170000</v>
      </c>
      <c r="H43" s="105"/>
      <c r="I43" s="105"/>
      <c r="J43" s="49"/>
    </row>
    <row r="44" spans="1:10" ht="20.100000000000001" customHeight="1" x14ac:dyDescent="0.25">
      <c r="A44" s="46"/>
      <c r="B44" s="92" t="s">
        <v>283</v>
      </c>
      <c r="C44" s="92"/>
      <c r="D44" s="92"/>
      <c r="E44" s="92"/>
      <c r="F44" s="92"/>
      <c r="G44" s="106">
        <v>300</v>
      </c>
      <c r="H44" s="106"/>
      <c r="I44" s="106"/>
      <c r="J44" s="50"/>
    </row>
    <row r="45" spans="1:10" ht="20.100000000000001" customHeight="1" x14ac:dyDescent="0.25">
      <c r="A45" s="46"/>
      <c r="B45" s="92" t="s">
        <v>284</v>
      </c>
      <c r="C45" s="92"/>
      <c r="D45" s="92"/>
      <c r="E45" s="92"/>
      <c r="F45" s="92"/>
      <c r="G45" s="105">
        <f>G43/G44</f>
        <v>566.66666666666663</v>
      </c>
      <c r="H45" s="105"/>
      <c r="I45" s="105"/>
      <c r="J45" s="51"/>
    </row>
    <row r="46" spans="1:10" ht="20.100000000000001" customHeight="1" x14ac:dyDescent="0.25">
      <c r="A46" s="46"/>
      <c r="B46" s="92" t="s">
        <v>285</v>
      </c>
      <c r="C46" s="92"/>
      <c r="D46" s="92"/>
      <c r="E46" s="92"/>
      <c r="F46" s="92"/>
      <c r="G46" s="98" cm="1">
        <f t="array" ref="G46">_xlfn.IFS(B43=$K$7,$M$7,B43=$K$8,$M$8)</f>
        <v>0.9</v>
      </c>
      <c r="H46" s="98"/>
      <c r="I46" s="98"/>
      <c r="J46" s="52"/>
    </row>
    <row r="47" spans="1:10" ht="20.100000000000001" customHeight="1" thickBot="1" x14ac:dyDescent="0.3">
      <c r="A47" s="53"/>
      <c r="B47" s="99" t="s">
        <v>286</v>
      </c>
      <c r="C47" s="99"/>
      <c r="D47" s="99"/>
      <c r="E47" s="99"/>
      <c r="F47" s="99"/>
      <c r="G47" s="100">
        <f>G45*G46</f>
        <v>510</v>
      </c>
      <c r="H47" s="100"/>
      <c r="I47" s="100"/>
      <c r="J47" s="52"/>
    </row>
    <row r="49" spans="1:10" ht="20.100000000000001" customHeight="1" x14ac:dyDescent="0.25">
      <c r="A49" s="44">
        <v>5</v>
      </c>
      <c r="B49" s="92" t="s">
        <v>279</v>
      </c>
      <c r="C49" s="92"/>
      <c r="D49" s="92" t="s">
        <v>292</v>
      </c>
      <c r="E49" s="92"/>
      <c r="F49" s="92"/>
      <c r="G49" s="92"/>
      <c r="H49" s="92"/>
      <c r="I49" s="92"/>
      <c r="J49" s="54"/>
    </row>
    <row r="50" spans="1:10" ht="20.100000000000001" customHeight="1" x14ac:dyDescent="0.25">
      <c r="A50" s="46"/>
      <c r="B50" s="92" t="s">
        <v>281</v>
      </c>
      <c r="C50" s="92"/>
      <c r="D50" s="92"/>
      <c r="E50" s="92"/>
      <c r="F50" s="92"/>
      <c r="G50" s="92"/>
      <c r="H50" s="92"/>
      <c r="I50" s="92"/>
      <c r="J50" s="54"/>
    </row>
    <row r="51" spans="1:10" ht="20.100000000000001" customHeight="1" x14ac:dyDescent="0.25">
      <c r="A51" s="46"/>
      <c r="B51" s="107" t="s">
        <v>293</v>
      </c>
      <c r="C51" s="107"/>
      <c r="D51" s="107"/>
      <c r="E51" s="107"/>
      <c r="F51" s="107"/>
      <c r="G51" s="107"/>
      <c r="H51" s="107"/>
      <c r="I51" s="107"/>
      <c r="J51" s="45"/>
    </row>
    <row r="52" spans="1:10" ht="20.100000000000001" customHeight="1" x14ac:dyDescent="0.25">
      <c r="A52" s="46"/>
      <c r="B52" s="108"/>
      <c r="C52" s="108"/>
      <c r="D52" s="108"/>
      <c r="E52" s="108"/>
      <c r="F52" s="108"/>
      <c r="G52" s="108"/>
      <c r="H52" s="108"/>
      <c r="I52" s="108"/>
      <c r="J52" s="45"/>
    </row>
    <row r="53" spans="1:10" ht="20.100000000000001" customHeight="1" x14ac:dyDescent="0.25">
      <c r="A53" s="47"/>
      <c r="B53" s="92" t="s">
        <v>278</v>
      </c>
      <c r="C53" s="92"/>
      <c r="D53" s="92"/>
      <c r="E53" s="48"/>
      <c r="F53" s="48"/>
      <c r="G53" s="105">
        <v>150000</v>
      </c>
      <c r="H53" s="105"/>
      <c r="I53" s="105"/>
      <c r="J53" s="49"/>
    </row>
    <row r="54" spans="1:10" ht="20.100000000000001" customHeight="1" x14ac:dyDescent="0.25">
      <c r="A54" s="46"/>
      <c r="B54" s="92" t="s">
        <v>283</v>
      </c>
      <c r="C54" s="92"/>
      <c r="D54" s="92"/>
      <c r="E54" s="92"/>
      <c r="F54" s="92"/>
      <c r="G54" s="106">
        <v>300</v>
      </c>
      <c r="H54" s="106"/>
      <c r="I54" s="106"/>
      <c r="J54" s="50"/>
    </row>
    <row r="55" spans="1:10" ht="20.100000000000001" customHeight="1" x14ac:dyDescent="0.25">
      <c r="A55" s="46"/>
      <c r="B55" s="92" t="s">
        <v>284</v>
      </c>
      <c r="C55" s="92"/>
      <c r="D55" s="92"/>
      <c r="E55" s="92"/>
      <c r="F55" s="92"/>
      <c r="G55" s="105">
        <f>G53/G54</f>
        <v>500</v>
      </c>
      <c r="H55" s="105"/>
      <c r="I55" s="105"/>
      <c r="J55" s="51"/>
    </row>
    <row r="56" spans="1:10" ht="20.100000000000001" customHeight="1" x14ac:dyDescent="0.25">
      <c r="A56" s="46"/>
      <c r="B56" s="92" t="s">
        <v>285</v>
      </c>
      <c r="C56" s="92"/>
      <c r="D56" s="92"/>
      <c r="E56" s="92"/>
      <c r="F56" s="92"/>
      <c r="G56" s="98" cm="1">
        <f t="array" ref="G56">_xlfn.IFS(B53=$K$7,$M$7,B53=$K$8,$M$8)</f>
        <v>0.9</v>
      </c>
      <c r="H56" s="98"/>
      <c r="I56" s="98"/>
      <c r="J56" s="52"/>
    </row>
    <row r="57" spans="1:10" ht="20.100000000000001" customHeight="1" thickBot="1" x14ac:dyDescent="0.3">
      <c r="A57" s="53"/>
      <c r="B57" s="99" t="s">
        <v>286</v>
      </c>
      <c r="C57" s="99"/>
      <c r="D57" s="99"/>
      <c r="E57" s="99"/>
      <c r="F57" s="99"/>
      <c r="G57" s="100">
        <f>G55*G56</f>
        <v>450</v>
      </c>
      <c r="H57" s="100"/>
      <c r="I57" s="100"/>
      <c r="J57" s="52"/>
    </row>
    <row r="59" spans="1:10" ht="20.100000000000001" customHeight="1" x14ac:dyDescent="0.25">
      <c r="A59" s="44">
        <v>6</v>
      </c>
      <c r="B59" s="92" t="s">
        <v>279</v>
      </c>
      <c r="C59" s="92"/>
      <c r="D59" s="92" t="s">
        <v>294</v>
      </c>
      <c r="E59" s="92"/>
      <c r="F59" s="92"/>
      <c r="G59" s="92"/>
      <c r="H59" s="92"/>
      <c r="I59" s="92"/>
      <c r="J59" s="54"/>
    </row>
    <row r="60" spans="1:10" ht="20.100000000000001" customHeight="1" x14ac:dyDescent="0.25">
      <c r="A60" s="46"/>
      <c r="B60" s="92" t="s">
        <v>281</v>
      </c>
      <c r="C60" s="92"/>
      <c r="D60" s="92"/>
      <c r="E60" s="92"/>
      <c r="F60" s="92"/>
      <c r="G60" s="92"/>
      <c r="H60" s="92"/>
      <c r="I60" s="92"/>
      <c r="J60" s="54"/>
    </row>
    <row r="61" spans="1:10" ht="20.100000000000001" customHeight="1" x14ac:dyDescent="0.25">
      <c r="A61" s="46"/>
      <c r="B61" s="107" t="s">
        <v>295</v>
      </c>
      <c r="C61" s="107"/>
      <c r="D61" s="107"/>
      <c r="E61" s="107"/>
      <c r="F61" s="107"/>
      <c r="G61" s="107"/>
      <c r="H61" s="107"/>
      <c r="I61" s="107"/>
      <c r="J61" s="45"/>
    </row>
    <row r="62" spans="1:10" ht="20.100000000000001" customHeight="1" x14ac:dyDescent="0.25">
      <c r="A62" s="46"/>
      <c r="B62" s="108"/>
      <c r="C62" s="108"/>
      <c r="D62" s="108"/>
      <c r="E62" s="108"/>
      <c r="F62" s="108"/>
      <c r="G62" s="108"/>
      <c r="H62" s="108"/>
      <c r="I62" s="108"/>
      <c r="J62" s="45"/>
    </row>
    <row r="63" spans="1:10" ht="20.100000000000001" customHeight="1" x14ac:dyDescent="0.25">
      <c r="A63" s="47"/>
      <c r="B63" s="92" t="s">
        <v>277</v>
      </c>
      <c r="C63" s="92"/>
      <c r="D63" s="92"/>
      <c r="E63" s="48"/>
      <c r="F63" s="48"/>
      <c r="G63" s="105">
        <v>250000</v>
      </c>
      <c r="H63" s="105"/>
      <c r="I63" s="105"/>
      <c r="J63" s="49"/>
    </row>
    <row r="64" spans="1:10" ht="20.100000000000001" customHeight="1" x14ac:dyDescent="0.25">
      <c r="A64" s="46"/>
      <c r="B64" s="92" t="s">
        <v>283</v>
      </c>
      <c r="C64" s="92"/>
      <c r="D64" s="92"/>
      <c r="E64" s="92"/>
      <c r="F64" s="92"/>
      <c r="G64" s="106">
        <v>360</v>
      </c>
      <c r="H64" s="106"/>
      <c r="I64" s="106"/>
      <c r="J64" s="50"/>
    </row>
    <row r="65" spans="1:10" ht="20.100000000000001" customHeight="1" x14ac:dyDescent="0.25">
      <c r="A65" s="46"/>
      <c r="B65" s="92" t="s">
        <v>284</v>
      </c>
      <c r="C65" s="92"/>
      <c r="D65" s="92"/>
      <c r="E65" s="92"/>
      <c r="F65" s="92"/>
      <c r="G65" s="105">
        <f>G63/G64</f>
        <v>694.44444444444446</v>
      </c>
      <c r="H65" s="105"/>
      <c r="I65" s="105"/>
      <c r="J65" s="51"/>
    </row>
    <row r="66" spans="1:10" ht="20.100000000000001" customHeight="1" x14ac:dyDescent="0.25">
      <c r="A66" s="46"/>
      <c r="B66" s="92" t="s">
        <v>285</v>
      </c>
      <c r="C66" s="92"/>
      <c r="D66" s="92"/>
      <c r="E66" s="92"/>
      <c r="F66" s="92"/>
      <c r="G66" s="98" cm="1">
        <f t="array" ref="G66">_xlfn.IFS(B63=$K$7,$M$7,B63=$K$8,$M$8)</f>
        <v>1</v>
      </c>
      <c r="H66" s="98"/>
      <c r="I66" s="98"/>
      <c r="J66" s="52"/>
    </row>
    <row r="67" spans="1:10" ht="20.100000000000001" customHeight="1" thickBot="1" x14ac:dyDescent="0.3">
      <c r="A67" s="53"/>
      <c r="B67" s="99" t="s">
        <v>286</v>
      </c>
      <c r="C67" s="99"/>
      <c r="D67" s="99"/>
      <c r="E67" s="99"/>
      <c r="F67" s="99"/>
      <c r="G67" s="100">
        <f>G65*G66</f>
        <v>694.44444444444446</v>
      </c>
      <c r="H67" s="100"/>
      <c r="I67" s="100"/>
      <c r="J67" s="52"/>
    </row>
    <row r="68" spans="1:10" ht="20.100000000000001" customHeight="1" x14ac:dyDescent="0.25">
      <c r="J68" s="52"/>
    </row>
    <row r="69" spans="1:10" ht="20.100000000000001" customHeight="1" x14ac:dyDescent="0.25">
      <c r="A69" s="44">
        <v>7</v>
      </c>
      <c r="B69" s="92" t="s">
        <v>279</v>
      </c>
      <c r="C69" s="92"/>
      <c r="D69" s="92" t="s">
        <v>280</v>
      </c>
      <c r="E69" s="92"/>
      <c r="F69" s="92"/>
      <c r="G69" s="92"/>
      <c r="H69" s="92"/>
      <c r="I69" s="92"/>
      <c r="J69" s="54"/>
    </row>
    <row r="70" spans="1:10" ht="20.100000000000001" customHeight="1" x14ac:dyDescent="0.25">
      <c r="A70" s="46"/>
      <c r="B70" s="92" t="s">
        <v>281</v>
      </c>
      <c r="C70" s="92"/>
      <c r="D70" s="92"/>
      <c r="E70" s="92"/>
      <c r="F70" s="92"/>
      <c r="G70" s="92"/>
      <c r="H70" s="92"/>
      <c r="I70" s="92"/>
      <c r="J70" s="54"/>
    </row>
    <row r="71" spans="1:10" ht="20.100000000000001" customHeight="1" x14ac:dyDescent="0.25">
      <c r="A71" s="46"/>
      <c r="B71" s="107" t="s">
        <v>296</v>
      </c>
      <c r="C71" s="107"/>
      <c r="D71" s="107"/>
      <c r="E71" s="107"/>
      <c r="F71" s="107"/>
      <c r="G71" s="107"/>
      <c r="H71" s="107"/>
      <c r="I71" s="107"/>
      <c r="J71" s="45"/>
    </row>
    <row r="72" spans="1:10" ht="20.100000000000001" customHeight="1" x14ac:dyDescent="0.25">
      <c r="A72" s="46"/>
      <c r="B72" s="108"/>
      <c r="C72" s="108"/>
      <c r="D72" s="108"/>
      <c r="E72" s="108"/>
      <c r="F72" s="108"/>
      <c r="G72" s="108"/>
      <c r="H72" s="108"/>
      <c r="I72" s="108"/>
      <c r="J72" s="45"/>
    </row>
    <row r="73" spans="1:10" ht="20.100000000000001" customHeight="1" x14ac:dyDescent="0.25">
      <c r="A73" s="47"/>
      <c r="B73" s="92" t="s">
        <v>278</v>
      </c>
      <c r="C73" s="92"/>
      <c r="D73" s="92"/>
      <c r="E73" s="48"/>
      <c r="F73" s="48"/>
      <c r="G73" s="105">
        <v>170000</v>
      </c>
      <c r="H73" s="105"/>
      <c r="I73" s="105"/>
      <c r="J73" s="49"/>
    </row>
    <row r="74" spans="1:10" ht="20.100000000000001" customHeight="1" x14ac:dyDescent="0.25">
      <c r="A74" s="46"/>
      <c r="B74" s="92" t="s">
        <v>283</v>
      </c>
      <c r="C74" s="92"/>
      <c r="D74" s="92"/>
      <c r="E74" s="92"/>
      <c r="F74" s="92"/>
      <c r="G74" s="106">
        <v>360</v>
      </c>
      <c r="H74" s="106"/>
      <c r="I74" s="106"/>
      <c r="J74" s="50"/>
    </row>
    <row r="75" spans="1:10" ht="20.100000000000001" customHeight="1" x14ac:dyDescent="0.25">
      <c r="A75" s="46"/>
      <c r="B75" s="92" t="s">
        <v>284</v>
      </c>
      <c r="C75" s="92"/>
      <c r="D75" s="92"/>
      <c r="E75" s="92"/>
      <c r="F75" s="92"/>
      <c r="G75" s="105">
        <f>G73/G74</f>
        <v>472.22222222222223</v>
      </c>
      <c r="H75" s="105"/>
      <c r="I75" s="105"/>
      <c r="J75" s="51"/>
    </row>
    <row r="76" spans="1:10" ht="20.100000000000001" customHeight="1" x14ac:dyDescent="0.25">
      <c r="A76" s="46"/>
      <c r="B76" s="92" t="s">
        <v>285</v>
      </c>
      <c r="C76" s="92"/>
      <c r="D76" s="92"/>
      <c r="E76" s="92"/>
      <c r="F76" s="92"/>
      <c r="G76" s="98" cm="1">
        <f t="array" ref="G76">_xlfn.IFS(B73=$K$7,$M$7,B73=$K$8,$M$8)</f>
        <v>0.9</v>
      </c>
      <c r="H76" s="98"/>
      <c r="I76" s="98"/>
      <c r="J76" s="52"/>
    </row>
    <row r="77" spans="1:10" ht="20.100000000000001" customHeight="1" thickBot="1" x14ac:dyDescent="0.3">
      <c r="A77" s="53"/>
      <c r="B77" s="99" t="s">
        <v>286</v>
      </c>
      <c r="C77" s="99"/>
      <c r="D77" s="99"/>
      <c r="E77" s="99"/>
      <c r="F77" s="99"/>
      <c r="G77" s="100">
        <f>G75*G76</f>
        <v>425</v>
      </c>
      <c r="H77" s="100"/>
      <c r="I77" s="100"/>
      <c r="J77" s="52"/>
    </row>
    <row r="78" spans="1:10" ht="20.100000000000001" customHeight="1" x14ac:dyDescent="0.25">
      <c r="J78" s="52"/>
    </row>
    <row r="79" spans="1:10" ht="20.100000000000001" customHeight="1" x14ac:dyDescent="0.25">
      <c r="A79" s="44">
        <v>8</v>
      </c>
      <c r="B79" s="92" t="s">
        <v>279</v>
      </c>
      <c r="C79" s="92"/>
      <c r="D79" s="92" t="s">
        <v>280</v>
      </c>
      <c r="E79" s="92"/>
      <c r="F79" s="92"/>
      <c r="G79" s="92"/>
      <c r="H79" s="92"/>
      <c r="I79" s="92"/>
      <c r="J79" s="54"/>
    </row>
    <row r="80" spans="1:10" ht="20.100000000000001" customHeight="1" x14ac:dyDescent="0.25">
      <c r="A80" s="46"/>
      <c r="B80" s="92" t="s">
        <v>281</v>
      </c>
      <c r="C80" s="92"/>
      <c r="D80" s="92"/>
      <c r="E80" s="92"/>
      <c r="F80" s="92"/>
      <c r="G80" s="92"/>
      <c r="H80" s="92"/>
      <c r="I80" s="92"/>
      <c r="J80" s="54"/>
    </row>
    <row r="81" spans="1:10" ht="20.100000000000001" customHeight="1" x14ac:dyDescent="0.25">
      <c r="A81" s="46"/>
      <c r="B81" s="107" t="s">
        <v>297</v>
      </c>
      <c r="C81" s="107"/>
      <c r="D81" s="107"/>
      <c r="E81" s="107"/>
      <c r="F81" s="107"/>
      <c r="G81" s="107"/>
      <c r="H81" s="107"/>
      <c r="I81" s="107"/>
      <c r="J81" s="45"/>
    </row>
    <row r="82" spans="1:10" ht="20.100000000000001" customHeight="1" x14ac:dyDescent="0.25">
      <c r="A82" s="46"/>
      <c r="B82" s="108"/>
      <c r="C82" s="108"/>
      <c r="D82" s="108"/>
      <c r="E82" s="108"/>
      <c r="F82" s="108"/>
      <c r="G82" s="108"/>
      <c r="H82" s="108"/>
      <c r="I82" s="108"/>
      <c r="J82" s="45"/>
    </row>
    <row r="83" spans="1:10" ht="20.100000000000001" customHeight="1" x14ac:dyDescent="0.25">
      <c r="A83" s="47"/>
      <c r="B83" s="92" t="s">
        <v>278</v>
      </c>
      <c r="C83" s="92"/>
      <c r="D83" s="92"/>
      <c r="E83" s="48"/>
      <c r="F83" s="48"/>
      <c r="G83" s="105">
        <v>250000</v>
      </c>
      <c r="H83" s="105"/>
      <c r="I83" s="105"/>
      <c r="J83" s="49"/>
    </row>
    <row r="84" spans="1:10" ht="20.100000000000001" customHeight="1" x14ac:dyDescent="0.25">
      <c r="A84" s="46"/>
      <c r="B84" s="92" t="s">
        <v>283</v>
      </c>
      <c r="C84" s="92"/>
      <c r="D84" s="92"/>
      <c r="E84" s="92"/>
      <c r="F84" s="92"/>
      <c r="G84" s="106">
        <v>450</v>
      </c>
      <c r="H84" s="106"/>
      <c r="I84" s="106"/>
      <c r="J84" s="50"/>
    </row>
    <row r="85" spans="1:10" ht="20.100000000000001" customHeight="1" x14ac:dyDescent="0.25">
      <c r="A85" s="46"/>
      <c r="B85" s="92" t="s">
        <v>284</v>
      </c>
      <c r="C85" s="92"/>
      <c r="D85" s="92"/>
      <c r="E85" s="92"/>
      <c r="F85" s="92"/>
      <c r="G85" s="105">
        <f>G83/G84</f>
        <v>555.55555555555554</v>
      </c>
      <c r="H85" s="105"/>
      <c r="I85" s="105"/>
      <c r="J85" s="51"/>
    </row>
    <row r="86" spans="1:10" ht="20.100000000000001" customHeight="1" x14ac:dyDescent="0.25">
      <c r="A86" s="46"/>
      <c r="B86" s="92" t="s">
        <v>285</v>
      </c>
      <c r="C86" s="92"/>
      <c r="D86" s="92"/>
      <c r="E86" s="92"/>
      <c r="F86" s="92"/>
      <c r="G86" s="98" cm="1">
        <f t="array" ref="G86">_xlfn.IFS(B83=$K$7,$M$7,B83=$K$8,$M$8)</f>
        <v>0.9</v>
      </c>
      <c r="H86" s="98"/>
      <c r="I86" s="98"/>
      <c r="J86" s="52"/>
    </row>
    <row r="87" spans="1:10" ht="20.100000000000001" customHeight="1" thickBot="1" x14ac:dyDescent="0.3">
      <c r="A87" s="53"/>
      <c r="B87" s="99" t="s">
        <v>286</v>
      </c>
      <c r="C87" s="99"/>
      <c r="D87" s="99"/>
      <c r="E87" s="99"/>
      <c r="F87" s="99"/>
      <c r="G87" s="100">
        <f>G85*G86</f>
        <v>500</v>
      </c>
      <c r="H87" s="100"/>
      <c r="I87" s="100"/>
      <c r="J87" s="52"/>
    </row>
    <row r="89" spans="1:10" ht="20.100000000000001" customHeight="1" x14ac:dyDescent="0.25">
      <c r="A89" s="44">
        <v>9</v>
      </c>
      <c r="B89" s="92" t="s">
        <v>279</v>
      </c>
      <c r="C89" s="92"/>
      <c r="D89" s="92" t="s">
        <v>287</v>
      </c>
      <c r="E89" s="92"/>
      <c r="F89" s="92"/>
      <c r="G89" s="92"/>
      <c r="H89" s="92"/>
      <c r="I89" s="92"/>
      <c r="J89" s="54"/>
    </row>
    <row r="90" spans="1:10" ht="20.100000000000001" customHeight="1" x14ac:dyDescent="0.25">
      <c r="A90" s="46"/>
      <c r="B90" s="92" t="s">
        <v>281</v>
      </c>
      <c r="C90" s="92"/>
      <c r="D90" s="92"/>
      <c r="E90" s="92"/>
      <c r="F90" s="92"/>
      <c r="G90" s="92"/>
      <c r="H90" s="92"/>
      <c r="I90" s="92"/>
      <c r="J90" s="54"/>
    </row>
    <row r="91" spans="1:10" ht="20.100000000000001" customHeight="1" x14ac:dyDescent="0.25">
      <c r="A91" s="46"/>
      <c r="B91" s="107" t="s">
        <v>298</v>
      </c>
      <c r="C91" s="107"/>
      <c r="D91" s="107"/>
      <c r="E91" s="107"/>
      <c r="F91" s="107"/>
      <c r="G91" s="107"/>
      <c r="H91" s="107"/>
      <c r="I91" s="107"/>
      <c r="J91" s="45"/>
    </row>
    <row r="92" spans="1:10" ht="20.100000000000001" customHeight="1" x14ac:dyDescent="0.25">
      <c r="A92" s="46"/>
      <c r="B92" s="108"/>
      <c r="C92" s="108"/>
      <c r="D92" s="108"/>
      <c r="E92" s="108"/>
      <c r="F92" s="108"/>
      <c r="G92" s="108"/>
      <c r="H92" s="108"/>
      <c r="I92" s="108"/>
      <c r="J92" s="45"/>
    </row>
    <row r="93" spans="1:10" ht="20.100000000000001" customHeight="1" x14ac:dyDescent="0.25">
      <c r="A93" s="47"/>
      <c r="B93" s="92" t="s">
        <v>278</v>
      </c>
      <c r="C93" s="92"/>
      <c r="D93" s="92"/>
      <c r="E93" s="48"/>
      <c r="F93" s="48"/>
      <c r="G93" s="105">
        <v>110000</v>
      </c>
      <c r="H93" s="105"/>
      <c r="I93" s="105"/>
      <c r="J93" s="49"/>
    </row>
    <row r="94" spans="1:10" ht="20.100000000000001" customHeight="1" x14ac:dyDescent="0.25">
      <c r="A94" s="46"/>
      <c r="B94" s="92" t="s">
        <v>283</v>
      </c>
      <c r="C94" s="92"/>
      <c r="D94" s="92"/>
      <c r="E94" s="92"/>
      <c r="F94" s="92"/>
      <c r="G94" s="106">
        <v>300</v>
      </c>
      <c r="H94" s="106"/>
      <c r="I94" s="106"/>
      <c r="J94" s="50"/>
    </row>
    <row r="95" spans="1:10" ht="20.100000000000001" customHeight="1" x14ac:dyDescent="0.25">
      <c r="A95" s="46"/>
      <c r="B95" s="92" t="s">
        <v>284</v>
      </c>
      <c r="C95" s="92"/>
      <c r="D95" s="92"/>
      <c r="E95" s="92"/>
      <c r="F95" s="92"/>
      <c r="G95" s="105">
        <f>G93/G94</f>
        <v>366.66666666666669</v>
      </c>
      <c r="H95" s="105"/>
      <c r="I95" s="105"/>
      <c r="J95" s="51"/>
    </row>
    <row r="96" spans="1:10" ht="20.100000000000001" customHeight="1" x14ac:dyDescent="0.25">
      <c r="A96" s="46"/>
      <c r="B96" s="92" t="s">
        <v>285</v>
      </c>
      <c r="C96" s="92"/>
      <c r="D96" s="92"/>
      <c r="E96" s="92"/>
      <c r="F96" s="92"/>
      <c r="G96" s="98" cm="1">
        <f t="array" ref="G96">_xlfn.IFS(B93=$K$7,$M$7,B93=$K$8,$M$8)</f>
        <v>0.9</v>
      </c>
      <c r="H96" s="98"/>
      <c r="I96" s="98"/>
      <c r="J96" s="52"/>
    </row>
    <row r="97" spans="1:10" ht="20.100000000000001" customHeight="1" thickBot="1" x14ac:dyDescent="0.3">
      <c r="A97" s="53"/>
      <c r="B97" s="99" t="s">
        <v>286</v>
      </c>
      <c r="C97" s="99"/>
      <c r="D97" s="99"/>
      <c r="E97" s="99"/>
      <c r="F97" s="99"/>
      <c r="G97" s="100">
        <f>G95*G96</f>
        <v>330</v>
      </c>
      <c r="H97" s="100"/>
      <c r="I97" s="100"/>
      <c r="J97" s="52"/>
    </row>
    <row r="99" spans="1:10" ht="20.100000000000001" customHeight="1" x14ac:dyDescent="0.25">
      <c r="A99" s="44">
        <v>10</v>
      </c>
      <c r="B99" s="92" t="s">
        <v>279</v>
      </c>
      <c r="C99" s="92"/>
      <c r="D99" s="92" t="s">
        <v>287</v>
      </c>
      <c r="E99" s="92"/>
      <c r="F99" s="92"/>
      <c r="G99" s="92"/>
      <c r="H99" s="92"/>
      <c r="I99" s="92"/>
      <c r="J99" s="54"/>
    </row>
    <row r="100" spans="1:10" ht="20.100000000000001" customHeight="1" x14ac:dyDescent="0.25">
      <c r="A100" s="46"/>
      <c r="B100" s="92" t="s">
        <v>281</v>
      </c>
      <c r="C100" s="92"/>
      <c r="D100" s="92"/>
      <c r="E100" s="92"/>
      <c r="F100" s="92"/>
      <c r="G100" s="92"/>
      <c r="H100" s="92"/>
      <c r="I100" s="92"/>
      <c r="J100" s="54"/>
    </row>
    <row r="101" spans="1:10" ht="20.100000000000001" customHeight="1" x14ac:dyDescent="0.25">
      <c r="A101" s="46"/>
      <c r="B101" s="107" t="s">
        <v>299</v>
      </c>
      <c r="C101" s="107"/>
      <c r="D101" s="107"/>
      <c r="E101" s="107"/>
      <c r="F101" s="107"/>
      <c r="G101" s="107"/>
      <c r="H101" s="107"/>
      <c r="I101" s="107"/>
      <c r="J101" s="45"/>
    </row>
    <row r="102" spans="1:10" ht="20.100000000000001" customHeight="1" x14ac:dyDescent="0.25">
      <c r="A102" s="46"/>
      <c r="B102" s="108"/>
      <c r="C102" s="108"/>
      <c r="D102" s="108"/>
      <c r="E102" s="108"/>
      <c r="F102" s="108"/>
      <c r="G102" s="108"/>
      <c r="H102" s="108"/>
      <c r="I102" s="108"/>
      <c r="J102" s="45"/>
    </row>
    <row r="103" spans="1:10" ht="20.100000000000001" customHeight="1" x14ac:dyDescent="0.25">
      <c r="A103" s="47"/>
      <c r="B103" s="92" t="s">
        <v>278</v>
      </c>
      <c r="C103" s="92"/>
      <c r="D103" s="92"/>
      <c r="E103" s="48"/>
      <c r="F103" s="48"/>
      <c r="G103" s="105">
        <v>200000</v>
      </c>
      <c r="H103" s="105"/>
      <c r="I103" s="105"/>
      <c r="J103" s="49"/>
    </row>
    <row r="104" spans="1:10" ht="20.100000000000001" customHeight="1" x14ac:dyDescent="0.25">
      <c r="A104" s="46"/>
      <c r="B104" s="92" t="s">
        <v>283</v>
      </c>
      <c r="C104" s="92"/>
      <c r="D104" s="92"/>
      <c r="E104" s="92"/>
      <c r="F104" s="92"/>
      <c r="G104" s="106">
        <v>360</v>
      </c>
      <c r="H104" s="106"/>
      <c r="I104" s="106"/>
      <c r="J104" s="50"/>
    </row>
    <row r="105" spans="1:10" ht="20.100000000000001" customHeight="1" x14ac:dyDescent="0.25">
      <c r="A105" s="46"/>
      <c r="B105" s="92" t="s">
        <v>284</v>
      </c>
      <c r="C105" s="92"/>
      <c r="D105" s="92"/>
      <c r="E105" s="92"/>
      <c r="F105" s="92"/>
      <c r="G105" s="105">
        <f>G103/G104</f>
        <v>555.55555555555554</v>
      </c>
      <c r="H105" s="105"/>
      <c r="I105" s="105"/>
      <c r="J105" s="51"/>
    </row>
    <row r="106" spans="1:10" ht="20.100000000000001" customHeight="1" x14ac:dyDescent="0.25">
      <c r="A106" s="46"/>
      <c r="B106" s="92" t="s">
        <v>285</v>
      </c>
      <c r="C106" s="92"/>
      <c r="D106" s="92"/>
      <c r="E106" s="92"/>
      <c r="F106" s="92"/>
      <c r="G106" s="98" cm="1">
        <f t="array" ref="G106">_xlfn.IFS(B103=$K$7,$M$7,B103=$K$8,$M$8)</f>
        <v>0.9</v>
      </c>
      <c r="H106" s="98"/>
      <c r="I106" s="98"/>
      <c r="J106" s="52"/>
    </row>
    <row r="107" spans="1:10" ht="20.100000000000001" customHeight="1" thickBot="1" x14ac:dyDescent="0.3">
      <c r="A107" s="53"/>
      <c r="B107" s="99" t="s">
        <v>286</v>
      </c>
      <c r="C107" s="99"/>
      <c r="D107" s="99"/>
      <c r="E107" s="99"/>
      <c r="F107" s="99"/>
      <c r="G107" s="100">
        <f>G105*G106</f>
        <v>500</v>
      </c>
      <c r="H107" s="100"/>
      <c r="I107" s="100"/>
      <c r="J107" s="52"/>
    </row>
    <row r="109" spans="1:10" ht="20.100000000000001" customHeight="1" x14ac:dyDescent="0.25">
      <c r="A109" s="44">
        <v>11</v>
      </c>
      <c r="B109" s="92" t="s">
        <v>279</v>
      </c>
      <c r="C109" s="92"/>
      <c r="D109" s="92" t="s">
        <v>280</v>
      </c>
      <c r="E109" s="92"/>
      <c r="F109" s="92"/>
      <c r="G109" s="92"/>
      <c r="H109" s="92"/>
      <c r="I109" s="92"/>
      <c r="J109" s="54"/>
    </row>
    <row r="110" spans="1:10" ht="20.100000000000001" customHeight="1" x14ac:dyDescent="0.25">
      <c r="A110" s="46"/>
      <c r="B110" s="92" t="s">
        <v>281</v>
      </c>
      <c r="C110" s="92"/>
      <c r="D110" s="92"/>
      <c r="E110" s="92"/>
      <c r="F110" s="92"/>
      <c r="G110" s="92"/>
      <c r="H110" s="92"/>
      <c r="I110" s="92"/>
      <c r="J110" s="54"/>
    </row>
    <row r="111" spans="1:10" ht="20.100000000000001" customHeight="1" x14ac:dyDescent="0.25">
      <c r="A111" s="46"/>
      <c r="B111" s="107" t="s">
        <v>300</v>
      </c>
      <c r="C111" s="107"/>
      <c r="D111" s="107"/>
      <c r="E111" s="107"/>
      <c r="F111" s="107"/>
      <c r="G111" s="107"/>
      <c r="H111" s="107"/>
      <c r="I111" s="107"/>
      <c r="J111" s="45"/>
    </row>
    <row r="112" spans="1:10" ht="20.100000000000001" customHeight="1" x14ac:dyDescent="0.25">
      <c r="A112" s="46"/>
      <c r="B112" s="108"/>
      <c r="C112" s="108"/>
      <c r="D112" s="108"/>
      <c r="E112" s="108"/>
      <c r="F112" s="108"/>
      <c r="G112" s="108"/>
      <c r="H112" s="108"/>
      <c r="I112" s="108"/>
      <c r="J112" s="45"/>
    </row>
    <row r="113" spans="1:10" ht="20.100000000000001" customHeight="1" x14ac:dyDescent="0.25">
      <c r="A113" s="47"/>
      <c r="B113" s="92" t="s">
        <v>278</v>
      </c>
      <c r="C113" s="92"/>
      <c r="D113" s="92"/>
      <c r="E113" s="48"/>
      <c r="F113" s="48"/>
      <c r="G113" s="105">
        <v>160000</v>
      </c>
      <c r="H113" s="105"/>
      <c r="I113" s="105"/>
      <c r="J113" s="49"/>
    </row>
    <row r="114" spans="1:10" ht="20.100000000000001" customHeight="1" x14ac:dyDescent="0.25">
      <c r="A114" s="46"/>
      <c r="B114" s="92" t="s">
        <v>283</v>
      </c>
      <c r="C114" s="92"/>
      <c r="D114" s="92"/>
      <c r="E114" s="92"/>
      <c r="F114" s="92"/>
      <c r="G114" s="106">
        <v>320</v>
      </c>
      <c r="H114" s="106"/>
      <c r="I114" s="106"/>
      <c r="J114" s="50"/>
    </row>
    <row r="115" spans="1:10" ht="20.100000000000001" customHeight="1" x14ac:dyDescent="0.25">
      <c r="A115" s="46"/>
      <c r="B115" s="92" t="s">
        <v>284</v>
      </c>
      <c r="C115" s="92"/>
      <c r="D115" s="92"/>
      <c r="E115" s="92"/>
      <c r="F115" s="92"/>
      <c r="G115" s="105">
        <f>G113/G114</f>
        <v>500</v>
      </c>
      <c r="H115" s="105"/>
      <c r="I115" s="105"/>
      <c r="J115" s="51"/>
    </row>
    <row r="116" spans="1:10" ht="20.100000000000001" customHeight="1" x14ac:dyDescent="0.25">
      <c r="A116" s="46"/>
      <c r="B116" s="92" t="s">
        <v>285</v>
      </c>
      <c r="C116" s="92"/>
      <c r="D116" s="92"/>
      <c r="E116" s="92"/>
      <c r="F116" s="92"/>
      <c r="G116" s="98" cm="1">
        <f t="array" ref="G116">_xlfn.IFS(B113=$K$7,$M$7,B113=$K$8,$M$8)</f>
        <v>0.9</v>
      </c>
      <c r="H116" s="98"/>
      <c r="I116" s="98"/>
      <c r="J116" s="52"/>
    </row>
    <row r="117" spans="1:10" ht="20.100000000000001" customHeight="1" thickBot="1" x14ac:dyDescent="0.3">
      <c r="A117" s="53"/>
      <c r="B117" s="99" t="s">
        <v>286</v>
      </c>
      <c r="C117" s="99"/>
      <c r="D117" s="99"/>
      <c r="E117" s="99"/>
      <c r="F117" s="99"/>
      <c r="G117" s="100">
        <f>G115*G116</f>
        <v>450</v>
      </c>
      <c r="H117" s="100"/>
      <c r="I117" s="100"/>
      <c r="J117" s="52"/>
    </row>
    <row r="119" spans="1:10" ht="20.100000000000001" customHeight="1" x14ac:dyDescent="0.25">
      <c r="A119" s="44">
        <v>12</v>
      </c>
      <c r="B119" s="92" t="s">
        <v>279</v>
      </c>
      <c r="C119" s="92"/>
      <c r="D119" s="92" t="s">
        <v>292</v>
      </c>
      <c r="E119" s="92"/>
      <c r="F119" s="92"/>
      <c r="G119" s="92"/>
      <c r="H119" s="92"/>
      <c r="I119" s="92"/>
      <c r="J119" s="54"/>
    </row>
    <row r="120" spans="1:10" ht="20.100000000000001" customHeight="1" x14ac:dyDescent="0.25">
      <c r="A120" s="46"/>
      <c r="B120" s="92" t="s">
        <v>281</v>
      </c>
      <c r="C120" s="92"/>
      <c r="D120" s="92"/>
      <c r="E120" s="92"/>
      <c r="F120" s="92"/>
      <c r="G120" s="92"/>
      <c r="H120" s="92"/>
      <c r="I120" s="92"/>
      <c r="J120" s="54"/>
    </row>
    <row r="121" spans="1:10" ht="20.100000000000001" customHeight="1" x14ac:dyDescent="0.25">
      <c r="A121" s="46"/>
      <c r="B121" s="107" t="s">
        <v>301</v>
      </c>
      <c r="C121" s="107"/>
      <c r="D121" s="107"/>
      <c r="E121" s="107"/>
      <c r="F121" s="107"/>
      <c r="G121" s="107"/>
      <c r="H121" s="107"/>
      <c r="I121" s="107"/>
      <c r="J121" s="45"/>
    </row>
    <row r="122" spans="1:10" ht="20.100000000000001" customHeight="1" x14ac:dyDescent="0.25">
      <c r="A122" s="46"/>
      <c r="B122" s="108"/>
      <c r="C122" s="108"/>
      <c r="D122" s="108"/>
      <c r="E122" s="108"/>
      <c r="F122" s="108"/>
      <c r="G122" s="108"/>
      <c r="H122" s="108"/>
      <c r="I122" s="108"/>
      <c r="J122" s="45"/>
    </row>
    <row r="123" spans="1:10" ht="20.100000000000001" customHeight="1" x14ac:dyDescent="0.25">
      <c r="A123" s="47"/>
      <c r="B123" s="92" t="s">
        <v>278</v>
      </c>
      <c r="C123" s="92"/>
      <c r="D123" s="92"/>
      <c r="E123" s="48"/>
      <c r="F123" s="48"/>
      <c r="G123" s="105">
        <v>150000</v>
      </c>
      <c r="H123" s="105"/>
      <c r="I123" s="105"/>
      <c r="J123" s="49"/>
    </row>
    <row r="124" spans="1:10" ht="20.100000000000001" customHeight="1" x14ac:dyDescent="0.25">
      <c r="A124" s="46"/>
      <c r="B124" s="92" t="s">
        <v>283</v>
      </c>
      <c r="C124" s="92"/>
      <c r="D124" s="92"/>
      <c r="E124" s="92"/>
      <c r="F124" s="92"/>
      <c r="G124" s="106">
        <v>300</v>
      </c>
      <c r="H124" s="106"/>
      <c r="I124" s="106"/>
      <c r="J124" s="50"/>
    </row>
    <row r="125" spans="1:10" ht="20.100000000000001" customHeight="1" x14ac:dyDescent="0.25">
      <c r="A125" s="46"/>
      <c r="B125" s="92" t="s">
        <v>284</v>
      </c>
      <c r="C125" s="92"/>
      <c r="D125" s="92"/>
      <c r="E125" s="92"/>
      <c r="F125" s="92"/>
      <c r="G125" s="105">
        <f>G123/G124</f>
        <v>500</v>
      </c>
      <c r="H125" s="105"/>
      <c r="I125" s="105"/>
      <c r="J125" s="51"/>
    </row>
    <row r="126" spans="1:10" ht="20.100000000000001" customHeight="1" x14ac:dyDescent="0.25">
      <c r="A126" s="46"/>
      <c r="B126" s="92" t="s">
        <v>285</v>
      </c>
      <c r="C126" s="92"/>
      <c r="D126" s="92"/>
      <c r="E126" s="92"/>
      <c r="F126" s="92"/>
      <c r="G126" s="98" cm="1">
        <f t="array" ref="G126">_xlfn.IFS(B123=$K$7,$M$7,B123=$K$8,$M$8)</f>
        <v>0.9</v>
      </c>
      <c r="H126" s="98"/>
      <c r="I126" s="98"/>
      <c r="J126" s="52"/>
    </row>
    <row r="127" spans="1:10" ht="20.100000000000001" customHeight="1" thickBot="1" x14ac:dyDescent="0.3">
      <c r="A127" s="53"/>
      <c r="B127" s="99" t="s">
        <v>286</v>
      </c>
      <c r="C127" s="99"/>
      <c r="D127" s="99"/>
      <c r="E127" s="99"/>
      <c r="F127" s="99"/>
      <c r="G127" s="100">
        <f>G125*G126</f>
        <v>450</v>
      </c>
      <c r="H127" s="100"/>
      <c r="I127" s="100"/>
      <c r="J127" s="52"/>
    </row>
    <row r="129" spans="1:10" ht="20.100000000000001" customHeight="1" x14ac:dyDescent="0.25">
      <c r="A129" s="44">
        <v>13</v>
      </c>
      <c r="B129" s="92" t="s">
        <v>279</v>
      </c>
      <c r="C129" s="92"/>
      <c r="D129" s="92" t="s">
        <v>287</v>
      </c>
      <c r="E129" s="92"/>
      <c r="F129" s="92"/>
      <c r="G129" s="92"/>
      <c r="H129" s="92"/>
      <c r="I129" s="92"/>
      <c r="J129" s="54"/>
    </row>
    <row r="130" spans="1:10" ht="20.100000000000001" customHeight="1" x14ac:dyDescent="0.25">
      <c r="A130" s="46"/>
      <c r="B130" s="92" t="s">
        <v>281</v>
      </c>
      <c r="C130" s="92"/>
      <c r="D130" s="92"/>
      <c r="E130" s="92"/>
      <c r="F130" s="92"/>
      <c r="G130" s="92"/>
      <c r="H130" s="92"/>
      <c r="I130" s="92"/>
      <c r="J130" s="54"/>
    </row>
    <row r="131" spans="1:10" ht="20.100000000000001" customHeight="1" x14ac:dyDescent="0.25">
      <c r="A131" s="46"/>
      <c r="B131" s="107" t="s">
        <v>302</v>
      </c>
      <c r="C131" s="107"/>
      <c r="D131" s="107"/>
      <c r="E131" s="107"/>
      <c r="F131" s="107"/>
      <c r="G131" s="107"/>
      <c r="H131" s="107"/>
      <c r="I131" s="107"/>
      <c r="J131" s="45"/>
    </row>
    <row r="132" spans="1:10" ht="20.100000000000001" customHeight="1" x14ac:dyDescent="0.25">
      <c r="A132" s="46"/>
      <c r="B132" s="108"/>
      <c r="C132" s="108"/>
      <c r="D132" s="108"/>
      <c r="E132" s="108"/>
      <c r="F132" s="108"/>
      <c r="G132" s="108"/>
      <c r="H132" s="108"/>
      <c r="I132" s="108"/>
      <c r="J132" s="45"/>
    </row>
    <row r="133" spans="1:10" ht="20.100000000000001" customHeight="1" x14ac:dyDescent="0.25">
      <c r="A133" s="47"/>
      <c r="B133" s="92" t="s">
        <v>278</v>
      </c>
      <c r="C133" s="92"/>
      <c r="D133" s="92"/>
      <c r="E133" s="48"/>
      <c r="F133" s="48"/>
      <c r="G133" s="105">
        <v>180000</v>
      </c>
      <c r="H133" s="105"/>
      <c r="I133" s="105"/>
      <c r="J133" s="49"/>
    </row>
    <row r="134" spans="1:10" ht="20.100000000000001" customHeight="1" x14ac:dyDescent="0.25">
      <c r="A134" s="46"/>
      <c r="B134" s="92" t="s">
        <v>283</v>
      </c>
      <c r="C134" s="92"/>
      <c r="D134" s="92"/>
      <c r="E134" s="92"/>
      <c r="F134" s="92"/>
      <c r="G134" s="106">
        <v>360</v>
      </c>
      <c r="H134" s="106"/>
      <c r="I134" s="106"/>
      <c r="J134" s="50"/>
    </row>
    <row r="135" spans="1:10" ht="20.100000000000001" customHeight="1" x14ac:dyDescent="0.25">
      <c r="A135" s="46"/>
      <c r="B135" s="92" t="s">
        <v>284</v>
      </c>
      <c r="C135" s="92"/>
      <c r="D135" s="92"/>
      <c r="E135" s="92"/>
      <c r="F135" s="92"/>
      <c r="G135" s="105">
        <f>G133/G134</f>
        <v>500</v>
      </c>
      <c r="H135" s="105"/>
      <c r="I135" s="105"/>
      <c r="J135" s="51"/>
    </row>
    <row r="136" spans="1:10" ht="20.100000000000001" customHeight="1" x14ac:dyDescent="0.25">
      <c r="A136" s="46"/>
      <c r="B136" s="92" t="s">
        <v>285</v>
      </c>
      <c r="C136" s="92"/>
      <c r="D136" s="92"/>
      <c r="E136" s="92"/>
      <c r="F136" s="92"/>
      <c r="G136" s="98" cm="1">
        <f t="array" ref="G136">_xlfn.IFS(B133=$K$7,$M$7,B133=$K$8,$M$8)</f>
        <v>0.9</v>
      </c>
      <c r="H136" s="98"/>
      <c r="I136" s="98"/>
      <c r="J136" s="52"/>
    </row>
    <row r="137" spans="1:10" ht="20.100000000000001" customHeight="1" thickBot="1" x14ac:dyDescent="0.3">
      <c r="A137" s="53"/>
      <c r="B137" s="99" t="s">
        <v>286</v>
      </c>
      <c r="C137" s="99"/>
      <c r="D137" s="99"/>
      <c r="E137" s="99"/>
      <c r="F137" s="99"/>
      <c r="G137" s="100">
        <f>G135*G136</f>
        <v>450</v>
      </c>
      <c r="H137" s="100"/>
      <c r="I137" s="100"/>
      <c r="J137" s="52"/>
    </row>
    <row r="138" spans="1:10" ht="20.100000000000001" customHeight="1" x14ac:dyDescent="0.25">
      <c r="J138" s="52"/>
    </row>
    <row r="139" spans="1:10" ht="20.100000000000001" customHeight="1" x14ac:dyDescent="0.25">
      <c r="A139" s="44">
        <v>14</v>
      </c>
      <c r="B139" s="92" t="s">
        <v>279</v>
      </c>
      <c r="C139" s="92"/>
      <c r="D139" s="92" t="s">
        <v>294</v>
      </c>
      <c r="E139" s="92"/>
      <c r="F139" s="92"/>
      <c r="G139" s="92"/>
      <c r="H139" s="92"/>
      <c r="I139" s="92"/>
      <c r="J139" s="54"/>
    </row>
    <row r="140" spans="1:10" ht="20.100000000000001" customHeight="1" x14ac:dyDescent="0.25">
      <c r="A140" s="46"/>
      <c r="B140" s="92" t="s">
        <v>281</v>
      </c>
      <c r="C140" s="92"/>
      <c r="D140" s="92"/>
      <c r="E140" s="92"/>
      <c r="F140" s="92"/>
      <c r="G140" s="92"/>
      <c r="H140" s="92"/>
      <c r="I140" s="92"/>
      <c r="J140" s="54"/>
    </row>
    <row r="141" spans="1:10" ht="20.100000000000001" customHeight="1" x14ac:dyDescent="0.25">
      <c r="A141" s="46"/>
      <c r="B141" s="107" t="s">
        <v>303</v>
      </c>
      <c r="C141" s="107"/>
      <c r="D141" s="107"/>
      <c r="E141" s="107"/>
      <c r="F141" s="107"/>
      <c r="G141" s="107"/>
      <c r="H141" s="107"/>
      <c r="I141" s="107"/>
      <c r="J141" s="45"/>
    </row>
    <row r="142" spans="1:10" ht="20.100000000000001" customHeight="1" x14ac:dyDescent="0.25">
      <c r="A142" s="46"/>
      <c r="B142" s="108"/>
      <c r="C142" s="108"/>
      <c r="D142" s="108"/>
      <c r="E142" s="108"/>
      <c r="F142" s="108"/>
      <c r="G142" s="108"/>
      <c r="H142" s="108"/>
      <c r="I142" s="108"/>
      <c r="J142" s="45"/>
    </row>
    <row r="143" spans="1:10" ht="20.100000000000001" customHeight="1" x14ac:dyDescent="0.25">
      <c r="A143" s="47"/>
      <c r="B143" s="92" t="s">
        <v>278</v>
      </c>
      <c r="C143" s="92"/>
      <c r="D143" s="92"/>
      <c r="E143" s="48"/>
      <c r="F143" s="48"/>
      <c r="G143" s="105">
        <v>170000</v>
      </c>
      <c r="H143" s="105"/>
      <c r="I143" s="105"/>
      <c r="J143" s="49"/>
    </row>
    <row r="144" spans="1:10" ht="20.100000000000001" customHeight="1" x14ac:dyDescent="0.25">
      <c r="A144" s="46"/>
      <c r="B144" s="92" t="s">
        <v>283</v>
      </c>
      <c r="C144" s="92"/>
      <c r="D144" s="92"/>
      <c r="E144" s="92"/>
      <c r="F144" s="92"/>
      <c r="G144" s="106">
        <v>360</v>
      </c>
      <c r="H144" s="106"/>
      <c r="I144" s="106"/>
      <c r="J144" s="50"/>
    </row>
    <row r="145" spans="1:10" ht="20.100000000000001" customHeight="1" x14ac:dyDescent="0.25">
      <c r="A145" s="46"/>
      <c r="B145" s="92" t="s">
        <v>284</v>
      </c>
      <c r="C145" s="92"/>
      <c r="D145" s="92"/>
      <c r="E145" s="92"/>
      <c r="F145" s="92"/>
      <c r="G145" s="105">
        <f>G143/G144</f>
        <v>472.22222222222223</v>
      </c>
      <c r="H145" s="105"/>
      <c r="I145" s="105"/>
      <c r="J145" s="51"/>
    </row>
    <row r="146" spans="1:10" ht="20.100000000000001" customHeight="1" x14ac:dyDescent="0.25">
      <c r="A146" s="46"/>
      <c r="B146" s="92" t="s">
        <v>285</v>
      </c>
      <c r="C146" s="92"/>
      <c r="D146" s="92"/>
      <c r="E146" s="92"/>
      <c r="F146" s="92"/>
      <c r="G146" s="98" cm="1">
        <f t="array" ref="G146">_xlfn.IFS(B143=$K$7,$M$7,B143=$K$8,$M$8)</f>
        <v>0.9</v>
      </c>
      <c r="H146" s="98"/>
      <c r="I146" s="98"/>
      <c r="J146" s="52"/>
    </row>
    <row r="147" spans="1:10" ht="20.100000000000001" customHeight="1" thickBot="1" x14ac:dyDescent="0.3">
      <c r="A147" s="53"/>
      <c r="B147" s="99" t="s">
        <v>286</v>
      </c>
      <c r="C147" s="99"/>
      <c r="D147" s="99"/>
      <c r="E147" s="99"/>
      <c r="F147" s="99"/>
      <c r="G147" s="100">
        <f>G145*G146</f>
        <v>425</v>
      </c>
      <c r="H147" s="100"/>
      <c r="I147" s="100"/>
      <c r="J147" s="52"/>
    </row>
    <row r="148" spans="1:10" ht="20.100000000000001" customHeight="1" x14ac:dyDescent="0.25">
      <c r="J148" s="52"/>
    </row>
    <row r="149" spans="1:10" ht="20.100000000000001" customHeight="1" x14ac:dyDescent="0.25">
      <c r="A149" s="44">
        <v>15</v>
      </c>
      <c r="B149" s="92" t="s">
        <v>279</v>
      </c>
      <c r="C149" s="92"/>
      <c r="D149" s="92" t="s">
        <v>280</v>
      </c>
      <c r="E149" s="92"/>
      <c r="F149" s="92"/>
      <c r="G149" s="92"/>
      <c r="H149" s="92"/>
      <c r="I149" s="92"/>
      <c r="J149" s="54"/>
    </row>
    <row r="150" spans="1:10" ht="20.100000000000001" customHeight="1" x14ac:dyDescent="0.25">
      <c r="A150" s="46"/>
      <c r="B150" s="92" t="s">
        <v>281</v>
      </c>
      <c r="C150" s="92"/>
      <c r="D150" s="92"/>
      <c r="E150" s="92"/>
      <c r="F150" s="92"/>
      <c r="G150" s="92"/>
      <c r="H150" s="92"/>
      <c r="I150" s="92"/>
      <c r="J150" s="54"/>
    </row>
    <row r="151" spans="1:10" ht="20.100000000000001" customHeight="1" x14ac:dyDescent="0.25">
      <c r="A151" s="46"/>
      <c r="B151" s="107" t="s">
        <v>282</v>
      </c>
      <c r="C151" s="107"/>
      <c r="D151" s="107"/>
      <c r="E151" s="107"/>
      <c r="F151" s="107"/>
      <c r="G151" s="107"/>
      <c r="H151" s="107"/>
      <c r="I151" s="107"/>
      <c r="J151" s="45"/>
    </row>
    <row r="152" spans="1:10" ht="20.100000000000001" customHeight="1" x14ac:dyDescent="0.25">
      <c r="A152" s="46"/>
      <c r="B152" s="108"/>
      <c r="C152" s="108"/>
      <c r="D152" s="108"/>
      <c r="E152" s="108"/>
      <c r="F152" s="108"/>
      <c r="G152" s="108"/>
      <c r="H152" s="108"/>
      <c r="I152" s="108"/>
      <c r="J152" s="45"/>
    </row>
    <row r="153" spans="1:10" ht="20.100000000000001" customHeight="1" x14ac:dyDescent="0.25">
      <c r="A153" s="47"/>
      <c r="B153" s="92" t="s">
        <v>278</v>
      </c>
      <c r="C153" s="92"/>
      <c r="D153" s="92"/>
      <c r="E153" s="48"/>
      <c r="F153" s="48"/>
      <c r="G153" s="105">
        <v>220000</v>
      </c>
      <c r="H153" s="105"/>
      <c r="I153" s="105"/>
      <c r="J153" s="49"/>
    </row>
    <row r="154" spans="1:10" ht="20.100000000000001" customHeight="1" x14ac:dyDescent="0.25">
      <c r="A154" s="46"/>
      <c r="B154" s="92" t="s">
        <v>283</v>
      </c>
      <c r="C154" s="92"/>
      <c r="D154" s="92"/>
      <c r="E154" s="92"/>
      <c r="F154" s="92"/>
      <c r="G154" s="106">
        <v>450</v>
      </c>
      <c r="H154" s="106"/>
      <c r="I154" s="106"/>
      <c r="J154" s="50"/>
    </row>
    <row r="155" spans="1:10" ht="20.100000000000001" customHeight="1" x14ac:dyDescent="0.25">
      <c r="A155" s="46"/>
      <c r="B155" s="92" t="s">
        <v>284</v>
      </c>
      <c r="C155" s="92"/>
      <c r="D155" s="92"/>
      <c r="E155" s="92"/>
      <c r="F155" s="92"/>
      <c r="G155" s="105">
        <f>G153/G154</f>
        <v>488.88888888888891</v>
      </c>
      <c r="H155" s="105"/>
      <c r="I155" s="105"/>
      <c r="J155" s="51"/>
    </row>
    <row r="156" spans="1:10" ht="20.100000000000001" customHeight="1" x14ac:dyDescent="0.25">
      <c r="A156" s="46"/>
      <c r="B156" s="92" t="s">
        <v>285</v>
      </c>
      <c r="C156" s="92"/>
      <c r="D156" s="92"/>
      <c r="E156" s="92"/>
      <c r="F156" s="92"/>
      <c r="G156" s="98" cm="1">
        <f t="array" ref="G156">_xlfn.IFS(B153=$K$7,$M$7,B153=$K$8,$M$8)</f>
        <v>0.9</v>
      </c>
      <c r="H156" s="98"/>
      <c r="I156" s="98"/>
      <c r="J156" s="52"/>
    </row>
    <row r="157" spans="1:10" ht="20.100000000000001" customHeight="1" thickBot="1" x14ac:dyDescent="0.3">
      <c r="A157" s="53"/>
      <c r="B157" s="99" t="s">
        <v>286</v>
      </c>
      <c r="C157" s="99"/>
      <c r="D157" s="99"/>
      <c r="E157" s="99"/>
      <c r="F157" s="99"/>
      <c r="G157" s="100">
        <f>G155*G156</f>
        <v>440.00000000000006</v>
      </c>
      <c r="H157" s="100"/>
      <c r="I157" s="100"/>
      <c r="J157" s="52"/>
    </row>
    <row r="159" spans="1:10" ht="20.100000000000001" customHeight="1" x14ac:dyDescent="0.25">
      <c r="A159" s="44">
        <v>16</v>
      </c>
      <c r="B159" s="92" t="s">
        <v>279</v>
      </c>
      <c r="C159" s="92"/>
      <c r="D159" s="92" t="s">
        <v>287</v>
      </c>
      <c r="E159" s="92"/>
      <c r="F159" s="92"/>
      <c r="G159" s="92"/>
      <c r="H159" s="92"/>
      <c r="I159" s="92"/>
      <c r="J159" s="54"/>
    </row>
    <row r="160" spans="1:10" ht="20.100000000000001" customHeight="1" x14ac:dyDescent="0.25">
      <c r="A160" s="46"/>
      <c r="B160" s="92" t="s">
        <v>281</v>
      </c>
      <c r="C160" s="92"/>
      <c r="D160" s="92"/>
      <c r="E160" s="92"/>
      <c r="F160" s="92"/>
      <c r="G160" s="92"/>
      <c r="H160" s="92"/>
      <c r="I160" s="92"/>
      <c r="J160" s="54"/>
    </row>
    <row r="161" spans="1:10" ht="20.100000000000001" customHeight="1" x14ac:dyDescent="0.25">
      <c r="A161" s="46"/>
      <c r="B161" s="107" t="s">
        <v>304</v>
      </c>
      <c r="C161" s="107"/>
      <c r="D161" s="107"/>
      <c r="E161" s="107"/>
      <c r="F161" s="107"/>
      <c r="G161" s="107"/>
      <c r="H161" s="107"/>
      <c r="I161" s="107"/>
      <c r="J161" s="45"/>
    </row>
    <row r="162" spans="1:10" ht="20.100000000000001" customHeight="1" x14ac:dyDescent="0.25">
      <c r="A162" s="46"/>
      <c r="B162" s="108"/>
      <c r="C162" s="108"/>
      <c r="D162" s="108"/>
      <c r="E162" s="108"/>
      <c r="F162" s="108"/>
      <c r="G162" s="108"/>
      <c r="H162" s="108"/>
      <c r="I162" s="108"/>
      <c r="J162" s="45"/>
    </row>
    <row r="163" spans="1:10" ht="20.100000000000001" customHeight="1" x14ac:dyDescent="0.25">
      <c r="A163" s="47"/>
      <c r="B163" s="92" t="s">
        <v>278</v>
      </c>
      <c r="C163" s="92"/>
      <c r="D163" s="92"/>
      <c r="E163" s="48"/>
      <c r="F163" s="48"/>
      <c r="G163" s="105">
        <v>190000</v>
      </c>
      <c r="H163" s="105"/>
      <c r="I163" s="105"/>
      <c r="J163" s="49"/>
    </row>
    <row r="164" spans="1:10" ht="20.100000000000001" customHeight="1" x14ac:dyDescent="0.25">
      <c r="A164" s="46"/>
      <c r="B164" s="92" t="s">
        <v>283</v>
      </c>
      <c r="C164" s="92"/>
      <c r="D164" s="92"/>
      <c r="E164" s="92"/>
      <c r="F164" s="92"/>
      <c r="G164" s="106">
        <v>320</v>
      </c>
      <c r="H164" s="106"/>
      <c r="I164" s="106"/>
      <c r="J164" s="50"/>
    </row>
    <row r="165" spans="1:10" ht="20.100000000000001" customHeight="1" x14ac:dyDescent="0.25">
      <c r="A165" s="46"/>
      <c r="B165" s="92" t="s">
        <v>284</v>
      </c>
      <c r="C165" s="92"/>
      <c r="D165" s="92"/>
      <c r="E165" s="92"/>
      <c r="F165" s="92"/>
      <c r="G165" s="105">
        <f>G163/G164</f>
        <v>593.75</v>
      </c>
      <c r="H165" s="105"/>
      <c r="I165" s="105"/>
      <c r="J165" s="51"/>
    </row>
    <row r="166" spans="1:10" ht="20.100000000000001" customHeight="1" x14ac:dyDescent="0.25">
      <c r="A166" s="46"/>
      <c r="B166" s="92" t="s">
        <v>285</v>
      </c>
      <c r="C166" s="92"/>
      <c r="D166" s="92"/>
      <c r="E166" s="92"/>
      <c r="F166" s="92"/>
      <c r="G166" s="98" cm="1">
        <f t="array" ref="G166">_xlfn.IFS(B163=$K$7,$M$7,B163=$K$8,$M$8)</f>
        <v>0.9</v>
      </c>
      <c r="H166" s="98"/>
      <c r="I166" s="98"/>
      <c r="J166" s="52"/>
    </row>
    <row r="167" spans="1:10" ht="20.100000000000001" customHeight="1" thickBot="1" x14ac:dyDescent="0.3">
      <c r="A167" s="53"/>
      <c r="B167" s="99" t="s">
        <v>286</v>
      </c>
      <c r="C167" s="99"/>
      <c r="D167" s="99"/>
      <c r="E167" s="99"/>
      <c r="F167" s="99"/>
      <c r="G167" s="100">
        <f>G165*G166</f>
        <v>534.375</v>
      </c>
      <c r="H167" s="100"/>
      <c r="I167" s="100"/>
      <c r="J167" s="52"/>
    </row>
    <row r="169" spans="1:10" ht="20.100000000000001" customHeight="1" x14ac:dyDescent="0.25">
      <c r="A169" s="44">
        <v>17</v>
      </c>
      <c r="B169" s="92" t="s">
        <v>279</v>
      </c>
      <c r="C169" s="92"/>
      <c r="D169" s="92" t="s">
        <v>290</v>
      </c>
      <c r="E169" s="92"/>
      <c r="F169" s="92"/>
      <c r="G169" s="92"/>
      <c r="H169" s="92"/>
      <c r="I169" s="92"/>
      <c r="J169" s="54"/>
    </row>
    <row r="170" spans="1:10" ht="20.100000000000001" customHeight="1" x14ac:dyDescent="0.25">
      <c r="A170" s="46"/>
      <c r="B170" s="92" t="s">
        <v>281</v>
      </c>
      <c r="C170" s="92"/>
      <c r="D170" s="92"/>
      <c r="E170" s="92"/>
      <c r="F170" s="92"/>
      <c r="G170" s="92"/>
      <c r="H170" s="92"/>
      <c r="I170" s="92"/>
      <c r="J170" s="54"/>
    </row>
    <row r="171" spans="1:10" ht="20.100000000000001" customHeight="1" x14ac:dyDescent="0.25">
      <c r="A171" s="46"/>
      <c r="B171" s="107" t="s">
        <v>305</v>
      </c>
      <c r="C171" s="107"/>
      <c r="D171" s="107"/>
      <c r="E171" s="107"/>
      <c r="F171" s="107"/>
      <c r="G171" s="107"/>
      <c r="H171" s="107"/>
      <c r="I171" s="107"/>
      <c r="J171" s="45"/>
    </row>
    <row r="172" spans="1:10" ht="20.100000000000001" customHeight="1" x14ac:dyDescent="0.25">
      <c r="A172" s="46"/>
      <c r="B172" s="108"/>
      <c r="C172" s="108"/>
      <c r="D172" s="108"/>
      <c r="E172" s="108"/>
      <c r="F172" s="108"/>
      <c r="G172" s="108"/>
      <c r="H172" s="108"/>
      <c r="I172" s="108"/>
      <c r="J172" s="45"/>
    </row>
    <row r="173" spans="1:10" ht="20.100000000000001" customHeight="1" x14ac:dyDescent="0.25">
      <c r="A173" s="47"/>
      <c r="B173" s="92" t="s">
        <v>278</v>
      </c>
      <c r="C173" s="92"/>
      <c r="D173" s="92"/>
      <c r="E173" s="48"/>
      <c r="F173" s="48"/>
      <c r="G173" s="105">
        <v>180000</v>
      </c>
      <c r="H173" s="105"/>
      <c r="I173" s="105"/>
      <c r="J173" s="49"/>
    </row>
    <row r="174" spans="1:10" ht="20.100000000000001" customHeight="1" x14ac:dyDescent="0.25">
      <c r="A174" s="46"/>
      <c r="B174" s="92" t="s">
        <v>283</v>
      </c>
      <c r="C174" s="92"/>
      <c r="D174" s="92"/>
      <c r="E174" s="92"/>
      <c r="F174" s="92"/>
      <c r="G174" s="106">
        <v>360</v>
      </c>
      <c r="H174" s="106"/>
      <c r="I174" s="106"/>
      <c r="J174" s="50"/>
    </row>
    <row r="175" spans="1:10" ht="20.100000000000001" customHeight="1" x14ac:dyDescent="0.25">
      <c r="A175" s="46"/>
      <c r="B175" s="92" t="s">
        <v>284</v>
      </c>
      <c r="C175" s="92"/>
      <c r="D175" s="92"/>
      <c r="E175" s="92"/>
      <c r="F175" s="92"/>
      <c r="G175" s="105">
        <f>G173/G174</f>
        <v>500</v>
      </c>
      <c r="H175" s="105"/>
      <c r="I175" s="105"/>
      <c r="J175" s="51"/>
    </row>
    <row r="176" spans="1:10" ht="20.100000000000001" customHeight="1" x14ac:dyDescent="0.25">
      <c r="A176" s="46"/>
      <c r="B176" s="92" t="s">
        <v>285</v>
      </c>
      <c r="C176" s="92"/>
      <c r="D176" s="92"/>
      <c r="E176" s="92"/>
      <c r="F176" s="92"/>
      <c r="G176" s="98" cm="1">
        <f t="array" ref="G176">_xlfn.IFS(B173=$K$7,$M$7,B173=$K$8,$M$8)</f>
        <v>0.9</v>
      </c>
      <c r="H176" s="98"/>
      <c r="I176" s="98"/>
      <c r="J176" s="52"/>
    </row>
    <row r="177" spans="1:10" ht="20.100000000000001" customHeight="1" thickBot="1" x14ac:dyDescent="0.3">
      <c r="A177" s="53"/>
      <c r="B177" s="99" t="s">
        <v>286</v>
      </c>
      <c r="C177" s="99"/>
      <c r="D177" s="99"/>
      <c r="E177" s="99"/>
      <c r="F177" s="99"/>
      <c r="G177" s="100">
        <f>G175*G176</f>
        <v>450</v>
      </c>
      <c r="H177" s="100"/>
      <c r="I177" s="100"/>
      <c r="J177" s="52"/>
    </row>
    <row r="179" spans="1:10" ht="20.100000000000001" customHeight="1" x14ac:dyDescent="0.25">
      <c r="A179" s="44">
        <v>18</v>
      </c>
      <c r="B179" s="92" t="s">
        <v>279</v>
      </c>
      <c r="C179" s="92"/>
      <c r="D179" s="92" t="s">
        <v>280</v>
      </c>
      <c r="E179" s="92"/>
      <c r="F179" s="92"/>
      <c r="G179" s="92"/>
      <c r="H179" s="92"/>
      <c r="I179" s="92"/>
      <c r="J179" s="54"/>
    </row>
    <row r="180" spans="1:10" ht="20.100000000000001" customHeight="1" x14ac:dyDescent="0.25">
      <c r="A180" s="46"/>
      <c r="B180" s="92" t="s">
        <v>281</v>
      </c>
      <c r="C180" s="92"/>
      <c r="D180" s="92"/>
      <c r="E180" s="92"/>
      <c r="F180" s="92"/>
      <c r="G180" s="92"/>
      <c r="H180" s="92"/>
      <c r="I180" s="92"/>
      <c r="J180" s="54"/>
    </row>
    <row r="181" spans="1:10" ht="20.100000000000001" customHeight="1" x14ac:dyDescent="0.25">
      <c r="A181" s="46"/>
      <c r="B181" s="107" t="s">
        <v>291</v>
      </c>
      <c r="C181" s="107"/>
      <c r="D181" s="107"/>
      <c r="E181" s="107"/>
      <c r="F181" s="107"/>
      <c r="G181" s="107"/>
      <c r="H181" s="107"/>
      <c r="I181" s="107"/>
      <c r="J181" s="45"/>
    </row>
    <row r="182" spans="1:10" ht="20.100000000000001" customHeight="1" x14ac:dyDescent="0.25">
      <c r="A182" s="46"/>
      <c r="B182" s="108"/>
      <c r="C182" s="108"/>
      <c r="D182" s="108"/>
      <c r="E182" s="108"/>
      <c r="F182" s="108"/>
      <c r="G182" s="108"/>
      <c r="H182" s="108"/>
      <c r="I182" s="108"/>
      <c r="J182" s="45"/>
    </row>
    <row r="183" spans="1:10" ht="20.100000000000001" customHeight="1" x14ac:dyDescent="0.25">
      <c r="A183" s="47"/>
      <c r="B183" s="92" t="s">
        <v>278</v>
      </c>
      <c r="C183" s="92"/>
      <c r="D183" s="92"/>
      <c r="E183" s="48"/>
      <c r="F183" s="48"/>
      <c r="G183" s="105">
        <v>170000</v>
      </c>
      <c r="H183" s="105"/>
      <c r="I183" s="105"/>
      <c r="J183" s="49"/>
    </row>
    <row r="184" spans="1:10" ht="20.100000000000001" customHeight="1" x14ac:dyDescent="0.25">
      <c r="A184" s="46"/>
      <c r="B184" s="92" t="s">
        <v>283</v>
      </c>
      <c r="C184" s="92"/>
      <c r="D184" s="92"/>
      <c r="E184" s="92"/>
      <c r="F184" s="92"/>
      <c r="G184" s="106">
        <v>315</v>
      </c>
      <c r="H184" s="106"/>
      <c r="I184" s="106"/>
      <c r="J184" s="50"/>
    </row>
    <row r="185" spans="1:10" ht="20.100000000000001" customHeight="1" x14ac:dyDescent="0.25">
      <c r="A185" s="46"/>
      <c r="B185" s="92" t="s">
        <v>284</v>
      </c>
      <c r="C185" s="92"/>
      <c r="D185" s="92"/>
      <c r="E185" s="92"/>
      <c r="F185" s="92"/>
      <c r="G185" s="105">
        <f>G183/G184</f>
        <v>539.68253968253964</v>
      </c>
      <c r="H185" s="105"/>
      <c r="I185" s="105"/>
      <c r="J185" s="51"/>
    </row>
    <row r="186" spans="1:10" ht="20.100000000000001" customHeight="1" x14ac:dyDescent="0.25">
      <c r="A186" s="46"/>
      <c r="B186" s="92" t="s">
        <v>285</v>
      </c>
      <c r="C186" s="92"/>
      <c r="D186" s="92"/>
      <c r="E186" s="92"/>
      <c r="F186" s="92"/>
      <c r="G186" s="98" cm="1">
        <f t="array" ref="G186">_xlfn.IFS(B183=$K$7,$M$7,B183=$K$8,$M$8)</f>
        <v>0.9</v>
      </c>
      <c r="H186" s="98"/>
      <c r="I186" s="98"/>
      <c r="J186" s="52"/>
    </row>
    <row r="187" spans="1:10" ht="20.100000000000001" customHeight="1" thickBot="1" x14ac:dyDescent="0.3">
      <c r="A187" s="53"/>
      <c r="B187" s="99" t="s">
        <v>286</v>
      </c>
      <c r="C187" s="99"/>
      <c r="D187" s="99"/>
      <c r="E187" s="99"/>
      <c r="F187" s="99"/>
      <c r="G187" s="100">
        <f>G185*G186</f>
        <v>485.71428571428567</v>
      </c>
      <c r="H187" s="100"/>
      <c r="I187" s="100"/>
      <c r="J187" s="52"/>
    </row>
    <row r="189" spans="1:10" ht="20.100000000000001" customHeight="1" x14ac:dyDescent="0.25">
      <c r="A189" s="44">
        <v>19</v>
      </c>
      <c r="B189" s="92" t="s">
        <v>279</v>
      </c>
      <c r="C189" s="92"/>
      <c r="D189" s="92" t="s">
        <v>292</v>
      </c>
      <c r="E189" s="92"/>
      <c r="F189" s="92"/>
      <c r="G189" s="92"/>
      <c r="H189" s="92"/>
      <c r="I189" s="92"/>
      <c r="J189" s="54"/>
    </row>
    <row r="190" spans="1:10" ht="20.100000000000001" customHeight="1" x14ac:dyDescent="0.25">
      <c r="A190" s="46"/>
      <c r="B190" s="92" t="s">
        <v>281</v>
      </c>
      <c r="C190" s="92"/>
      <c r="D190" s="92"/>
      <c r="E190" s="92"/>
      <c r="F190" s="92"/>
      <c r="G190" s="92"/>
      <c r="H190" s="92"/>
      <c r="I190" s="92"/>
      <c r="J190" s="54"/>
    </row>
    <row r="191" spans="1:10" ht="20.100000000000001" customHeight="1" x14ac:dyDescent="0.25">
      <c r="A191" s="46"/>
      <c r="B191" s="107" t="s">
        <v>306</v>
      </c>
      <c r="C191" s="107"/>
      <c r="D191" s="107"/>
      <c r="E191" s="107"/>
      <c r="F191" s="107"/>
      <c r="G191" s="107"/>
      <c r="H191" s="107"/>
      <c r="I191" s="107"/>
      <c r="J191" s="45"/>
    </row>
    <row r="192" spans="1:10" ht="20.100000000000001" customHeight="1" x14ac:dyDescent="0.25">
      <c r="A192" s="46"/>
      <c r="B192" s="108"/>
      <c r="C192" s="108"/>
      <c r="D192" s="108"/>
      <c r="E192" s="108"/>
      <c r="F192" s="108"/>
      <c r="G192" s="108"/>
      <c r="H192" s="108"/>
      <c r="I192" s="108"/>
      <c r="J192" s="45"/>
    </row>
    <row r="193" spans="1:10" ht="20.100000000000001" customHeight="1" x14ac:dyDescent="0.25">
      <c r="A193" s="47"/>
      <c r="B193" s="92" t="s">
        <v>278</v>
      </c>
      <c r="C193" s="92"/>
      <c r="D193" s="92"/>
      <c r="E193" s="48"/>
      <c r="F193" s="48"/>
      <c r="G193" s="105">
        <v>130000</v>
      </c>
      <c r="H193" s="105"/>
      <c r="I193" s="105"/>
      <c r="J193" s="49"/>
    </row>
    <row r="194" spans="1:10" ht="20.100000000000001" customHeight="1" x14ac:dyDescent="0.25">
      <c r="A194" s="46"/>
      <c r="B194" s="92" t="s">
        <v>283</v>
      </c>
      <c r="C194" s="92"/>
      <c r="D194" s="92"/>
      <c r="E194" s="92"/>
      <c r="F194" s="92"/>
      <c r="G194" s="106">
        <v>320</v>
      </c>
      <c r="H194" s="106"/>
      <c r="I194" s="106"/>
      <c r="J194" s="50"/>
    </row>
    <row r="195" spans="1:10" ht="20.100000000000001" customHeight="1" x14ac:dyDescent="0.25">
      <c r="A195" s="46"/>
      <c r="B195" s="92" t="s">
        <v>284</v>
      </c>
      <c r="C195" s="92"/>
      <c r="D195" s="92"/>
      <c r="E195" s="92"/>
      <c r="F195" s="92"/>
      <c r="G195" s="105">
        <f>G193/G194</f>
        <v>406.25</v>
      </c>
      <c r="H195" s="105"/>
      <c r="I195" s="105"/>
      <c r="J195" s="51"/>
    </row>
    <row r="196" spans="1:10" ht="20.100000000000001" customHeight="1" x14ac:dyDescent="0.25">
      <c r="A196" s="46"/>
      <c r="B196" s="92" t="s">
        <v>285</v>
      </c>
      <c r="C196" s="92"/>
      <c r="D196" s="92"/>
      <c r="E196" s="92"/>
      <c r="F196" s="92"/>
      <c r="G196" s="98" cm="1">
        <f t="array" ref="G196">_xlfn.IFS(B193=$K$7,$M$7,B193=$K$8,$M$8)</f>
        <v>0.9</v>
      </c>
      <c r="H196" s="98"/>
      <c r="I196" s="98"/>
      <c r="J196" s="52"/>
    </row>
    <row r="197" spans="1:10" ht="20.100000000000001" customHeight="1" thickBot="1" x14ac:dyDescent="0.3">
      <c r="A197" s="53"/>
      <c r="B197" s="99" t="s">
        <v>286</v>
      </c>
      <c r="C197" s="99"/>
      <c r="D197" s="99"/>
      <c r="E197" s="99"/>
      <c r="F197" s="99"/>
      <c r="G197" s="100">
        <f>G195*G196</f>
        <v>365.625</v>
      </c>
      <c r="H197" s="100"/>
      <c r="I197" s="100"/>
      <c r="J197" s="52"/>
    </row>
    <row r="199" spans="1:10" ht="20.100000000000001" customHeight="1" x14ac:dyDescent="0.25">
      <c r="A199" s="44">
        <v>20</v>
      </c>
      <c r="B199" s="92" t="s">
        <v>279</v>
      </c>
      <c r="C199" s="92"/>
      <c r="D199" s="92" t="s">
        <v>287</v>
      </c>
      <c r="E199" s="92"/>
      <c r="F199" s="92"/>
      <c r="G199" s="92"/>
      <c r="H199" s="92"/>
      <c r="I199" s="92"/>
      <c r="J199" s="54"/>
    </row>
    <row r="200" spans="1:10" ht="20.100000000000001" customHeight="1" x14ac:dyDescent="0.25">
      <c r="A200" s="46"/>
      <c r="B200" s="92" t="s">
        <v>281</v>
      </c>
      <c r="C200" s="92"/>
      <c r="D200" s="92"/>
      <c r="E200" s="92"/>
      <c r="F200" s="92"/>
      <c r="G200" s="92"/>
      <c r="H200" s="92"/>
      <c r="I200" s="92"/>
      <c r="J200" s="54"/>
    </row>
    <row r="201" spans="1:10" ht="20.100000000000001" customHeight="1" x14ac:dyDescent="0.25">
      <c r="A201" s="46"/>
      <c r="B201" s="107" t="s">
        <v>296</v>
      </c>
      <c r="C201" s="107"/>
      <c r="D201" s="107"/>
      <c r="E201" s="107"/>
      <c r="F201" s="107"/>
      <c r="G201" s="107"/>
      <c r="H201" s="107"/>
      <c r="I201" s="107"/>
      <c r="J201" s="45"/>
    </row>
    <row r="202" spans="1:10" ht="20.100000000000001" customHeight="1" x14ac:dyDescent="0.25">
      <c r="A202" s="46"/>
      <c r="B202" s="108"/>
      <c r="C202" s="108"/>
      <c r="D202" s="108"/>
      <c r="E202" s="108"/>
      <c r="F202" s="108"/>
      <c r="G202" s="108"/>
      <c r="H202" s="108"/>
      <c r="I202" s="108"/>
      <c r="J202" s="45"/>
    </row>
    <row r="203" spans="1:10" ht="20.100000000000001" customHeight="1" x14ac:dyDescent="0.25">
      <c r="A203" s="47"/>
      <c r="B203" s="92" t="s">
        <v>277</v>
      </c>
      <c r="C203" s="92"/>
      <c r="D203" s="92"/>
      <c r="E203" s="48"/>
      <c r="F203" s="48"/>
      <c r="G203" s="105">
        <v>160000</v>
      </c>
      <c r="H203" s="105"/>
      <c r="I203" s="105"/>
      <c r="J203" s="49"/>
    </row>
    <row r="204" spans="1:10" ht="20.100000000000001" customHeight="1" x14ac:dyDescent="0.25">
      <c r="A204" s="46"/>
      <c r="B204" s="92" t="s">
        <v>283</v>
      </c>
      <c r="C204" s="92"/>
      <c r="D204" s="92"/>
      <c r="E204" s="92"/>
      <c r="F204" s="92"/>
      <c r="G204" s="106">
        <v>340</v>
      </c>
      <c r="H204" s="106"/>
      <c r="I204" s="106"/>
      <c r="J204" s="50"/>
    </row>
    <row r="205" spans="1:10" ht="20.100000000000001" customHeight="1" x14ac:dyDescent="0.25">
      <c r="A205" s="46"/>
      <c r="B205" s="92" t="s">
        <v>284</v>
      </c>
      <c r="C205" s="92"/>
      <c r="D205" s="92"/>
      <c r="E205" s="92"/>
      <c r="F205" s="92"/>
      <c r="G205" s="105">
        <f>G203/G204</f>
        <v>470.58823529411762</v>
      </c>
      <c r="H205" s="105"/>
      <c r="I205" s="105"/>
      <c r="J205" s="51"/>
    </row>
    <row r="206" spans="1:10" ht="20.100000000000001" customHeight="1" x14ac:dyDescent="0.25">
      <c r="A206" s="46"/>
      <c r="B206" s="92" t="s">
        <v>285</v>
      </c>
      <c r="C206" s="92"/>
      <c r="D206" s="92"/>
      <c r="E206" s="92"/>
      <c r="F206" s="92"/>
      <c r="G206" s="98" cm="1">
        <f t="array" ref="G206">_xlfn.IFS(B203=$K$7,$M$7,B203=$K$8,$M$8)</f>
        <v>1</v>
      </c>
      <c r="H206" s="98"/>
      <c r="I206" s="98"/>
      <c r="J206" s="52"/>
    </row>
    <row r="207" spans="1:10" ht="20.100000000000001" customHeight="1" thickBot="1" x14ac:dyDescent="0.3">
      <c r="A207" s="53"/>
      <c r="B207" s="99" t="s">
        <v>286</v>
      </c>
      <c r="C207" s="99"/>
      <c r="D207" s="99"/>
      <c r="E207" s="99"/>
      <c r="F207" s="99"/>
      <c r="G207" s="100">
        <f>G205*G206</f>
        <v>470.58823529411762</v>
      </c>
      <c r="H207" s="100"/>
      <c r="I207" s="100"/>
      <c r="J207" s="52"/>
    </row>
    <row r="208" spans="1:10" ht="20.100000000000001" customHeight="1" x14ac:dyDescent="0.25">
      <c r="J208" s="52"/>
    </row>
    <row r="209" spans="1:10" ht="20.100000000000001" customHeight="1" x14ac:dyDescent="0.25">
      <c r="A209" s="44">
        <v>21</v>
      </c>
      <c r="B209" s="92" t="s">
        <v>279</v>
      </c>
      <c r="C209" s="92"/>
      <c r="D209" s="92" t="s">
        <v>294</v>
      </c>
      <c r="E209" s="92"/>
      <c r="F209" s="92"/>
      <c r="G209" s="92"/>
      <c r="H209" s="92"/>
      <c r="I209" s="92"/>
      <c r="J209" s="54"/>
    </row>
    <row r="210" spans="1:10" ht="20.100000000000001" customHeight="1" x14ac:dyDescent="0.25">
      <c r="A210" s="46"/>
      <c r="B210" s="92" t="s">
        <v>281</v>
      </c>
      <c r="C210" s="92"/>
      <c r="D210" s="92"/>
      <c r="E210" s="92"/>
      <c r="F210" s="92"/>
      <c r="G210" s="92"/>
      <c r="H210" s="92"/>
      <c r="I210" s="92"/>
      <c r="J210" s="54"/>
    </row>
    <row r="211" spans="1:10" ht="20.100000000000001" customHeight="1" x14ac:dyDescent="0.25">
      <c r="A211" s="46"/>
      <c r="B211" s="107" t="s">
        <v>296</v>
      </c>
      <c r="C211" s="107"/>
      <c r="D211" s="107"/>
      <c r="E211" s="107"/>
      <c r="F211" s="107"/>
      <c r="G211" s="107"/>
      <c r="H211" s="107"/>
      <c r="I211" s="107"/>
      <c r="J211" s="45"/>
    </row>
    <row r="212" spans="1:10" ht="20.100000000000001" customHeight="1" x14ac:dyDescent="0.25">
      <c r="A212" s="46"/>
      <c r="B212" s="108"/>
      <c r="C212" s="108"/>
      <c r="D212" s="108"/>
      <c r="E212" s="108"/>
      <c r="F212" s="108"/>
      <c r="G212" s="108"/>
      <c r="H212" s="108"/>
      <c r="I212" s="108"/>
      <c r="J212" s="45"/>
    </row>
    <row r="213" spans="1:10" ht="20.100000000000001" customHeight="1" x14ac:dyDescent="0.25">
      <c r="A213" s="47"/>
      <c r="B213" s="92" t="s">
        <v>278</v>
      </c>
      <c r="C213" s="92"/>
      <c r="D213" s="92"/>
      <c r="E213" s="48"/>
      <c r="F213" s="48"/>
      <c r="G213" s="105">
        <v>170000</v>
      </c>
      <c r="H213" s="105"/>
      <c r="I213" s="105"/>
      <c r="J213" s="49"/>
    </row>
    <row r="214" spans="1:10" ht="20.100000000000001" customHeight="1" x14ac:dyDescent="0.25">
      <c r="A214" s="46"/>
      <c r="B214" s="92" t="s">
        <v>283</v>
      </c>
      <c r="C214" s="92"/>
      <c r="D214" s="92"/>
      <c r="E214" s="92"/>
      <c r="F214" s="92"/>
      <c r="G214" s="106">
        <v>320</v>
      </c>
      <c r="H214" s="106"/>
      <c r="I214" s="106"/>
      <c r="J214" s="50"/>
    </row>
    <row r="215" spans="1:10" ht="20.100000000000001" customHeight="1" x14ac:dyDescent="0.25">
      <c r="A215" s="46"/>
      <c r="B215" s="92" t="s">
        <v>284</v>
      </c>
      <c r="C215" s="92"/>
      <c r="D215" s="92"/>
      <c r="E215" s="92"/>
      <c r="F215" s="92"/>
      <c r="G215" s="105">
        <f>G213/G214</f>
        <v>531.25</v>
      </c>
      <c r="H215" s="105"/>
      <c r="I215" s="105"/>
      <c r="J215" s="51"/>
    </row>
    <row r="216" spans="1:10" ht="20.100000000000001" customHeight="1" x14ac:dyDescent="0.25">
      <c r="A216" s="46"/>
      <c r="B216" s="92" t="s">
        <v>285</v>
      </c>
      <c r="C216" s="92"/>
      <c r="D216" s="92"/>
      <c r="E216" s="92"/>
      <c r="F216" s="92"/>
      <c r="G216" s="98" cm="1">
        <f t="array" ref="G216">_xlfn.IFS(B213=$K$7,$M$7,B213=$K$8,$M$8)</f>
        <v>0.9</v>
      </c>
      <c r="H216" s="98"/>
      <c r="I216" s="98"/>
      <c r="J216" s="52"/>
    </row>
    <row r="217" spans="1:10" ht="20.100000000000001" customHeight="1" thickBot="1" x14ac:dyDescent="0.3">
      <c r="A217" s="53"/>
      <c r="B217" s="99" t="s">
        <v>286</v>
      </c>
      <c r="C217" s="99"/>
      <c r="D217" s="99"/>
      <c r="E217" s="99"/>
      <c r="F217" s="99"/>
      <c r="G217" s="100">
        <f>G215*G216</f>
        <v>478.125</v>
      </c>
      <c r="H217" s="100"/>
      <c r="I217" s="100"/>
      <c r="J217" s="52"/>
    </row>
    <row r="218" spans="1:10" ht="20.100000000000001" customHeight="1" x14ac:dyDescent="0.25">
      <c r="J218" s="52"/>
    </row>
    <row r="219" spans="1:10" ht="20.100000000000001" customHeight="1" x14ac:dyDescent="0.25">
      <c r="A219" s="44">
        <v>22</v>
      </c>
      <c r="B219" s="92" t="s">
        <v>279</v>
      </c>
      <c r="C219" s="92"/>
      <c r="D219" s="92" t="s">
        <v>280</v>
      </c>
      <c r="E219" s="92"/>
      <c r="F219" s="92"/>
      <c r="G219" s="92"/>
      <c r="H219" s="92"/>
      <c r="I219" s="92"/>
      <c r="J219" s="54"/>
    </row>
    <row r="220" spans="1:10" ht="20.100000000000001" customHeight="1" x14ac:dyDescent="0.25">
      <c r="A220" s="46"/>
      <c r="B220" s="92" t="s">
        <v>281</v>
      </c>
      <c r="C220" s="92"/>
      <c r="D220" s="92"/>
      <c r="E220" s="92"/>
      <c r="F220" s="92"/>
      <c r="G220" s="92"/>
      <c r="H220" s="92"/>
      <c r="I220" s="92"/>
      <c r="J220" s="54"/>
    </row>
    <row r="221" spans="1:10" ht="20.100000000000001" customHeight="1" x14ac:dyDescent="0.25">
      <c r="A221" s="46"/>
      <c r="B221" s="107" t="s">
        <v>282</v>
      </c>
      <c r="C221" s="107"/>
      <c r="D221" s="107"/>
      <c r="E221" s="107"/>
      <c r="F221" s="107"/>
      <c r="G221" s="107"/>
      <c r="H221" s="107"/>
      <c r="I221" s="107"/>
      <c r="J221" s="45"/>
    </row>
    <row r="222" spans="1:10" ht="20.100000000000001" customHeight="1" x14ac:dyDescent="0.25">
      <c r="A222" s="46"/>
      <c r="B222" s="108"/>
      <c r="C222" s="108"/>
      <c r="D222" s="108"/>
      <c r="E222" s="108"/>
      <c r="F222" s="108"/>
      <c r="G222" s="108"/>
      <c r="H222" s="108"/>
      <c r="I222" s="108"/>
      <c r="J222" s="45"/>
    </row>
    <row r="223" spans="1:10" ht="20.100000000000001" customHeight="1" x14ac:dyDescent="0.25">
      <c r="A223" s="47"/>
      <c r="B223" s="92" t="s">
        <v>278</v>
      </c>
      <c r="C223" s="92"/>
      <c r="D223" s="92"/>
      <c r="E223" s="48"/>
      <c r="F223" s="48"/>
      <c r="G223" s="105">
        <v>250000</v>
      </c>
      <c r="H223" s="105"/>
      <c r="I223" s="105"/>
      <c r="J223" s="49"/>
    </row>
    <row r="224" spans="1:10" ht="20.100000000000001" customHeight="1" x14ac:dyDescent="0.25">
      <c r="A224" s="46"/>
      <c r="B224" s="92" t="s">
        <v>283</v>
      </c>
      <c r="C224" s="92"/>
      <c r="D224" s="92"/>
      <c r="E224" s="92"/>
      <c r="F224" s="92"/>
      <c r="G224" s="106">
        <v>450</v>
      </c>
      <c r="H224" s="106"/>
      <c r="I224" s="106"/>
      <c r="J224" s="50"/>
    </row>
    <row r="225" spans="1:10" ht="20.100000000000001" customHeight="1" x14ac:dyDescent="0.25">
      <c r="A225" s="46"/>
      <c r="B225" s="92" t="s">
        <v>284</v>
      </c>
      <c r="C225" s="92"/>
      <c r="D225" s="92"/>
      <c r="E225" s="92"/>
      <c r="F225" s="92"/>
      <c r="G225" s="105">
        <f>G223/G224</f>
        <v>555.55555555555554</v>
      </c>
      <c r="H225" s="105"/>
      <c r="I225" s="105"/>
      <c r="J225" s="51"/>
    </row>
    <row r="226" spans="1:10" ht="20.100000000000001" customHeight="1" x14ac:dyDescent="0.25">
      <c r="A226" s="46"/>
      <c r="B226" s="92" t="s">
        <v>285</v>
      </c>
      <c r="C226" s="92"/>
      <c r="D226" s="92"/>
      <c r="E226" s="92"/>
      <c r="F226" s="92"/>
      <c r="G226" s="98" cm="1">
        <f t="array" ref="G226">_xlfn.IFS(B223=$K$7,$M$7,B223=$K$8,$M$8)</f>
        <v>0.9</v>
      </c>
      <c r="H226" s="98"/>
      <c r="I226" s="98"/>
      <c r="J226" s="52"/>
    </row>
    <row r="227" spans="1:10" ht="20.100000000000001" customHeight="1" thickBot="1" x14ac:dyDescent="0.3">
      <c r="A227" s="53"/>
      <c r="B227" s="99" t="s">
        <v>286</v>
      </c>
      <c r="C227" s="99"/>
      <c r="D227" s="99"/>
      <c r="E227" s="99"/>
      <c r="F227" s="99"/>
      <c r="G227" s="100">
        <f>G225*G226</f>
        <v>500</v>
      </c>
      <c r="H227" s="100"/>
      <c r="I227" s="100"/>
      <c r="J227" s="52"/>
    </row>
    <row r="229" spans="1:10" ht="20.100000000000001" customHeight="1" x14ac:dyDescent="0.25">
      <c r="A229" s="44">
        <v>23</v>
      </c>
      <c r="B229" s="92" t="s">
        <v>279</v>
      </c>
      <c r="C229" s="92"/>
      <c r="D229" s="92" t="s">
        <v>287</v>
      </c>
      <c r="E229" s="92"/>
      <c r="F229" s="92"/>
      <c r="G229" s="92"/>
      <c r="H229" s="92"/>
      <c r="I229" s="92"/>
      <c r="J229" s="54"/>
    </row>
    <row r="230" spans="1:10" ht="20.100000000000001" customHeight="1" x14ac:dyDescent="0.25">
      <c r="A230" s="46"/>
      <c r="B230" s="92" t="s">
        <v>281</v>
      </c>
      <c r="C230" s="92"/>
      <c r="D230" s="92"/>
      <c r="E230" s="92"/>
      <c r="F230" s="92"/>
      <c r="G230" s="92"/>
      <c r="H230" s="92"/>
      <c r="I230" s="92"/>
      <c r="J230" s="54"/>
    </row>
    <row r="231" spans="1:10" ht="20.100000000000001" customHeight="1" x14ac:dyDescent="0.25">
      <c r="A231" s="46"/>
      <c r="B231" s="107" t="s">
        <v>307</v>
      </c>
      <c r="C231" s="107"/>
      <c r="D231" s="107"/>
      <c r="E231" s="107"/>
      <c r="F231" s="107"/>
      <c r="G231" s="107"/>
      <c r="H231" s="107"/>
      <c r="I231" s="107"/>
      <c r="J231" s="45"/>
    </row>
    <row r="232" spans="1:10" ht="20.100000000000001" customHeight="1" x14ac:dyDescent="0.25">
      <c r="A232" s="46"/>
      <c r="B232" s="108"/>
      <c r="C232" s="108"/>
      <c r="D232" s="108"/>
      <c r="E232" s="108"/>
      <c r="F232" s="108"/>
      <c r="G232" s="108"/>
      <c r="H232" s="108"/>
      <c r="I232" s="108"/>
      <c r="J232" s="45"/>
    </row>
    <row r="233" spans="1:10" ht="20.100000000000001" customHeight="1" x14ac:dyDescent="0.25">
      <c r="A233" s="47"/>
      <c r="B233" s="92" t="s">
        <v>278</v>
      </c>
      <c r="C233" s="92"/>
      <c r="D233" s="92"/>
      <c r="E233" s="48"/>
      <c r="F233" s="48"/>
      <c r="G233" s="105">
        <v>135000</v>
      </c>
      <c r="H233" s="105"/>
      <c r="I233" s="105"/>
      <c r="J233" s="49"/>
    </row>
    <row r="234" spans="1:10" ht="20.100000000000001" customHeight="1" x14ac:dyDescent="0.25">
      <c r="A234" s="46"/>
      <c r="B234" s="92" t="s">
        <v>283</v>
      </c>
      <c r="C234" s="92"/>
      <c r="D234" s="92"/>
      <c r="E234" s="92"/>
      <c r="F234" s="92"/>
      <c r="G234" s="106">
        <v>320</v>
      </c>
      <c r="H234" s="106"/>
      <c r="I234" s="106"/>
      <c r="J234" s="50"/>
    </row>
    <row r="235" spans="1:10" ht="20.100000000000001" customHeight="1" x14ac:dyDescent="0.25">
      <c r="A235" s="46"/>
      <c r="B235" s="92" t="s">
        <v>284</v>
      </c>
      <c r="C235" s="92"/>
      <c r="D235" s="92"/>
      <c r="E235" s="92"/>
      <c r="F235" s="92"/>
      <c r="G235" s="105">
        <f>G233/G234</f>
        <v>421.875</v>
      </c>
      <c r="H235" s="105"/>
      <c r="I235" s="105"/>
      <c r="J235" s="51"/>
    </row>
    <row r="236" spans="1:10" ht="20.100000000000001" customHeight="1" x14ac:dyDescent="0.25">
      <c r="A236" s="46"/>
      <c r="B236" s="92" t="s">
        <v>285</v>
      </c>
      <c r="C236" s="92"/>
      <c r="D236" s="92"/>
      <c r="E236" s="92"/>
      <c r="F236" s="92"/>
      <c r="G236" s="98" cm="1">
        <f t="array" ref="G236">_xlfn.IFS(B233=$K$7,$M$7,B233=$K$8,$M$8)</f>
        <v>0.9</v>
      </c>
      <c r="H236" s="98"/>
      <c r="I236" s="98"/>
      <c r="J236" s="52"/>
    </row>
    <row r="237" spans="1:10" ht="20.100000000000001" customHeight="1" thickBot="1" x14ac:dyDescent="0.3">
      <c r="A237" s="53"/>
      <c r="B237" s="99" t="s">
        <v>286</v>
      </c>
      <c r="C237" s="99"/>
      <c r="D237" s="99"/>
      <c r="E237" s="99"/>
      <c r="F237" s="99"/>
      <c r="G237" s="100">
        <f>G235*G236</f>
        <v>379.6875</v>
      </c>
      <c r="H237" s="100"/>
      <c r="I237" s="100"/>
      <c r="J237" s="52"/>
    </row>
    <row r="239" spans="1:10" ht="20.100000000000001" customHeight="1" x14ac:dyDescent="0.25">
      <c r="A239" s="44">
        <v>24</v>
      </c>
      <c r="B239" s="92" t="s">
        <v>279</v>
      </c>
      <c r="C239" s="92"/>
      <c r="D239" s="92" t="s">
        <v>290</v>
      </c>
      <c r="E239" s="92"/>
      <c r="F239" s="92"/>
      <c r="G239" s="92"/>
      <c r="H239" s="92"/>
      <c r="I239" s="92"/>
      <c r="J239" s="54"/>
    </row>
    <row r="240" spans="1:10" ht="20.100000000000001" customHeight="1" x14ac:dyDescent="0.25">
      <c r="A240" s="46"/>
      <c r="B240" s="92" t="s">
        <v>281</v>
      </c>
      <c r="C240" s="92"/>
      <c r="D240" s="92"/>
      <c r="E240" s="92"/>
      <c r="F240" s="92"/>
      <c r="G240" s="92"/>
      <c r="H240" s="92"/>
      <c r="I240" s="92"/>
      <c r="J240" s="54"/>
    </row>
    <row r="241" spans="1:10" ht="20.100000000000001" customHeight="1" x14ac:dyDescent="0.25">
      <c r="A241" s="46"/>
      <c r="B241" s="107" t="s">
        <v>308</v>
      </c>
      <c r="C241" s="107"/>
      <c r="D241" s="107"/>
      <c r="E241" s="107"/>
      <c r="F241" s="107"/>
      <c r="G241" s="107"/>
      <c r="H241" s="107"/>
      <c r="I241" s="107"/>
      <c r="J241" s="45"/>
    </row>
    <row r="242" spans="1:10" ht="20.100000000000001" customHeight="1" x14ac:dyDescent="0.25">
      <c r="A242" s="46"/>
      <c r="B242" s="108"/>
      <c r="C242" s="108"/>
      <c r="D242" s="108"/>
      <c r="E242" s="108"/>
      <c r="F242" s="108"/>
      <c r="G242" s="108"/>
      <c r="H242" s="108"/>
      <c r="I242" s="108"/>
      <c r="J242" s="45"/>
    </row>
    <row r="243" spans="1:10" ht="20.100000000000001" customHeight="1" x14ac:dyDescent="0.25">
      <c r="A243" s="47"/>
      <c r="B243" s="92" t="s">
        <v>278</v>
      </c>
      <c r="C243" s="92"/>
      <c r="D243" s="92"/>
      <c r="E243" s="48"/>
      <c r="F243" s="48"/>
      <c r="G243" s="105">
        <v>200000</v>
      </c>
      <c r="H243" s="105"/>
      <c r="I243" s="105"/>
      <c r="J243" s="49"/>
    </row>
    <row r="244" spans="1:10" ht="20.100000000000001" customHeight="1" x14ac:dyDescent="0.25">
      <c r="A244" s="46"/>
      <c r="B244" s="92" t="s">
        <v>283</v>
      </c>
      <c r="C244" s="92"/>
      <c r="D244" s="92"/>
      <c r="E244" s="92"/>
      <c r="F244" s="92"/>
      <c r="G244" s="106">
        <v>360</v>
      </c>
      <c r="H244" s="106"/>
      <c r="I244" s="106"/>
      <c r="J244" s="50"/>
    </row>
    <row r="245" spans="1:10" ht="20.100000000000001" customHeight="1" x14ac:dyDescent="0.25">
      <c r="A245" s="46"/>
      <c r="B245" s="92" t="s">
        <v>284</v>
      </c>
      <c r="C245" s="92"/>
      <c r="D245" s="92"/>
      <c r="E245" s="92"/>
      <c r="F245" s="92"/>
      <c r="G245" s="105">
        <f>G243/G244</f>
        <v>555.55555555555554</v>
      </c>
      <c r="H245" s="105"/>
      <c r="I245" s="105"/>
      <c r="J245" s="51"/>
    </row>
    <row r="246" spans="1:10" ht="20.100000000000001" customHeight="1" x14ac:dyDescent="0.25">
      <c r="A246" s="46"/>
      <c r="B246" s="92" t="s">
        <v>285</v>
      </c>
      <c r="C246" s="92"/>
      <c r="D246" s="92"/>
      <c r="E246" s="92"/>
      <c r="F246" s="92"/>
      <c r="G246" s="98" cm="1">
        <f t="array" ref="G246">_xlfn.IFS(B243=$K$7,$M$7,B243=$K$8,$M$8)</f>
        <v>0.9</v>
      </c>
      <c r="H246" s="98"/>
      <c r="I246" s="98"/>
      <c r="J246" s="52"/>
    </row>
    <row r="247" spans="1:10" ht="20.100000000000001" customHeight="1" thickBot="1" x14ac:dyDescent="0.3">
      <c r="A247" s="53"/>
      <c r="B247" s="99" t="s">
        <v>286</v>
      </c>
      <c r="C247" s="99"/>
      <c r="D247" s="99"/>
      <c r="E247" s="99"/>
      <c r="F247" s="99"/>
      <c r="G247" s="100">
        <f>G245*G246</f>
        <v>500</v>
      </c>
      <c r="H247" s="100"/>
      <c r="I247" s="100"/>
      <c r="J247" s="52"/>
    </row>
    <row r="249" spans="1:10" ht="20.100000000000001" customHeight="1" x14ac:dyDescent="0.25">
      <c r="A249" s="44">
        <v>25</v>
      </c>
      <c r="B249" s="92" t="s">
        <v>279</v>
      </c>
      <c r="C249" s="92"/>
      <c r="D249" s="92" t="s">
        <v>280</v>
      </c>
      <c r="E249" s="92"/>
      <c r="F249" s="92"/>
      <c r="G249" s="92"/>
      <c r="H249" s="92"/>
      <c r="I249" s="92"/>
      <c r="J249" s="54"/>
    </row>
    <row r="250" spans="1:10" ht="20.100000000000001" customHeight="1" x14ac:dyDescent="0.25">
      <c r="A250" s="46"/>
      <c r="B250" s="92" t="s">
        <v>281</v>
      </c>
      <c r="C250" s="92"/>
      <c r="D250" s="92"/>
      <c r="E250" s="92"/>
      <c r="F250" s="92"/>
      <c r="G250" s="92"/>
      <c r="H250" s="92"/>
      <c r="I250" s="92"/>
      <c r="J250" s="54"/>
    </row>
    <row r="251" spans="1:10" ht="20.100000000000001" customHeight="1" x14ac:dyDescent="0.25">
      <c r="A251" s="46"/>
      <c r="B251" s="107" t="s">
        <v>291</v>
      </c>
      <c r="C251" s="107"/>
      <c r="D251" s="107"/>
      <c r="E251" s="107"/>
      <c r="F251" s="107"/>
      <c r="G251" s="107"/>
      <c r="H251" s="107"/>
      <c r="I251" s="107"/>
      <c r="J251" s="45"/>
    </row>
    <row r="252" spans="1:10" ht="20.100000000000001" customHeight="1" x14ac:dyDescent="0.25">
      <c r="A252" s="46"/>
      <c r="B252" s="108"/>
      <c r="C252" s="108"/>
      <c r="D252" s="108"/>
      <c r="E252" s="108"/>
      <c r="F252" s="108"/>
      <c r="G252" s="108"/>
      <c r="H252" s="108"/>
      <c r="I252" s="108"/>
      <c r="J252" s="45"/>
    </row>
    <row r="253" spans="1:10" ht="20.100000000000001" customHeight="1" x14ac:dyDescent="0.25">
      <c r="A253" s="47"/>
      <c r="B253" s="92" t="s">
        <v>278</v>
      </c>
      <c r="C253" s="92"/>
      <c r="D253" s="92"/>
      <c r="E253" s="48"/>
      <c r="F253" s="48"/>
      <c r="G253" s="105">
        <v>200000</v>
      </c>
      <c r="H253" s="105"/>
      <c r="I253" s="105"/>
      <c r="J253" s="49"/>
    </row>
    <row r="254" spans="1:10" ht="20.100000000000001" customHeight="1" x14ac:dyDescent="0.25">
      <c r="A254" s="46"/>
      <c r="B254" s="92" t="s">
        <v>283</v>
      </c>
      <c r="C254" s="92"/>
      <c r="D254" s="92"/>
      <c r="E254" s="92"/>
      <c r="F254" s="92"/>
      <c r="G254" s="106">
        <v>360</v>
      </c>
      <c r="H254" s="106"/>
      <c r="I254" s="106"/>
      <c r="J254" s="50"/>
    </row>
    <row r="255" spans="1:10" ht="20.100000000000001" customHeight="1" x14ac:dyDescent="0.25">
      <c r="A255" s="46"/>
      <c r="B255" s="92" t="s">
        <v>284</v>
      </c>
      <c r="C255" s="92"/>
      <c r="D255" s="92"/>
      <c r="E255" s="92"/>
      <c r="F255" s="92"/>
      <c r="G255" s="105">
        <f>G253/G254</f>
        <v>555.55555555555554</v>
      </c>
      <c r="H255" s="105"/>
      <c r="I255" s="105"/>
      <c r="J255" s="51"/>
    </row>
    <row r="256" spans="1:10" ht="20.100000000000001" customHeight="1" x14ac:dyDescent="0.25">
      <c r="A256" s="46"/>
      <c r="B256" s="92" t="s">
        <v>285</v>
      </c>
      <c r="C256" s="92"/>
      <c r="D256" s="92"/>
      <c r="E256" s="92"/>
      <c r="F256" s="92"/>
      <c r="G256" s="98" cm="1">
        <f t="array" ref="G256">_xlfn.IFS(B253=$K$7,$M$7,B253=$K$8,$M$8)</f>
        <v>0.9</v>
      </c>
      <c r="H256" s="98"/>
      <c r="I256" s="98"/>
      <c r="J256" s="52"/>
    </row>
    <row r="257" spans="1:10" ht="20.100000000000001" customHeight="1" thickBot="1" x14ac:dyDescent="0.3">
      <c r="A257" s="53"/>
      <c r="B257" s="99" t="s">
        <v>286</v>
      </c>
      <c r="C257" s="99"/>
      <c r="D257" s="99"/>
      <c r="E257" s="99"/>
      <c r="F257" s="99"/>
      <c r="G257" s="100">
        <f>G255*G256</f>
        <v>500</v>
      </c>
      <c r="H257" s="100"/>
      <c r="I257" s="100"/>
      <c r="J257" s="52"/>
    </row>
    <row r="259" spans="1:10" ht="20.100000000000001" customHeight="1" x14ac:dyDescent="0.25">
      <c r="A259" s="44">
        <v>26</v>
      </c>
      <c r="B259" s="92" t="s">
        <v>279</v>
      </c>
      <c r="C259" s="92"/>
      <c r="D259" s="92" t="s">
        <v>292</v>
      </c>
      <c r="E259" s="92"/>
      <c r="F259" s="92"/>
      <c r="G259" s="92"/>
      <c r="H259" s="92"/>
      <c r="I259" s="92"/>
      <c r="J259" s="54"/>
    </row>
    <row r="260" spans="1:10" ht="20.100000000000001" customHeight="1" x14ac:dyDescent="0.25">
      <c r="A260" s="46"/>
      <c r="B260" s="92" t="s">
        <v>281</v>
      </c>
      <c r="C260" s="92"/>
      <c r="D260" s="92"/>
      <c r="E260" s="92"/>
      <c r="F260" s="92"/>
      <c r="G260" s="92"/>
      <c r="H260" s="92"/>
      <c r="I260" s="92"/>
      <c r="J260" s="54"/>
    </row>
    <row r="261" spans="1:10" ht="20.100000000000001" customHeight="1" x14ac:dyDescent="0.25">
      <c r="A261" s="46"/>
      <c r="B261" s="107" t="s">
        <v>293</v>
      </c>
      <c r="C261" s="107"/>
      <c r="D261" s="107"/>
      <c r="E261" s="107"/>
      <c r="F261" s="107"/>
      <c r="G261" s="107"/>
      <c r="H261" s="107"/>
      <c r="I261" s="107"/>
      <c r="J261" s="45"/>
    </row>
    <row r="262" spans="1:10" ht="20.100000000000001" customHeight="1" x14ac:dyDescent="0.25">
      <c r="A262" s="46"/>
      <c r="B262" s="108"/>
      <c r="C262" s="108"/>
      <c r="D262" s="108"/>
      <c r="E262" s="108"/>
      <c r="F262" s="108"/>
      <c r="G262" s="108"/>
      <c r="H262" s="108"/>
      <c r="I262" s="108"/>
      <c r="J262" s="45"/>
    </row>
    <row r="263" spans="1:10" ht="20.100000000000001" customHeight="1" x14ac:dyDescent="0.25">
      <c r="A263" s="47"/>
      <c r="B263" s="92" t="s">
        <v>278</v>
      </c>
      <c r="C263" s="92"/>
      <c r="D263" s="92"/>
      <c r="E263" s="48"/>
      <c r="F263" s="48"/>
      <c r="G263" s="105">
        <v>150000</v>
      </c>
      <c r="H263" s="105"/>
      <c r="I263" s="105"/>
      <c r="J263" s="49"/>
    </row>
    <row r="264" spans="1:10" ht="20.100000000000001" customHeight="1" x14ac:dyDescent="0.25">
      <c r="A264" s="46"/>
      <c r="B264" s="92" t="s">
        <v>283</v>
      </c>
      <c r="C264" s="92"/>
      <c r="D264" s="92"/>
      <c r="E264" s="92"/>
      <c r="F264" s="92"/>
      <c r="G264" s="106">
        <v>285</v>
      </c>
      <c r="H264" s="106"/>
      <c r="I264" s="106"/>
      <c r="J264" s="50"/>
    </row>
    <row r="265" spans="1:10" ht="20.100000000000001" customHeight="1" x14ac:dyDescent="0.25">
      <c r="A265" s="46"/>
      <c r="B265" s="92" t="s">
        <v>284</v>
      </c>
      <c r="C265" s="92"/>
      <c r="D265" s="92"/>
      <c r="E265" s="92"/>
      <c r="F265" s="92"/>
      <c r="G265" s="105">
        <f>G263/G264</f>
        <v>526.31578947368416</v>
      </c>
      <c r="H265" s="105"/>
      <c r="I265" s="105"/>
      <c r="J265" s="51"/>
    </row>
    <row r="266" spans="1:10" ht="20.100000000000001" customHeight="1" x14ac:dyDescent="0.25">
      <c r="A266" s="46"/>
      <c r="B266" s="92" t="s">
        <v>285</v>
      </c>
      <c r="C266" s="92"/>
      <c r="D266" s="92"/>
      <c r="E266" s="92"/>
      <c r="F266" s="92"/>
      <c r="G266" s="98" cm="1">
        <f t="array" ref="G266">_xlfn.IFS(B263=$K$7,$M$7,B263=$K$8,$M$8)</f>
        <v>0.9</v>
      </c>
      <c r="H266" s="98"/>
      <c r="I266" s="98"/>
      <c r="J266" s="52"/>
    </row>
    <row r="267" spans="1:10" ht="20.100000000000001" customHeight="1" thickBot="1" x14ac:dyDescent="0.3">
      <c r="A267" s="53"/>
      <c r="B267" s="99" t="s">
        <v>286</v>
      </c>
      <c r="C267" s="99"/>
      <c r="D267" s="99"/>
      <c r="E267" s="99"/>
      <c r="F267" s="99"/>
      <c r="G267" s="100">
        <f>G265*G266</f>
        <v>473.68421052631578</v>
      </c>
      <c r="H267" s="100"/>
      <c r="I267" s="100"/>
      <c r="J267" s="52"/>
    </row>
    <row r="269" spans="1:10" ht="20.100000000000001" customHeight="1" x14ac:dyDescent="0.25">
      <c r="A269" s="44">
        <v>27</v>
      </c>
      <c r="B269" s="92" t="s">
        <v>279</v>
      </c>
      <c r="C269" s="92"/>
      <c r="D269" s="92" t="s">
        <v>294</v>
      </c>
      <c r="E269" s="92"/>
      <c r="F269" s="92"/>
      <c r="G269" s="92"/>
      <c r="H269" s="92"/>
      <c r="I269" s="92"/>
      <c r="J269" s="54"/>
    </row>
    <row r="270" spans="1:10" ht="20.100000000000001" customHeight="1" x14ac:dyDescent="0.25">
      <c r="A270" s="46"/>
      <c r="B270" s="92" t="s">
        <v>281</v>
      </c>
      <c r="C270" s="92"/>
      <c r="D270" s="92"/>
      <c r="E270" s="92"/>
      <c r="F270" s="92"/>
      <c r="G270" s="92"/>
      <c r="H270" s="92"/>
      <c r="I270" s="92"/>
      <c r="J270" s="54"/>
    </row>
    <row r="271" spans="1:10" ht="20.100000000000001" customHeight="1" x14ac:dyDescent="0.25">
      <c r="A271" s="46"/>
      <c r="B271" s="107" t="s">
        <v>309</v>
      </c>
      <c r="C271" s="107"/>
      <c r="D271" s="107"/>
      <c r="E271" s="107"/>
      <c r="F271" s="107"/>
      <c r="G271" s="107"/>
      <c r="H271" s="107"/>
      <c r="I271" s="107"/>
      <c r="J271" s="45"/>
    </row>
    <row r="272" spans="1:10" ht="20.100000000000001" customHeight="1" x14ac:dyDescent="0.25">
      <c r="A272" s="46"/>
      <c r="B272" s="108"/>
      <c r="C272" s="108"/>
      <c r="D272" s="108"/>
      <c r="E272" s="108"/>
      <c r="F272" s="108"/>
      <c r="G272" s="108"/>
      <c r="H272" s="108"/>
      <c r="I272" s="108"/>
      <c r="J272" s="45"/>
    </row>
    <row r="273" spans="1:10" ht="20.100000000000001" customHeight="1" x14ac:dyDescent="0.25">
      <c r="A273" s="47"/>
      <c r="B273" s="92" t="s">
        <v>278</v>
      </c>
      <c r="C273" s="92"/>
      <c r="D273" s="92"/>
      <c r="E273" s="48"/>
      <c r="F273" s="48"/>
      <c r="G273" s="105">
        <v>140000</v>
      </c>
      <c r="H273" s="105"/>
      <c r="I273" s="105"/>
      <c r="J273" s="49"/>
    </row>
    <row r="274" spans="1:10" ht="20.100000000000001" customHeight="1" x14ac:dyDescent="0.25">
      <c r="A274" s="46"/>
      <c r="B274" s="92" t="s">
        <v>283</v>
      </c>
      <c r="C274" s="92"/>
      <c r="D274" s="92"/>
      <c r="E274" s="92"/>
      <c r="F274" s="92"/>
      <c r="G274" s="106">
        <v>360</v>
      </c>
      <c r="H274" s="106"/>
      <c r="I274" s="106"/>
      <c r="J274" s="50"/>
    </row>
    <row r="275" spans="1:10" ht="20.100000000000001" customHeight="1" x14ac:dyDescent="0.25">
      <c r="A275" s="46"/>
      <c r="B275" s="92" t="s">
        <v>284</v>
      </c>
      <c r="C275" s="92"/>
      <c r="D275" s="92"/>
      <c r="E275" s="92"/>
      <c r="F275" s="92"/>
      <c r="G275" s="105">
        <f>G273/G274</f>
        <v>388.88888888888891</v>
      </c>
      <c r="H275" s="105"/>
      <c r="I275" s="105"/>
      <c r="J275" s="51"/>
    </row>
    <row r="276" spans="1:10" ht="20.100000000000001" customHeight="1" x14ac:dyDescent="0.25">
      <c r="A276" s="46"/>
      <c r="B276" s="92" t="s">
        <v>285</v>
      </c>
      <c r="C276" s="92"/>
      <c r="D276" s="92"/>
      <c r="E276" s="92"/>
      <c r="F276" s="92"/>
      <c r="G276" s="98" cm="1">
        <f t="array" ref="G276">_xlfn.IFS(B273=$K$7,$M$7,B273=$K$8,$M$8)</f>
        <v>0.9</v>
      </c>
      <c r="H276" s="98"/>
      <c r="I276" s="98"/>
      <c r="J276" s="52"/>
    </row>
    <row r="277" spans="1:10" ht="20.100000000000001" customHeight="1" thickBot="1" x14ac:dyDescent="0.3">
      <c r="A277" s="53"/>
      <c r="B277" s="99" t="s">
        <v>286</v>
      </c>
      <c r="C277" s="99"/>
      <c r="D277" s="99"/>
      <c r="E277" s="99"/>
      <c r="F277" s="99"/>
      <c r="G277" s="100">
        <f>G275*G276</f>
        <v>350.00000000000006</v>
      </c>
      <c r="H277" s="100"/>
      <c r="I277" s="100"/>
      <c r="J277" s="52"/>
    </row>
    <row r="278" spans="1:10" ht="20.100000000000001" customHeight="1" x14ac:dyDescent="0.25">
      <c r="J278" s="52"/>
    </row>
    <row r="279" spans="1:10" ht="20.100000000000001" customHeight="1" x14ac:dyDescent="0.25">
      <c r="A279" s="44">
        <v>28</v>
      </c>
      <c r="B279" s="92" t="s">
        <v>279</v>
      </c>
      <c r="C279" s="92"/>
      <c r="D279" s="92" t="s">
        <v>287</v>
      </c>
      <c r="E279" s="92"/>
      <c r="F279" s="92"/>
      <c r="G279" s="92"/>
      <c r="H279" s="92"/>
      <c r="I279" s="92"/>
      <c r="J279" s="54"/>
    </row>
    <row r="280" spans="1:10" ht="20.100000000000001" customHeight="1" x14ac:dyDescent="0.25">
      <c r="A280" s="46"/>
      <c r="B280" s="92" t="s">
        <v>281</v>
      </c>
      <c r="C280" s="92"/>
      <c r="D280" s="92"/>
      <c r="E280" s="92"/>
      <c r="F280" s="92"/>
      <c r="G280" s="92"/>
      <c r="H280" s="92"/>
      <c r="I280" s="92"/>
      <c r="J280" s="54"/>
    </row>
    <row r="281" spans="1:10" ht="20.100000000000001" customHeight="1" x14ac:dyDescent="0.25">
      <c r="A281" s="46"/>
      <c r="B281" s="107" t="s">
        <v>309</v>
      </c>
      <c r="C281" s="107"/>
      <c r="D281" s="107"/>
      <c r="E281" s="107"/>
      <c r="F281" s="107"/>
      <c r="G281" s="107"/>
      <c r="H281" s="107"/>
      <c r="I281" s="107"/>
      <c r="J281" s="45"/>
    </row>
    <row r="282" spans="1:10" ht="20.100000000000001" customHeight="1" x14ac:dyDescent="0.25">
      <c r="A282" s="46"/>
      <c r="B282" s="108"/>
      <c r="C282" s="108"/>
      <c r="D282" s="108"/>
      <c r="E282" s="108"/>
      <c r="F282" s="108"/>
      <c r="G282" s="108"/>
      <c r="H282" s="108"/>
      <c r="I282" s="108"/>
      <c r="J282" s="45"/>
    </row>
    <row r="283" spans="1:10" ht="20.100000000000001" customHeight="1" x14ac:dyDescent="0.25">
      <c r="A283" s="47"/>
      <c r="B283" s="92" t="s">
        <v>277</v>
      </c>
      <c r="C283" s="92"/>
      <c r="D283" s="92"/>
      <c r="E283" s="48"/>
      <c r="F283" s="48"/>
      <c r="G283" s="105">
        <v>150000</v>
      </c>
      <c r="H283" s="105"/>
      <c r="I283" s="105"/>
      <c r="J283" s="49"/>
    </row>
    <row r="284" spans="1:10" ht="20.100000000000001" customHeight="1" x14ac:dyDescent="0.25">
      <c r="A284" s="46"/>
      <c r="B284" s="92" t="s">
        <v>283</v>
      </c>
      <c r="C284" s="92"/>
      <c r="D284" s="92"/>
      <c r="E284" s="92"/>
      <c r="F284" s="92"/>
      <c r="G284" s="106">
        <v>360</v>
      </c>
      <c r="H284" s="106"/>
      <c r="I284" s="106"/>
      <c r="J284" s="50"/>
    </row>
    <row r="285" spans="1:10" ht="20.100000000000001" customHeight="1" x14ac:dyDescent="0.25">
      <c r="A285" s="46"/>
      <c r="B285" s="92" t="s">
        <v>284</v>
      </c>
      <c r="C285" s="92"/>
      <c r="D285" s="92"/>
      <c r="E285" s="92"/>
      <c r="F285" s="92"/>
      <c r="G285" s="105">
        <f>G283/G284</f>
        <v>416.66666666666669</v>
      </c>
      <c r="H285" s="105"/>
      <c r="I285" s="105"/>
      <c r="J285" s="51"/>
    </row>
    <row r="286" spans="1:10" ht="20.100000000000001" customHeight="1" x14ac:dyDescent="0.25">
      <c r="A286" s="46"/>
      <c r="B286" s="92" t="s">
        <v>285</v>
      </c>
      <c r="C286" s="92"/>
      <c r="D286" s="92"/>
      <c r="E286" s="92"/>
      <c r="F286" s="92"/>
      <c r="G286" s="98" cm="1">
        <f t="array" ref="G286">_xlfn.IFS(B283=$K$7,$M$7,B283=$K$8,$M$8)</f>
        <v>1</v>
      </c>
      <c r="H286" s="98"/>
      <c r="I286" s="98"/>
      <c r="J286" s="52"/>
    </row>
    <row r="287" spans="1:10" ht="20.100000000000001" customHeight="1" thickBot="1" x14ac:dyDescent="0.3">
      <c r="A287" s="53"/>
      <c r="B287" s="99" t="s">
        <v>286</v>
      </c>
      <c r="C287" s="99"/>
      <c r="D287" s="99"/>
      <c r="E287" s="99"/>
      <c r="F287" s="99"/>
      <c r="G287" s="100">
        <f>G285*G286</f>
        <v>416.66666666666669</v>
      </c>
      <c r="H287" s="100"/>
      <c r="I287" s="100"/>
      <c r="J287" s="52"/>
    </row>
    <row r="288" spans="1:10" ht="20.100000000000001" customHeight="1" x14ac:dyDescent="0.25">
      <c r="J288" s="52"/>
    </row>
    <row r="289" spans="1:10" ht="20.100000000000001" customHeight="1" x14ac:dyDescent="0.25">
      <c r="A289" s="44">
        <v>29</v>
      </c>
      <c r="B289" s="92" t="s">
        <v>279</v>
      </c>
      <c r="C289" s="92"/>
      <c r="D289" s="92" t="s">
        <v>280</v>
      </c>
      <c r="E289" s="92"/>
      <c r="F289" s="92"/>
      <c r="G289" s="92"/>
      <c r="H289" s="92"/>
      <c r="I289" s="92"/>
      <c r="J289" s="54"/>
    </row>
    <row r="290" spans="1:10" ht="20.100000000000001" customHeight="1" x14ac:dyDescent="0.25">
      <c r="A290" s="46"/>
      <c r="B290" s="92" t="s">
        <v>281</v>
      </c>
      <c r="C290" s="92"/>
      <c r="D290" s="92"/>
      <c r="E290" s="92"/>
      <c r="F290" s="92"/>
      <c r="G290" s="92"/>
      <c r="H290" s="92"/>
      <c r="I290" s="92"/>
      <c r="J290" s="54"/>
    </row>
    <row r="291" spans="1:10" ht="20.100000000000001" customHeight="1" x14ac:dyDescent="0.25">
      <c r="A291" s="46"/>
      <c r="B291" s="107" t="s">
        <v>282</v>
      </c>
      <c r="C291" s="107"/>
      <c r="D291" s="107"/>
      <c r="E291" s="107"/>
      <c r="F291" s="107"/>
      <c r="G291" s="107"/>
      <c r="H291" s="107"/>
      <c r="I291" s="107"/>
      <c r="J291" s="45"/>
    </row>
    <row r="292" spans="1:10" ht="20.100000000000001" customHeight="1" x14ac:dyDescent="0.25">
      <c r="A292" s="46"/>
      <c r="B292" s="108"/>
      <c r="C292" s="108"/>
      <c r="D292" s="108"/>
      <c r="E292" s="108"/>
      <c r="F292" s="108"/>
      <c r="G292" s="108"/>
      <c r="H292" s="108"/>
      <c r="I292" s="108"/>
      <c r="J292" s="45"/>
    </row>
    <row r="293" spans="1:10" ht="20.100000000000001" customHeight="1" x14ac:dyDescent="0.25">
      <c r="A293" s="47"/>
      <c r="B293" s="92" t="s">
        <v>278</v>
      </c>
      <c r="C293" s="92"/>
      <c r="D293" s="92"/>
      <c r="E293" s="48"/>
      <c r="F293" s="48"/>
      <c r="G293" s="105">
        <v>250000</v>
      </c>
      <c r="H293" s="105"/>
      <c r="I293" s="105"/>
      <c r="J293" s="49"/>
    </row>
    <row r="294" spans="1:10" ht="20.100000000000001" customHeight="1" x14ac:dyDescent="0.25">
      <c r="A294" s="46"/>
      <c r="B294" s="92" t="s">
        <v>283</v>
      </c>
      <c r="C294" s="92"/>
      <c r="D294" s="92"/>
      <c r="E294" s="92"/>
      <c r="F294" s="92"/>
      <c r="G294" s="106">
        <v>450</v>
      </c>
      <c r="H294" s="106"/>
      <c r="I294" s="106"/>
      <c r="J294" s="50"/>
    </row>
    <row r="295" spans="1:10" ht="20.100000000000001" customHeight="1" x14ac:dyDescent="0.25">
      <c r="A295" s="46"/>
      <c r="B295" s="92" t="s">
        <v>284</v>
      </c>
      <c r="C295" s="92"/>
      <c r="D295" s="92"/>
      <c r="E295" s="92"/>
      <c r="F295" s="92"/>
      <c r="G295" s="105">
        <f>G293/G294</f>
        <v>555.55555555555554</v>
      </c>
      <c r="H295" s="105"/>
      <c r="I295" s="105"/>
      <c r="J295" s="51"/>
    </row>
    <row r="296" spans="1:10" ht="20.100000000000001" customHeight="1" x14ac:dyDescent="0.25">
      <c r="A296" s="46"/>
      <c r="B296" s="92" t="s">
        <v>285</v>
      </c>
      <c r="C296" s="92"/>
      <c r="D296" s="92"/>
      <c r="E296" s="92"/>
      <c r="F296" s="92"/>
      <c r="G296" s="98" cm="1">
        <f t="array" ref="G296">_xlfn.IFS(B293=$K$7,$M$7,B293=$K$8,$M$8)</f>
        <v>0.9</v>
      </c>
      <c r="H296" s="98"/>
      <c r="I296" s="98"/>
      <c r="J296" s="52"/>
    </row>
    <row r="297" spans="1:10" ht="20.100000000000001" customHeight="1" thickBot="1" x14ac:dyDescent="0.3">
      <c r="A297" s="53"/>
      <c r="B297" s="99" t="s">
        <v>286</v>
      </c>
      <c r="C297" s="99"/>
      <c r="D297" s="99"/>
      <c r="E297" s="99"/>
      <c r="F297" s="99"/>
      <c r="G297" s="100">
        <f>G295*G296</f>
        <v>500</v>
      </c>
      <c r="H297" s="100"/>
      <c r="I297" s="100"/>
      <c r="J297" s="52"/>
    </row>
    <row r="299" spans="1:10" ht="20.100000000000001" customHeight="1" x14ac:dyDescent="0.25">
      <c r="A299" s="44">
        <v>30</v>
      </c>
      <c r="B299" s="92" t="s">
        <v>279</v>
      </c>
      <c r="C299" s="92"/>
      <c r="D299" s="92" t="s">
        <v>287</v>
      </c>
      <c r="E299" s="92"/>
      <c r="F299" s="92"/>
      <c r="G299" s="92"/>
      <c r="H299" s="92"/>
      <c r="I299" s="92"/>
      <c r="J299" s="54"/>
    </row>
    <row r="300" spans="1:10" ht="20.100000000000001" customHeight="1" x14ac:dyDescent="0.25">
      <c r="A300" s="46"/>
      <c r="B300" s="92" t="s">
        <v>281</v>
      </c>
      <c r="C300" s="92"/>
      <c r="D300" s="92"/>
      <c r="E300" s="92"/>
      <c r="F300" s="92"/>
      <c r="G300" s="92"/>
      <c r="H300" s="92"/>
      <c r="I300" s="92"/>
      <c r="J300" s="54"/>
    </row>
    <row r="301" spans="1:10" ht="20.100000000000001" customHeight="1" x14ac:dyDescent="0.25">
      <c r="A301" s="46"/>
      <c r="B301" s="107" t="s">
        <v>307</v>
      </c>
      <c r="C301" s="107"/>
      <c r="D301" s="107"/>
      <c r="E301" s="107"/>
      <c r="F301" s="107"/>
      <c r="G301" s="107"/>
      <c r="H301" s="107"/>
      <c r="I301" s="107"/>
      <c r="J301" s="45"/>
    </row>
    <row r="302" spans="1:10" ht="20.100000000000001" customHeight="1" x14ac:dyDescent="0.25">
      <c r="A302" s="46"/>
      <c r="B302" s="108"/>
      <c r="C302" s="108"/>
      <c r="D302" s="108"/>
      <c r="E302" s="108"/>
      <c r="F302" s="108"/>
      <c r="G302" s="108"/>
      <c r="H302" s="108"/>
      <c r="I302" s="108"/>
      <c r="J302" s="45"/>
    </row>
    <row r="303" spans="1:10" ht="20.100000000000001" customHeight="1" x14ac:dyDescent="0.25">
      <c r="A303" s="47"/>
      <c r="B303" s="92" t="s">
        <v>278</v>
      </c>
      <c r="C303" s="92"/>
      <c r="D303" s="92"/>
      <c r="E303" s="48"/>
      <c r="F303" s="48"/>
      <c r="G303" s="105">
        <v>140000</v>
      </c>
      <c r="H303" s="105"/>
      <c r="I303" s="105"/>
      <c r="J303" s="49"/>
    </row>
    <row r="304" spans="1:10" ht="20.100000000000001" customHeight="1" x14ac:dyDescent="0.25">
      <c r="A304" s="46"/>
      <c r="B304" s="92" t="s">
        <v>283</v>
      </c>
      <c r="C304" s="92"/>
      <c r="D304" s="92"/>
      <c r="E304" s="92"/>
      <c r="F304" s="92"/>
      <c r="G304" s="106">
        <v>320</v>
      </c>
      <c r="H304" s="106"/>
      <c r="I304" s="106"/>
      <c r="J304" s="50"/>
    </row>
    <row r="305" spans="1:10" ht="20.100000000000001" customHeight="1" x14ac:dyDescent="0.25">
      <c r="A305" s="46"/>
      <c r="B305" s="92" t="s">
        <v>284</v>
      </c>
      <c r="C305" s="92"/>
      <c r="D305" s="92"/>
      <c r="E305" s="92"/>
      <c r="F305" s="92"/>
      <c r="G305" s="105">
        <f>G303/G304</f>
        <v>437.5</v>
      </c>
      <c r="H305" s="105"/>
      <c r="I305" s="105"/>
      <c r="J305" s="51"/>
    </row>
    <row r="306" spans="1:10" ht="20.100000000000001" customHeight="1" x14ac:dyDescent="0.25">
      <c r="A306" s="46"/>
      <c r="B306" s="92" t="s">
        <v>285</v>
      </c>
      <c r="C306" s="92"/>
      <c r="D306" s="92"/>
      <c r="E306" s="92"/>
      <c r="F306" s="92"/>
      <c r="G306" s="98" cm="1">
        <f t="array" ref="G306">_xlfn.IFS(B303=$K$7,$M$7,B303=$K$8,$M$8)</f>
        <v>0.9</v>
      </c>
      <c r="H306" s="98"/>
      <c r="I306" s="98"/>
      <c r="J306" s="52"/>
    </row>
    <row r="307" spans="1:10" ht="20.100000000000001" customHeight="1" thickBot="1" x14ac:dyDescent="0.3">
      <c r="A307" s="53"/>
      <c r="B307" s="99" t="s">
        <v>286</v>
      </c>
      <c r="C307" s="99"/>
      <c r="D307" s="99"/>
      <c r="E307" s="99"/>
      <c r="F307" s="99"/>
      <c r="G307" s="100">
        <f>G305*G306</f>
        <v>393.75</v>
      </c>
      <c r="H307" s="100"/>
      <c r="I307" s="100"/>
      <c r="J307" s="52"/>
    </row>
    <row r="309" spans="1:10" ht="20.100000000000001" customHeight="1" x14ac:dyDescent="0.25">
      <c r="A309" s="44">
        <v>31</v>
      </c>
      <c r="B309" s="92" t="s">
        <v>279</v>
      </c>
      <c r="C309" s="92"/>
      <c r="D309" s="92" t="s">
        <v>280</v>
      </c>
      <c r="E309" s="92"/>
      <c r="F309" s="92"/>
      <c r="G309" s="92"/>
      <c r="H309" s="92"/>
      <c r="I309" s="92"/>
      <c r="J309" s="54"/>
    </row>
    <row r="310" spans="1:10" ht="20.100000000000001" customHeight="1" x14ac:dyDescent="0.25">
      <c r="A310" s="46"/>
      <c r="B310" s="92" t="s">
        <v>281</v>
      </c>
      <c r="C310" s="92"/>
      <c r="D310" s="92"/>
      <c r="E310" s="92"/>
      <c r="F310" s="92"/>
      <c r="G310" s="92"/>
      <c r="H310" s="92"/>
      <c r="I310" s="92"/>
      <c r="J310" s="54"/>
    </row>
    <row r="311" spans="1:10" ht="20.100000000000001" customHeight="1" x14ac:dyDescent="0.25">
      <c r="A311" s="46"/>
      <c r="B311" s="107" t="s">
        <v>310</v>
      </c>
      <c r="C311" s="107"/>
      <c r="D311" s="107"/>
      <c r="E311" s="107"/>
      <c r="F311" s="107"/>
      <c r="G311" s="107"/>
      <c r="H311" s="107"/>
      <c r="I311" s="107"/>
      <c r="J311" s="45"/>
    </row>
    <row r="312" spans="1:10" ht="20.100000000000001" customHeight="1" x14ac:dyDescent="0.25">
      <c r="A312" s="46"/>
      <c r="B312" s="108"/>
      <c r="C312" s="108"/>
      <c r="D312" s="108"/>
      <c r="E312" s="108"/>
      <c r="F312" s="108"/>
      <c r="G312" s="108"/>
      <c r="H312" s="108"/>
      <c r="I312" s="108"/>
      <c r="J312" s="45"/>
    </row>
    <row r="313" spans="1:10" ht="20.100000000000001" customHeight="1" x14ac:dyDescent="0.25">
      <c r="A313" s="47"/>
      <c r="B313" s="92" t="s">
        <v>278</v>
      </c>
      <c r="C313" s="92"/>
      <c r="D313" s="92"/>
      <c r="E313" s="48"/>
      <c r="F313" s="48"/>
      <c r="G313" s="105">
        <v>180000</v>
      </c>
      <c r="H313" s="105"/>
      <c r="I313" s="105"/>
      <c r="J313" s="49"/>
    </row>
    <row r="314" spans="1:10" ht="20.100000000000001" customHeight="1" x14ac:dyDescent="0.25">
      <c r="A314" s="46"/>
      <c r="B314" s="92" t="s">
        <v>283</v>
      </c>
      <c r="C314" s="92"/>
      <c r="D314" s="92"/>
      <c r="E314" s="92"/>
      <c r="F314" s="92"/>
      <c r="G314" s="106">
        <v>360</v>
      </c>
      <c r="H314" s="106"/>
      <c r="I314" s="106"/>
      <c r="J314" s="50"/>
    </row>
    <row r="315" spans="1:10" ht="20.100000000000001" customHeight="1" x14ac:dyDescent="0.25">
      <c r="A315" s="46"/>
      <c r="B315" s="92" t="s">
        <v>284</v>
      </c>
      <c r="C315" s="92"/>
      <c r="D315" s="92"/>
      <c r="E315" s="92"/>
      <c r="F315" s="92"/>
      <c r="G315" s="105">
        <f>G313/G314</f>
        <v>500</v>
      </c>
      <c r="H315" s="105"/>
      <c r="I315" s="105"/>
      <c r="J315" s="51"/>
    </row>
    <row r="316" spans="1:10" ht="20.100000000000001" customHeight="1" x14ac:dyDescent="0.25">
      <c r="A316" s="46"/>
      <c r="B316" s="92" t="s">
        <v>285</v>
      </c>
      <c r="C316" s="92"/>
      <c r="D316" s="92"/>
      <c r="E316" s="92"/>
      <c r="F316" s="92"/>
      <c r="G316" s="98" cm="1">
        <f t="array" ref="G316">_xlfn.IFS(B313=$K$7,$M$7,B313=$K$8,$M$8)</f>
        <v>0.9</v>
      </c>
      <c r="H316" s="98"/>
      <c r="I316" s="98"/>
      <c r="J316" s="52"/>
    </row>
    <row r="317" spans="1:10" ht="20.100000000000001" customHeight="1" thickBot="1" x14ac:dyDescent="0.3">
      <c r="A317" s="53"/>
      <c r="B317" s="99" t="s">
        <v>286</v>
      </c>
      <c r="C317" s="99"/>
      <c r="D317" s="99"/>
      <c r="E317" s="99"/>
      <c r="F317" s="99"/>
      <c r="G317" s="100">
        <f>G315*G316</f>
        <v>450</v>
      </c>
      <c r="H317" s="100"/>
      <c r="I317" s="100"/>
      <c r="J317" s="52"/>
    </row>
    <row r="319" spans="1:10" ht="20.100000000000001" customHeight="1" x14ac:dyDescent="0.25">
      <c r="A319" s="44">
        <v>32</v>
      </c>
      <c r="B319" s="92" t="s">
        <v>279</v>
      </c>
      <c r="C319" s="92"/>
      <c r="D319" s="92" t="s">
        <v>280</v>
      </c>
      <c r="E319" s="92"/>
      <c r="F319" s="92"/>
      <c r="G319" s="92"/>
      <c r="H319" s="92"/>
      <c r="I319" s="92"/>
      <c r="J319" s="54"/>
    </row>
    <row r="320" spans="1:10" ht="20.100000000000001" customHeight="1" x14ac:dyDescent="0.25">
      <c r="A320" s="46"/>
      <c r="B320" s="92" t="s">
        <v>281</v>
      </c>
      <c r="C320" s="92"/>
      <c r="D320" s="92"/>
      <c r="E320" s="92"/>
      <c r="F320" s="92"/>
      <c r="G320" s="92"/>
      <c r="H320" s="92"/>
      <c r="I320" s="92"/>
      <c r="J320" s="54"/>
    </row>
    <row r="321" spans="1:10" ht="20.100000000000001" customHeight="1" x14ac:dyDescent="0.25">
      <c r="A321" s="46"/>
      <c r="B321" s="107" t="s">
        <v>311</v>
      </c>
      <c r="C321" s="107"/>
      <c r="D321" s="107"/>
      <c r="E321" s="107"/>
      <c r="F321" s="107"/>
      <c r="G321" s="107"/>
      <c r="H321" s="107"/>
      <c r="I321" s="107"/>
      <c r="J321" s="45"/>
    </row>
    <row r="322" spans="1:10" ht="20.100000000000001" customHeight="1" x14ac:dyDescent="0.25">
      <c r="A322" s="46"/>
      <c r="B322" s="108"/>
      <c r="C322" s="108"/>
      <c r="D322" s="108"/>
      <c r="E322" s="108"/>
      <c r="F322" s="108"/>
      <c r="G322" s="108"/>
      <c r="H322" s="108"/>
      <c r="I322" s="108"/>
      <c r="J322" s="45"/>
    </row>
    <row r="323" spans="1:10" ht="20.100000000000001" customHeight="1" x14ac:dyDescent="0.25">
      <c r="A323" s="47"/>
      <c r="B323" s="92" t="s">
        <v>278</v>
      </c>
      <c r="C323" s="92"/>
      <c r="D323" s="92"/>
      <c r="E323" s="48"/>
      <c r="F323" s="48"/>
      <c r="G323" s="105">
        <v>140000</v>
      </c>
      <c r="H323" s="105"/>
      <c r="I323" s="105"/>
      <c r="J323" s="49"/>
    </row>
    <row r="324" spans="1:10" ht="20.100000000000001" customHeight="1" x14ac:dyDescent="0.25">
      <c r="A324" s="46"/>
      <c r="B324" s="92" t="s">
        <v>283</v>
      </c>
      <c r="C324" s="92"/>
      <c r="D324" s="92"/>
      <c r="E324" s="92"/>
      <c r="F324" s="92"/>
      <c r="G324" s="106">
        <v>320</v>
      </c>
      <c r="H324" s="106"/>
      <c r="I324" s="106"/>
      <c r="J324" s="50"/>
    </row>
    <row r="325" spans="1:10" ht="20.100000000000001" customHeight="1" x14ac:dyDescent="0.25">
      <c r="A325" s="46"/>
      <c r="B325" s="92" t="s">
        <v>284</v>
      </c>
      <c r="C325" s="92"/>
      <c r="D325" s="92"/>
      <c r="E325" s="92"/>
      <c r="F325" s="92"/>
      <c r="G325" s="105">
        <f>G323/G324</f>
        <v>437.5</v>
      </c>
      <c r="H325" s="105"/>
      <c r="I325" s="105"/>
      <c r="J325" s="51"/>
    </row>
    <row r="326" spans="1:10" ht="20.100000000000001" customHeight="1" x14ac:dyDescent="0.25">
      <c r="A326" s="46"/>
      <c r="B326" s="92" t="s">
        <v>285</v>
      </c>
      <c r="C326" s="92"/>
      <c r="D326" s="92"/>
      <c r="E326" s="92"/>
      <c r="F326" s="92"/>
      <c r="G326" s="98" cm="1">
        <f t="array" ref="G326">_xlfn.IFS(B323=$K$7,$M$7,B323=$K$8,$M$8)</f>
        <v>0.9</v>
      </c>
      <c r="H326" s="98"/>
      <c r="I326" s="98"/>
      <c r="J326" s="52"/>
    </row>
    <row r="327" spans="1:10" ht="20.100000000000001" customHeight="1" thickBot="1" x14ac:dyDescent="0.3">
      <c r="A327" s="53"/>
      <c r="B327" s="99" t="s">
        <v>286</v>
      </c>
      <c r="C327" s="99"/>
      <c r="D327" s="99"/>
      <c r="E327" s="99"/>
      <c r="F327" s="99"/>
      <c r="G327" s="100">
        <f>G325*G326</f>
        <v>393.75</v>
      </c>
      <c r="H327" s="100"/>
      <c r="I327" s="100"/>
      <c r="J327" s="52"/>
    </row>
    <row r="329" spans="1:10" ht="20.100000000000001" customHeight="1" x14ac:dyDescent="0.25">
      <c r="A329" s="44">
        <v>33</v>
      </c>
      <c r="B329" s="92" t="s">
        <v>279</v>
      </c>
      <c r="C329" s="92"/>
      <c r="D329" s="92" t="s">
        <v>292</v>
      </c>
      <c r="E329" s="92"/>
      <c r="F329" s="92"/>
      <c r="G329" s="92"/>
      <c r="H329" s="92"/>
      <c r="I329" s="92"/>
      <c r="J329" s="54"/>
    </row>
    <row r="330" spans="1:10" ht="20.100000000000001" customHeight="1" x14ac:dyDescent="0.25">
      <c r="A330" s="46"/>
      <c r="B330" s="92" t="s">
        <v>281</v>
      </c>
      <c r="C330" s="92"/>
      <c r="D330" s="92"/>
      <c r="E330" s="92"/>
      <c r="F330" s="92"/>
      <c r="G330" s="92"/>
      <c r="H330" s="92"/>
      <c r="I330" s="92"/>
      <c r="J330" s="54"/>
    </row>
    <row r="331" spans="1:10" ht="20.100000000000001" customHeight="1" x14ac:dyDescent="0.25">
      <c r="A331" s="46"/>
      <c r="B331" s="107" t="s">
        <v>312</v>
      </c>
      <c r="C331" s="107"/>
      <c r="D331" s="107"/>
      <c r="E331" s="107"/>
      <c r="F331" s="107"/>
      <c r="G331" s="107"/>
      <c r="H331" s="107"/>
      <c r="I331" s="107"/>
      <c r="J331" s="45"/>
    </row>
    <row r="332" spans="1:10" ht="20.100000000000001" customHeight="1" x14ac:dyDescent="0.25">
      <c r="A332" s="46"/>
      <c r="B332" s="108"/>
      <c r="C332" s="108"/>
      <c r="D332" s="108"/>
      <c r="E332" s="108"/>
      <c r="F332" s="108"/>
      <c r="G332" s="108"/>
      <c r="H332" s="108"/>
      <c r="I332" s="108"/>
      <c r="J332" s="45"/>
    </row>
    <row r="333" spans="1:10" ht="20.100000000000001" customHeight="1" x14ac:dyDescent="0.25">
      <c r="A333" s="47"/>
      <c r="B333" s="92" t="s">
        <v>278</v>
      </c>
      <c r="C333" s="92"/>
      <c r="D333" s="92"/>
      <c r="E333" s="48"/>
      <c r="F333" s="48"/>
      <c r="G333" s="105">
        <v>135000</v>
      </c>
      <c r="H333" s="105"/>
      <c r="I333" s="105"/>
      <c r="J333" s="49"/>
    </row>
    <row r="334" spans="1:10" ht="20.100000000000001" customHeight="1" x14ac:dyDescent="0.25">
      <c r="A334" s="46"/>
      <c r="B334" s="92" t="s">
        <v>283</v>
      </c>
      <c r="C334" s="92"/>
      <c r="D334" s="92"/>
      <c r="E334" s="92"/>
      <c r="F334" s="92"/>
      <c r="G334" s="106">
        <v>290</v>
      </c>
      <c r="H334" s="106"/>
      <c r="I334" s="106"/>
      <c r="J334" s="50"/>
    </row>
    <row r="335" spans="1:10" ht="20.100000000000001" customHeight="1" x14ac:dyDescent="0.25">
      <c r="A335" s="46"/>
      <c r="B335" s="92" t="s">
        <v>284</v>
      </c>
      <c r="C335" s="92"/>
      <c r="D335" s="92"/>
      <c r="E335" s="92"/>
      <c r="F335" s="92"/>
      <c r="G335" s="105">
        <f>G333/G334</f>
        <v>465.51724137931035</v>
      </c>
      <c r="H335" s="105"/>
      <c r="I335" s="105"/>
      <c r="J335" s="51"/>
    </row>
    <row r="336" spans="1:10" ht="20.100000000000001" customHeight="1" x14ac:dyDescent="0.25">
      <c r="A336" s="46"/>
      <c r="B336" s="92" t="s">
        <v>285</v>
      </c>
      <c r="C336" s="92"/>
      <c r="D336" s="92"/>
      <c r="E336" s="92"/>
      <c r="F336" s="92"/>
      <c r="G336" s="98" cm="1">
        <f t="array" ref="G336">_xlfn.IFS(B333=$K$7,$M$7,B333=$K$8,$M$8)</f>
        <v>0.9</v>
      </c>
      <c r="H336" s="98"/>
      <c r="I336" s="98"/>
      <c r="J336" s="52"/>
    </row>
    <row r="337" spans="1:10" ht="20.100000000000001" customHeight="1" thickBot="1" x14ac:dyDescent="0.3">
      <c r="A337" s="53"/>
      <c r="B337" s="99" t="s">
        <v>286</v>
      </c>
      <c r="C337" s="99"/>
      <c r="D337" s="99"/>
      <c r="E337" s="99"/>
      <c r="F337" s="99"/>
      <c r="G337" s="100">
        <f>G335*G336</f>
        <v>418.9655172413793</v>
      </c>
      <c r="H337" s="100"/>
      <c r="I337" s="100"/>
      <c r="J337" s="52"/>
    </row>
    <row r="339" spans="1:10" ht="20.100000000000001" customHeight="1" x14ac:dyDescent="0.25">
      <c r="A339" s="44">
        <v>34</v>
      </c>
      <c r="B339" s="92" t="s">
        <v>279</v>
      </c>
      <c r="C339" s="92"/>
      <c r="D339" s="92" t="s">
        <v>294</v>
      </c>
      <c r="E339" s="92"/>
      <c r="F339" s="92"/>
      <c r="G339" s="92"/>
      <c r="H339" s="92"/>
      <c r="I339" s="92"/>
      <c r="J339" s="54"/>
    </row>
    <row r="340" spans="1:10" ht="20.100000000000001" customHeight="1" x14ac:dyDescent="0.25">
      <c r="A340" s="46"/>
      <c r="B340" s="92" t="s">
        <v>281</v>
      </c>
      <c r="C340" s="92"/>
      <c r="D340" s="92"/>
      <c r="E340" s="92"/>
      <c r="F340" s="92"/>
      <c r="G340" s="92"/>
      <c r="H340" s="92"/>
      <c r="I340" s="92"/>
      <c r="J340" s="54"/>
    </row>
    <row r="341" spans="1:10" ht="20.100000000000001" customHeight="1" x14ac:dyDescent="0.25">
      <c r="A341" s="46"/>
      <c r="B341" s="107" t="s">
        <v>313</v>
      </c>
      <c r="C341" s="107"/>
      <c r="D341" s="107"/>
      <c r="E341" s="107"/>
      <c r="F341" s="107"/>
      <c r="G341" s="107"/>
      <c r="H341" s="107"/>
      <c r="I341" s="107"/>
      <c r="J341" s="45"/>
    </row>
    <row r="342" spans="1:10" ht="20.100000000000001" customHeight="1" x14ac:dyDescent="0.25">
      <c r="A342" s="46"/>
      <c r="B342" s="108"/>
      <c r="C342" s="108"/>
      <c r="D342" s="108"/>
      <c r="E342" s="108"/>
      <c r="F342" s="108"/>
      <c r="G342" s="108"/>
      <c r="H342" s="108"/>
      <c r="I342" s="108"/>
      <c r="J342" s="45"/>
    </row>
    <row r="343" spans="1:10" ht="20.100000000000001" customHeight="1" x14ac:dyDescent="0.25">
      <c r="A343" s="47"/>
      <c r="B343" s="92" t="s">
        <v>278</v>
      </c>
      <c r="C343" s="92"/>
      <c r="D343" s="92"/>
      <c r="E343" s="48"/>
      <c r="F343" s="48"/>
      <c r="G343" s="105">
        <v>130000</v>
      </c>
      <c r="H343" s="105"/>
      <c r="I343" s="105"/>
      <c r="J343" s="49"/>
    </row>
    <row r="344" spans="1:10" ht="20.100000000000001" customHeight="1" x14ac:dyDescent="0.25">
      <c r="A344" s="46"/>
      <c r="B344" s="92" t="s">
        <v>283</v>
      </c>
      <c r="C344" s="92"/>
      <c r="D344" s="92"/>
      <c r="E344" s="92"/>
      <c r="F344" s="92"/>
      <c r="G344" s="106">
        <v>360</v>
      </c>
      <c r="H344" s="106"/>
      <c r="I344" s="106"/>
      <c r="J344" s="50"/>
    </row>
    <row r="345" spans="1:10" ht="20.100000000000001" customHeight="1" x14ac:dyDescent="0.25">
      <c r="A345" s="46"/>
      <c r="B345" s="92" t="s">
        <v>284</v>
      </c>
      <c r="C345" s="92"/>
      <c r="D345" s="92"/>
      <c r="E345" s="92"/>
      <c r="F345" s="92"/>
      <c r="G345" s="105">
        <f>G343/G344</f>
        <v>361.11111111111109</v>
      </c>
      <c r="H345" s="105"/>
      <c r="I345" s="105"/>
      <c r="J345" s="51"/>
    </row>
    <row r="346" spans="1:10" ht="20.100000000000001" customHeight="1" x14ac:dyDescent="0.25">
      <c r="A346" s="46"/>
      <c r="B346" s="92" t="s">
        <v>285</v>
      </c>
      <c r="C346" s="92"/>
      <c r="D346" s="92"/>
      <c r="E346" s="92"/>
      <c r="F346" s="92"/>
      <c r="G346" s="98" cm="1">
        <f t="array" ref="G346">_xlfn.IFS(B343=$K$7,$M$7,B343=$K$8,$M$8)</f>
        <v>0.9</v>
      </c>
      <c r="H346" s="98"/>
      <c r="I346" s="98"/>
      <c r="J346" s="52"/>
    </row>
    <row r="347" spans="1:10" ht="20.100000000000001" customHeight="1" thickBot="1" x14ac:dyDescent="0.3">
      <c r="A347" s="53"/>
      <c r="B347" s="99" t="s">
        <v>286</v>
      </c>
      <c r="C347" s="99"/>
      <c r="D347" s="99"/>
      <c r="E347" s="99"/>
      <c r="F347" s="99"/>
      <c r="G347" s="100">
        <f>G345*G346</f>
        <v>325</v>
      </c>
      <c r="H347" s="100"/>
      <c r="I347" s="100"/>
      <c r="J347" s="52"/>
    </row>
    <row r="348" spans="1:10" ht="20.100000000000001" customHeight="1" x14ac:dyDescent="0.25">
      <c r="J348" s="52"/>
    </row>
    <row r="349" spans="1:10" ht="20.100000000000001" customHeight="1" x14ac:dyDescent="0.25">
      <c r="A349" s="44">
        <v>35</v>
      </c>
      <c r="B349" s="92" t="s">
        <v>279</v>
      </c>
      <c r="C349" s="92"/>
      <c r="D349" s="92" t="s">
        <v>294</v>
      </c>
      <c r="E349" s="92"/>
      <c r="F349" s="92"/>
      <c r="G349" s="92"/>
      <c r="H349" s="92"/>
      <c r="I349" s="92"/>
      <c r="J349" s="54"/>
    </row>
    <row r="350" spans="1:10" ht="20.100000000000001" customHeight="1" x14ac:dyDescent="0.25">
      <c r="A350" s="46"/>
      <c r="B350" s="92" t="s">
        <v>281</v>
      </c>
      <c r="C350" s="92"/>
      <c r="D350" s="92"/>
      <c r="E350" s="92"/>
      <c r="F350" s="92"/>
      <c r="G350" s="92"/>
      <c r="H350" s="92"/>
      <c r="I350" s="92"/>
      <c r="J350" s="54"/>
    </row>
    <row r="351" spans="1:10" ht="20.100000000000001" customHeight="1" x14ac:dyDescent="0.25">
      <c r="A351" s="46"/>
      <c r="B351" s="107" t="s">
        <v>314</v>
      </c>
      <c r="C351" s="107"/>
      <c r="D351" s="107"/>
      <c r="E351" s="107"/>
      <c r="F351" s="107"/>
      <c r="G351" s="107"/>
      <c r="H351" s="107"/>
      <c r="I351" s="107"/>
      <c r="J351" s="45"/>
    </row>
    <row r="352" spans="1:10" ht="20.100000000000001" customHeight="1" x14ac:dyDescent="0.25">
      <c r="A352" s="46"/>
      <c r="B352" s="108"/>
      <c r="C352" s="108"/>
      <c r="D352" s="108"/>
      <c r="E352" s="108"/>
      <c r="F352" s="108"/>
      <c r="G352" s="108"/>
      <c r="H352" s="108"/>
      <c r="I352" s="108"/>
      <c r="J352" s="45"/>
    </row>
    <row r="353" spans="1:10" ht="20.100000000000001" customHeight="1" x14ac:dyDescent="0.25">
      <c r="A353" s="47"/>
      <c r="B353" s="92" t="s">
        <v>278</v>
      </c>
      <c r="C353" s="92"/>
      <c r="D353" s="92"/>
      <c r="E353" s="48"/>
      <c r="F353" s="48"/>
      <c r="G353" s="105">
        <v>150000</v>
      </c>
      <c r="H353" s="105"/>
      <c r="I353" s="105"/>
      <c r="J353" s="49"/>
    </row>
    <row r="354" spans="1:10" ht="20.100000000000001" customHeight="1" x14ac:dyDescent="0.25">
      <c r="A354" s="46"/>
      <c r="B354" s="92" t="s">
        <v>283</v>
      </c>
      <c r="C354" s="92"/>
      <c r="D354" s="92"/>
      <c r="E354" s="92"/>
      <c r="F354" s="92"/>
      <c r="G354" s="106">
        <v>320</v>
      </c>
      <c r="H354" s="106"/>
      <c r="I354" s="106"/>
      <c r="J354" s="50"/>
    </row>
    <row r="355" spans="1:10" ht="20.100000000000001" customHeight="1" x14ac:dyDescent="0.25">
      <c r="A355" s="46"/>
      <c r="B355" s="92" t="s">
        <v>284</v>
      </c>
      <c r="C355" s="92"/>
      <c r="D355" s="92"/>
      <c r="E355" s="92"/>
      <c r="F355" s="92"/>
      <c r="G355" s="105">
        <f>G353/G354</f>
        <v>468.75</v>
      </c>
      <c r="H355" s="105"/>
      <c r="I355" s="105"/>
      <c r="J355" s="51"/>
    </row>
    <row r="356" spans="1:10" ht="20.100000000000001" customHeight="1" x14ac:dyDescent="0.25">
      <c r="A356" s="46"/>
      <c r="B356" s="92" t="s">
        <v>285</v>
      </c>
      <c r="C356" s="92"/>
      <c r="D356" s="92"/>
      <c r="E356" s="92"/>
      <c r="F356" s="92"/>
      <c r="G356" s="98" cm="1">
        <f t="array" ref="G356">_xlfn.IFS(B353=$K$7,$M$7,B353=$K$8,$M$8)</f>
        <v>0.9</v>
      </c>
      <c r="H356" s="98"/>
      <c r="I356" s="98"/>
      <c r="J356" s="52"/>
    </row>
    <row r="357" spans="1:10" ht="20.100000000000001" customHeight="1" thickBot="1" x14ac:dyDescent="0.3">
      <c r="A357" s="53"/>
      <c r="B357" s="99" t="s">
        <v>286</v>
      </c>
      <c r="C357" s="99"/>
      <c r="D357" s="99"/>
      <c r="E357" s="99"/>
      <c r="F357" s="99"/>
      <c r="G357" s="100">
        <f>G355*G356</f>
        <v>421.875</v>
      </c>
      <c r="H357" s="100"/>
      <c r="I357" s="100"/>
      <c r="J357" s="52"/>
    </row>
    <row r="358" spans="1:10" ht="20.100000000000001" customHeight="1" x14ac:dyDescent="0.25">
      <c r="J358" s="52"/>
    </row>
    <row r="359" spans="1:10" ht="20.100000000000001" customHeight="1" x14ac:dyDescent="0.25">
      <c r="A359" s="44">
        <v>36</v>
      </c>
      <c r="B359" s="92" t="s">
        <v>279</v>
      </c>
      <c r="C359" s="92"/>
      <c r="D359" s="92" t="s">
        <v>280</v>
      </c>
      <c r="E359" s="92"/>
      <c r="F359" s="92"/>
      <c r="G359" s="92"/>
      <c r="H359" s="92"/>
      <c r="I359" s="92"/>
      <c r="J359" s="54"/>
    </row>
    <row r="360" spans="1:10" ht="20.100000000000001" customHeight="1" x14ac:dyDescent="0.25">
      <c r="A360" s="46"/>
      <c r="B360" s="92" t="s">
        <v>281</v>
      </c>
      <c r="C360" s="92"/>
      <c r="D360" s="92"/>
      <c r="E360" s="92"/>
      <c r="F360" s="92"/>
      <c r="G360" s="92"/>
      <c r="H360" s="92"/>
      <c r="I360" s="92"/>
      <c r="J360" s="54"/>
    </row>
    <row r="361" spans="1:10" ht="20.100000000000001" customHeight="1" x14ac:dyDescent="0.25">
      <c r="A361" s="46"/>
      <c r="B361" s="107" t="s">
        <v>315</v>
      </c>
      <c r="C361" s="107"/>
      <c r="D361" s="107"/>
      <c r="E361" s="107"/>
      <c r="F361" s="107"/>
      <c r="G361" s="107"/>
      <c r="H361" s="107"/>
      <c r="I361" s="107"/>
      <c r="J361" s="45"/>
    </row>
    <row r="362" spans="1:10" ht="20.100000000000001" customHeight="1" x14ac:dyDescent="0.25">
      <c r="A362" s="46"/>
      <c r="B362" s="108"/>
      <c r="C362" s="108"/>
      <c r="D362" s="108"/>
      <c r="E362" s="108"/>
      <c r="F362" s="108"/>
      <c r="G362" s="108"/>
      <c r="H362" s="108"/>
      <c r="I362" s="108"/>
      <c r="J362" s="45"/>
    </row>
    <row r="363" spans="1:10" ht="20.100000000000001" customHeight="1" x14ac:dyDescent="0.25">
      <c r="A363" s="47"/>
      <c r="B363" s="92" t="s">
        <v>278</v>
      </c>
      <c r="C363" s="92"/>
      <c r="D363" s="92"/>
      <c r="E363" s="48"/>
      <c r="F363" s="48"/>
      <c r="G363" s="105">
        <v>180000</v>
      </c>
      <c r="H363" s="105"/>
      <c r="I363" s="105"/>
      <c r="J363" s="49"/>
    </row>
    <row r="364" spans="1:10" ht="20.100000000000001" customHeight="1" x14ac:dyDescent="0.25">
      <c r="A364" s="46"/>
      <c r="B364" s="92" t="s">
        <v>283</v>
      </c>
      <c r="C364" s="92"/>
      <c r="D364" s="92"/>
      <c r="E364" s="92"/>
      <c r="F364" s="92"/>
      <c r="G364" s="106">
        <v>420</v>
      </c>
      <c r="H364" s="106"/>
      <c r="I364" s="106"/>
      <c r="J364" s="50"/>
    </row>
    <row r="365" spans="1:10" ht="20.100000000000001" customHeight="1" x14ac:dyDescent="0.25">
      <c r="A365" s="46"/>
      <c r="B365" s="92" t="s">
        <v>284</v>
      </c>
      <c r="C365" s="92"/>
      <c r="D365" s="92"/>
      <c r="E365" s="92"/>
      <c r="F365" s="92"/>
      <c r="G365" s="105">
        <f>G363/G364</f>
        <v>428.57142857142856</v>
      </c>
      <c r="H365" s="105"/>
      <c r="I365" s="105"/>
      <c r="J365" s="51"/>
    </row>
    <row r="366" spans="1:10" ht="20.100000000000001" customHeight="1" x14ac:dyDescent="0.25">
      <c r="A366" s="46"/>
      <c r="B366" s="92" t="s">
        <v>285</v>
      </c>
      <c r="C366" s="92"/>
      <c r="D366" s="92"/>
      <c r="E366" s="92"/>
      <c r="F366" s="92"/>
      <c r="G366" s="98" cm="1">
        <f t="array" ref="G366">_xlfn.IFS(B363=$K$7,$M$7,B363=$K$8,$M$8)</f>
        <v>0.9</v>
      </c>
      <c r="H366" s="98"/>
      <c r="I366" s="98"/>
      <c r="J366" s="52"/>
    </row>
    <row r="367" spans="1:10" ht="20.100000000000001" customHeight="1" thickBot="1" x14ac:dyDescent="0.3">
      <c r="A367" s="53"/>
      <c r="B367" s="99" t="s">
        <v>286</v>
      </c>
      <c r="C367" s="99"/>
      <c r="D367" s="99"/>
      <c r="E367" s="99"/>
      <c r="F367" s="99"/>
      <c r="G367" s="100">
        <f>G365*G366</f>
        <v>385.71428571428572</v>
      </c>
      <c r="H367" s="100"/>
      <c r="I367" s="100"/>
      <c r="J367" s="52"/>
    </row>
    <row r="369" spans="1:10" ht="20.100000000000001" customHeight="1" x14ac:dyDescent="0.25">
      <c r="A369" s="44">
        <v>37</v>
      </c>
      <c r="B369" s="92" t="s">
        <v>279</v>
      </c>
      <c r="C369" s="92"/>
      <c r="D369" s="92" t="s">
        <v>287</v>
      </c>
      <c r="E369" s="92"/>
      <c r="F369" s="92"/>
      <c r="G369" s="92"/>
      <c r="H369" s="92"/>
      <c r="I369" s="92"/>
      <c r="J369" s="54"/>
    </row>
    <row r="370" spans="1:10" ht="20.100000000000001" customHeight="1" x14ac:dyDescent="0.25">
      <c r="A370" s="46"/>
      <c r="B370" s="92" t="s">
        <v>281</v>
      </c>
      <c r="C370" s="92"/>
      <c r="D370" s="92"/>
      <c r="E370" s="92"/>
      <c r="F370" s="92"/>
      <c r="G370" s="92"/>
      <c r="H370" s="92"/>
      <c r="I370" s="92"/>
      <c r="J370" s="54"/>
    </row>
    <row r="371" spans="1:10" ht="20.100000000000001" customHeight="1" x14ac:dyDescent="0.25">
      <c r="A371" s="46"/>
      <c r="B371" s="107" t="s">
        <v>316</v>
      </c>
      <c r="C371" s="107"/>
      <c r="D371" s="107"/>
      <c r="E371" s="107"/>
      <c r="F371" s="107"/>
      <c r="G371" s="107"/>
      <c r="H371" s="107"/>
      <c r="I371" s="107"/>
      <c r="J371" s="45"/>
    </row>
    <row r="372" spans="1:10" ht="20.100000000000001" customHeight="1" x14ac:dyDescent="0.25">
      <c r="A372" s="46"/>
      <c r="B372" s="108"/>
      <c r="C372" s="108"/>
      <c r="D372" s="108"/>
      <c r="E372" s="108"/>
      <c r="F372" s="108"/>
      <c r="G372" s="108"/>
      <c r="H372" s="108"/>
      <c r="I372" s="108"/>
      <c r="J372" s="45"/>
    </row>
    <row r="373" spans="1:10" ht="20.100000000000001" customHeight="1" x14ac:dyDescent="0.25">
      <c r="A373" s="47"/>
      <c r="B373" s="92" t="s">
        <v>278</v>
      </c>
      <c r="C373" s="92"/>
      <c r="D373" s="92"/>
      <c r="E373" s="48"/>
      <c r="F373" s="48"/>
      <c r="G373" s="105">
        <v>140000</v>
      </c>
      <c r="H373" s="105"/>
      <c r="I373" s="105"/>
      <c r="J373" s="49"/>
    </row>
    <row r="374" spans="1:10" ht="20.100000000000001" customHeight="1" x14ac:dyDescent="0.25">
      <c r="A374" s="46"/>
      <c r="B374" s="92" t="s">
        <v>283</v>
      </c>
      <c r="C374" s="92"/>
      <c r="D374" s="92"/>
      <c r="E374" s="92"/>
      <c r="F374" s="92"/>
      <c r="G374" s="106">
        <v>320</v>
      </c>
      <c r="H374" s="106"/>
      <c r="I374" s="106"/>
      <c r="J374" s="50"/>
    </row>
    <row r="375" spans="1:10" ht="20.100000000000001" customHeight="1" x14ac:dyDescent="0.25">
      <c r="A375" s="46"/>
      <c r="B375" s="92" t="s">
        <v>284</v>
      </c>
      <c r="C375" s="92"/>
      <c r="D375" s="92"/>
      <c r="E375" s="92"/>
      <c r="F375" s="92"/>
      <c r="G375" s="105">
        <f>G373/G374</f>
        <v>437.5</v>
      </c>
      <c r="H375" s="105"/>
      <c r="I375" s="105"/>
      <c r="J375" s="51"/>
    </row>
    <row r="376" spans="1:10" ht="20.100000000000001" customHeight="1" x14ac:dyDescent="0.25">
      <c r="A376" s="46"/>
      <c r="B376" s="92" t="s">
        <v>285</v>
      </c>
      <c r="C376" s="92"/>
      <c r="D376" s="92"/>
      <c r="E376" s="92"/>
      <c r="F376" s="92"/>
      <c r="G376" s="98" cm="1">
        <f t="array" ref="G376">_xlfn.IFS(B373=$K$7,$M$7,B373=$K$8,$M$8)</f>
        <v>0.9</v>
      </c>
      <c r="H376" s="98"/>
      <c r="I376" s="98"/>
      <c r="J376" s="52"/>
    </row>
    <row r="377" spans="1:10" ht="20.100000000000001" customHeight="1" thickBot="1" x14ac:dyDescent="0.3">
      <c r="A377" s="53"/>
      <c r="B377" s="99" t="s">
        <v>286</v>
      </c>
      <c r="C377" s="99"/>
      <c r="D377" s="99"/>
      <c r="E377" s="99"/>
      <c r="F377" s="99"/>
      <c r="G377" s="100">
        <f>G375*G376</f>
        <v>393.75</v>
      </c>
      <c r="H377" s="100"/>
      <c r="I377" s="100"/>
    </row>
    <row r="380" spans="1:10" ht="20.100000000000001" customHeight="1" thickBot="1" x14ac:dyDescent="0.3">
      <c r="A380" s="101" t="s">
        <v>317</v>
      </c>
      <c r="B380" s="101"/>
      <c r="C380" s="101"/>
      <c r="D380" s="101"/>
      <c r="E380" s="101"/>
      <c r="F380" s="101"/>
      <c r="G380" s="101"/>
      <c r="H380" s="101"/>
      <c r="I380" s="101"/>
      <c r="J380" s="35"/>
    </row>
    <row r="382" spans="1:10" ht="20.100000000000001" customHeight="1" x14ac:dyDescent="0.25">
      <c r="A382" s="55" t="s">
        <v>18</v>
      </c>
      <c r="B382" s="102" t="s">
        <v>318</v>
      </c>
      <c r="C382" s="103"/>
      <c r="D382" s="103"/>
      <c r="E382" s="103"/>
      <c r="F382" s="104"/>
      <c r="G382" s="102" t="s">
        <v>319</v>
      </c>
      <c r="H382" s="103"/>
      <c r="I382" s="104"/>
      <c r="J382" s="56"/>
    </row>
    <row r="383" spans="1:10" ht="20.100000000000001" customHeight="1" x14ac:dyDescent="0.25">
      <c r="A383" s="57">
        <v>1</v>
      </c>
      <c r="B383" s="91" t="str">
        <f>D9</f>
        <v>Isman Imóveis</v>
      </c>
      <c r="C383" s="92"/>
      <c r="D383" s="92"/>
      <c r="E383" s="92"/>
      <c r="F383" s="93"/>
      <c r="G383" s="94">
        <f>G17</f>
        <v>500</v>
      </c>
      <c r="H383" s="95"/>
      <c r="I383" s="96"/>
      <c r="J383" s="58"/>
    </row>
    <row r="384" spans="1:10" ht="20.100000000000001" customHeight="1" x14ac:dyDescent="0.25">
      <c r="A384" s="57">
        <f>A383+1</f>
        <v>2</v>
      </c>
      <c r="B384" s="91" t="str">
        <f>D19</f>
        <v>Tavares Imóveis</v>
      </c>
      <c r="C384" s="92"/>
      <c r="D384" s="92"/>
      <c r="E384" s="92"/>
      <c r="F384" s="93"/>
      <c r="G384" s="94">
        <f>G27</f>
        <v>540</v>
      </c>
      <c r="H384" s="95"/>
      <c r="I384" s="96"/>
      <c r="J384" s="58"/>
    </row>
    <row r="385" spans="1:10" ht="20.100000000000001" customHeight="1" x14ac:dyDescent="0.25">
      <c r="A385" s="57">
        <f t="shared" ref="A385:A419" si="0">A384+1</f>
        <v>3</v>
      </c>
      <c r="B385" s="91" t="str">
        <f>D29</f>
        <v>Tavares Imóveis</v>
      </c>
      <c r="C385" s="92"/>
      <c r="D385" s="92"/>
      <c r="E385" s="92"/>
      <c r="F385" s="93"/>
      <c r="G385" s="94">
        <f>G37</f>
        <v>613.33333333333337</v>
      </c>
      <c r="H385" s="95"/>
      <c r="I385" s="96"/>
      <c r="J385" s="58"/>
    </row>
    <row r="386" spans="1:10" ht="20.100000000000001" customHeight="1" x14ac:dyDescent="0.25">
      <c r="A386" s="57">
        <f t="shared" si="0"/>
        <v>4</v>
      </c>
      <c r="B386" s="91" t="str">
        <f>D39</f>
        <v>Imobiliária Torrieri</v>
      </c>
      <c r="C386" s="92"/>
      <c r="D386" s="92"/>
      <c r="E386" s="92"/>
      <c r="F386" s="93"/>
      <c r="G386" s="94">
        <f>G47</f>
        <v>510</v>
      </c>
      <c r="H386" s="95"/>
      <c r="I386" s="96"/>
      <c r="J386" s="58"/>
    </row>
    <row r="387" spans="1:10" ht="20.100000000000001" customHeight="1" x14ac:dyDescent="0.25">
      <c r="A387" s="57">
        <f t="shared" si="0"/>
        <v>5</v>
      </c>
      <c r="B387" s="91" t="str">
        <f>D49</f>
        <v>Habit Imóveis</v>
      </c>
      <c r="C387" s="92"/>
      <c r="D387" s="92"/>
      <c r="E387" s="92"/>
      <c r="F387" s="93"/>
      <c r="G387" s="94">
        <f>G57</f>
        <v>450</v>
      </c>
      <c r="H387" s="95"/>
      <c r="I387" s="96"/>
      <c r="J387" s="58"/>
    </row>
    <row r="388" spans="1:10" ht="20.100000000000001" customHeight="1" x14ac:dyDescent="0.25">
      <c r="A388" s="57">
        <f t="shared" si="0"/>
        <v>6</v>
      </c>
      <c r="B388" s="91" t="str">
        <f>D59</f>
        <v>Singular Imobiliária e Consultoria</v>
      </c>
      <c r="C388" s="92"/>
      <c r="D388" s="92"/>
      <c r="E388" s="92"/>
      <c r="F388" s="93"/>
      <c r="G388" s="94">
        <f>G67</f>
        <v>694.44444444444446</v>
      </c>
      <c r="H388" s="95"/>
      <c r="I388" s="96"/>
      <c r="J388" s="58"/>
    </row>
    <row r="389" spans="1:10" ht="20.100000000000001" customHeight="1" x14ac:dyDescent="0.25">
      <c r="A389" s="57">
        <f t="shared" si="0"/>
        <v>7</v>
      </c>
      <c r="B389" s="91" t="str">
        <f>D69</f>
        <v>Isman Imóveis</v>
      </c>
      <c r="C389" s="92"/>
      <c r="D389" s="92"/>
      <c r="E389" s="92"/>
      <c r="F389" s="93"/>
      <c r="G389" s="94">
        <f>G77</f>
        <v>425</v>
      </c>
      <c r="H389" s="95"/>
      <c r="I389" s="96"/>
      <c r="J389" s="58"/>
    </row>
    <row r="390" spans="1:10" ht="20.100000000000001" customHeight="1" x14ac:dyDescent="0.25">
      <c r="A390" s="57">
        <f t="shared" si="0"/>
        <v>8</v>
      </c>
      <c r="B390" s="91" t="str">
        <f>D79</f>
        <v>Isman Imóveis</v>
      </c>
      <c r="C390" s="92"/>
      <c r="D390" s="92"/>
      <c r="E390" s="92"/>
      <c r="F390" s="93"/>
      <c r="G390" s="94">
        <f>G87</f>
        <v>500</v>
      </c>
      <c r="H390" s="95"/>
      <c r="I390" s="96"/>
    </row>
    <row r="391" spans="1:10" ht="20.100000000000001" customHeight="1" x14ac:dyDescent="0.25">
      <c r="A391" s="57">
        <f t="shared" si="0"/>
        <v>9</v>
      </c>
      <c r="B391" s="91" t="str">
        <f>D89</f>
        <v>Tavares Imóveis</v>
      </c>
      <c r="C391" s="92"/>
      <c r="D391" s="92"/>
      <c r="E391" s="92"/>
      <c r="F391" s="93"/>
      <c r="G391" s="94">
        <f>G97</f>
        <v>330</v>
      </c>
      <c r="H391" s="95"/>
      <c r="I391" s="96"/>
    </row>
    <row r="392" spans="1:10" ht="20.100000000000001" customHeight="1" x14ac:dyDescent="0.25">
      <c r="A392" s="57">
        <f t="shared" si="0"/>
        <v>10</v>
      </c>
      <c r="B392" s="91" t="str">
        <f>D99</f>
        <v>Tavares Imóveis</v>
      </c>
      <c r="C392" s="92"/>
      <c r="D392" s="92"/>
      <c r="E392" s="92"/>
      <c r="F392" s="93"/>
      <c r="G392" s="94">
        <f>G107</f>
        <v>500</v>
      </c>
      <c r="H392" s="95"/>
      <c r="I392" s="96"/>
    </row>
    <row r="393" spans="1:10" ht="20.100000000000001" customHeight="1" x14ac:dyDescent="0.25">
      <c r="A393" s="57">
        <f t="shared" si="0"/>
        <v>11</v>
      </c>
      <c r="B393" s="91" t="str">
        <f>D109</f>
        <v>Isman Imóveis</v>
      </c>
      <c r="C393" s="92"/>
      <c r="D393" s="92"/>
      <c r="E393" s="92"/>
      <c r="F393" s="93"/>
      <c r="G393" s="94">
        <f>G117</f>
        <v>450</v>
      </c>
      <c r="H393" s="95"/>
      <c r="I393" s="96"/>
    </row>
    <row r="394" spans="1:10" ht="20.100000000000001" customHeight="1" x14ac:dyDescent="0.25">
      <c r="A394" s="57">
        <f t="shared" si="0"/>
        <v>12</v>
      </c>
      <c r="B394" s="91" t="str">
        <f>D119</f>
        <v>Habit Imóveis</v>
      </c>
      <c r="C394" s="92"/>
      <c r="D394" s="92"/>
      <c r="E394" s="92"/>
      <c r="F394" s="93"/>
      <c r="G394" s="94">
        <f>G127</f>
        <v>450</v>
      </c>
      <c r="H394" s="95"/>
      <c r="I394" s="96"/>
    </row>
    <row r="395" spans="1:10" ht="20.100000000000001" customHeight="1" x14ac:dyDescent="0.25">
      <c r="A395" s="57">
        <f t="shared" si="0"/>
        <v>13</v>
      </c>
      <c r="B395" s="91" t="str">
        <f>D129</f>
        <v>Tavares Imóveis</v>
      </c>
      <c r="C395" s="92"/>
      <c r="D395" s="92"/>
      <c r="E395" s="92"/>
      <c r="F395" s="93"/>
      <c r="G395" s="94">
        <f>G137</f>
        <v>450</v>
      </c>
      <c r="H395" s="95"/>
      <c r="I395" s="96"/>
    </row>
    <row r="396" spans="1:10" ht="20.100000000000001" customHeight="1" x14ac:dyDescent="0.25">
      <c r="A396" s="57">
        <f t="shared" si="0"/>
        <v>14</v>
      </c>
      <c r="B396" s="91" t="str">
        <f>D139</f>
        <v>Singular Imobiliária e Consultoria</v>
      </c>
      <c r="C396" s="92"/>
      <c r="D396" s="92"/>
      <c r="E396" s="92"/>
      <c r="F396" s="93"/>
      <c r="G396" s="94">
        <f>G147</f>
        <v>425</v>
      </c>
      <c r="H396" s="95"/>
      <c r="I396" s="96"/>
    </row>
    <row r="397" spans="1:10" ht="20.100000000000001" customHeight="1" x14ac:dyDescent="0.25">
      <c r="A397" s="57">
        <f t="shared" si="0"/>
        <v>15</v>
      </c>
      <c r="B397" s="91" t="str">
        <f>D149</f>
        <v>Isman Imóveis</v>
      </c>
      <c r="C397" s="92"/>
      <c r="D397" s="92"/>
      <c r="E397" s="92"/>
      <c r="F397" s="93"/>
      <c r="G397" s="94">
        <f>G157</f>
        <v>440.00000000000006</v>
      </c>
      <c r="H397" s="95"/>
      <c r="I397" s="96"/>
    </row>
    <row r="398" spans="1:10" ht="20.100000000000001" customHeight="1" x14ac:dyDescent="0.25">
      <c r="A398" s="57">
        <f t="shared" si="0"/>
        <v>16</v>
      </c>
      <c r="B398" s="91" t="str">
        <f>D159</f>
        <v>Tavares Imóveis</v>
      </c>
      <c r="C398" s="92"/>
      <c r="D398" s="92"/>
      <c r="E398" s="92"/>
      <c r="F398" s="93"/>
      <c r="G398" s="94">
        <f>G167</f>
        <v>534.375</v>
      </c>
      <c r="H398" s="95"/>
      <c r="I398" s="96"/>
    </row>
    <row r="399" spans="1:10" ht="20.100000000000001" customHeight="1" x14ac:dyDescent="0.25">
      <c r="A399" s="57">
        <f t="shared" si="0"/>
        <v>17</v>
      </c>
      <c r="B399" s="91" t="str">
        <f>D169</f>
        <v>Imobiliária Torrieri</v>
      </c>
      <c r="C399" s="92"/>
      <c r="D399" s="92"/>
      <c r="E399" s="92"/>
      <c r="F399" s="93"/>
      <c r="G399" s="94">
        <f>G177</f>
        <v>450</v>
      </c>
      <c r="H399" s="95"/>
      <c r="I399" s="96"/>
    </row>
    <row r="400" spans="1:10" ht="20.100000000000001" customHeight="1" x14ac:dyDescent="0.25">
      <c r="A400" s="57">
        <f t="shared" si="0"/>
        <v>18</v>
      </c>
      <c r="B400" s="91" t="str">
        <f>D179</f>
        <v>Isman Imóveis</v>
      </c>
      <c r="C400" s="92"/>
      <c r="D400" s="92"/>
      <c r="E400" s="92"/>
      <c r="F400" s="93"/>
      <c r="G400" s="94">
        <f>G187</f>
        <v>485.71428571428567</v>
      </c>
      <c r="H400" s="95"/>
      <c r="I400" s="96"/>
    </row>
    <row r="401" spans="1:9" ht="20.100000000000001" customHeight="1" x14ac:dyDescent="0.25">
      <c r="A401" s="57">
        <f t="shared" si="0"/>
        <v>19</v>
      </c>
      <c r="B401" s="91" t="str">
        <f>D189</f>
        <v>Habit Imóveis</v>
      </c>
      <c r="C401" s="92"/>
      <c r="D401" s="92"/>
      <c r="E401" s="92"/>
      <c r="F401" s="93"/>
      <c r="G401" s="94">
        <f>G197</f>
        <v>365.625</v>
      </c>
      <c r="H401" s="95"/>
      <c r="I401" s="96"/>
    </row>
    <row r="402" spans="1:9" ht="20.100000000000001" customHeight="1" x14ac:dyDescent="0.25">
      <c r="A402" s="57">
        <f t="shared" si="0"/>
        <v>20</v>
      </c>
      <c r="B402" s="91" t="str">
        <f>D199</f>
        <v>Tavares Imóveis</v>
      </c>
      <c r="C402" s="92"/>
      <c r="D402" s="92"/>
      <c r="E402" s="92"/>
      <c r="F402" s="93"/>
      <c r="G402" s="94">
        <f>G207</f>
        <v>470.58823529411762</v>
      </c>
      <c r="H402" s="95"/>
      <c r="I402" s="96"/>
    </row>
    <row r="403" spans="1:9" ht="20.100000000000001" customHeight="1" x14ac:dyDescent="0.25">
      <c r="A403" s="57">
        <f t="shared" si="0"/>
        <v>21</v>
      </c>
      <c r="B403" s="91" t="str">
        <f>D209</f>
        <v>Singular Imobiliária e Consultoria</v>
      </c>
      <c r="C403" s="92"/>
      <c r="D403" s="92"/>
      <c r="E403" s="92"/>
      <c r="F403" s="93"/>
      <c r="G403" s="94">
        <f>G217</f>
        <v>478.125</v>
      </c>
      <c r="H403" s="95"/>
      <c r="I403" s="96"/>
    </row>
    <row r="404" spans="1:9" ht="20.100000000000001" customHeight="1" x14ac:dyDescent="0.25">
      <c r="A404" s="57">
        <f t="shared" si="0"/>
        <v>22</v>
      </c>
      <c r="B404" s="91" t="str">
        <f>D219</f>
        <v>Isman Imóveis</v>
      </c>
      <c r="C404" s="92"/>
      <c r="D404" s="92"/>
      <c r="E404" s="92"/>
      <c r="F404" s="93"/>
      <c r="G404" s="94">
        <f>G227</f>
        <v>500</v>
      </c>
      <c r="H404" s="95"/>
      <c r="I404" s="96"/>
    </row>
    <row r="405" spans="1:9" ht="20.100000000000001" customHeight="1" x14ac:dyDescent="0.25">
      <c r="A405" s="57">
        <f t="shared" si="0"/>
        <v>23</v>
      </c>
      <c r="B405" s="91" t="str">
        <f>D229</f>
        <v>Tavares Imóveis</v>
      </c>
      <c r="C405" s="92"/>
      <c r="D405" s="92"/>
      <c r="E405" s="92"/>
      <c r="F405" s="93"/>
      <c r="G405" s="94">
        <f>G237</f>
        <v>379.6875</v>
      </c>
      <c r="H405" s="95"/>
      <c r="I405" s="96"/>
    </row>
    <row r="406" spans="1:9" ht="20.100000000000001" customHeight="1" x14ac:dyDescent="0.25">
      <c r="A406" s="57">
        <f t="shared" si="0"/>
        <v>24</v>
      </c>
      <c r="B406" s="91" t="str">
        <f>D239</f>
        <v>Imobiliária Torrieri</v>
      </c>
      <c r="C406" s="92"/>
      <c r="D406" s="92"/>
      <c r="E406" s="92"/>
      <c r="F406" s="93"/>
      <c r="G406" s="94">
        <f>G247</f>
        <v>500</v>
      </c>
      <c r="H406" s="95"/>
      <c r="I406" s="96"/>
    </row>
    <row r="407" spans="1:9" ht="20.100000000000001" customHeight="1" x14ac:dyDescent="0.25">
      <c r="A407" s="57">
        <f t="shared" si="0"/>
        <v>25</v>
      </c>
      <c r="B407" s="91" t="str">
        <f>D249</f>
        <v>Isman Imóveis</v>
      </c>
      <c r="C407" s="92"/>
      <c r="D407" s="92"/>
      <c r="E407" s="92"/>
      <c r="F407" s="93"/>
      <c r="G407" s="94">
        <f>G257</f>
        <v>500</v>
      </c>
      <c r="H407" s="95"/>
      <c r="I407" s="96"/>
    </row>
    <row r="408" spans="1:9" ht="20.100000000000001" customHeight="1" x14ac:dyDescent="0.25">
      <c r="A408" s="57">
        <f t="shared" si="0"/>
        <v>26</v>
      </c>
      <c r="B408" s="91" t="str">
        <f>D259</f>
        <v>Habit Imóveis</v>
      </c>
      <c r="C408" s="92"/>
      <c r="D408" s="92"/>
      <c r="E408" s="92"/>
      <c r="F408" s="93"/>
      <c r="G408" s="94">
        <f>G267</f>
        <v>473.68421052631578</v>
      </c>
      <c r="H408" s="95"/>
      <c r="I408" s="96"/>
    </row>
    <row r="409" spans="1:9" ht="20.100000000000001" customHeight="1" x14ac:dyDescent="0.25">
      <c r="A409" s="57">
        <f t="shared" si="0"/>
        <v>27</v>
      </c>
      <c r="B409" s="91" t="str">
        <f>D269</f>
        <v>Singular Imobiliária e Consultoria</v>
      </c>
      <c r="C409" s="92"/>
      <c r="D409" s="92"/>
      <c r="E409" s="92"/>
      <c r="F409" s="93"/>
      <c r="G409" s="94">
        <f>G277</f>
        <v>350.00000000000006</v>
      </c>
      <c r="H409" s="95"/>
      <c r="I409" s="96"/>
    </row>
    <row r="410" spans="1:9" ht="20.100000000000001" customHeight="1" x14ac:dyDescent="0.25">
      <c r="A410" s="57">
        <f t="shared" si="0"/>
        <v>28</v>
      </c>
      <c r="B410" s="91" t="str">
        <f>D279</f>
        <v>Tavares Imóveis</v>
      </c>
      <c r="C410" s="92"/>
      <c r="D410" s="92"/>
      <c r="E410" s="92"/>
      <c r="F410" s="93"/>
      <c r="G410" s="94">
        <f>G287</f>
        <v>416.66666666666669</v>
      </c>
      <c r="H410" s="95"/>
      <c r="I410" s="96"/>
    </row>
    <row r="411" spans="1:9" ht="20.100000000000001" customHeight="1" x14ac:dyDescent="0.25">
      <c r="A411" s="57">
        <f t="shared" si="0"/>
        <v>29</v>
      </c>
      <c r="B411" s="91" t="str">
        <f>D289</f>
        <v>Isman Imóveis</v>
      </c>
      <c r="C411" s="92"/>
      <c r="D411" s="92"/>
      <c r="E411" s="92"/>
      <c r="F411" s="93"/>
      <c r="G411" s="94">
        <f>G297</f>
        <v>500</v>
      </c>
      <c r="H411" s="95"/>
      <c r="I411" s="96"/>
    </row>
    <row r="412" spans="1:9" ht="20.100000000000001" customHeight="1" x14ac:dyDescent="0.25">
      <c r="A412" s="57">
        <f t="shared" si="0"/>
        <v>30</v>
      </c>
      <c r="B412" s="91" t="str">
        <f>D299</f>
        <v>Tavares Imóveis</v>
      </c>
      <c r="C412" s="92"/>
      <c r="D412" s="92"/>
      <c r="E412" s="92"/>
      <c r="F412" s="93"/>
      <c r="G412" s="94">
        <f>G307</f>
        <v>393.75</v>
      </c>
      <c r="H412" s="95"/>
      <c r="I412" s="96"/>
    </row>
    <row r="413" spans="1:9" ht="20.100000000000001" customHeight="1" x14ac:dyDescent="0.25">
      <c r="A413" s="57">
        <f t="shared" si="0"/>
        <v>31</v>
      </c>
      <c r="B413" s="91" t="str">
        <f>D309</f>
        <v>Isman Imóveis</v>
      </c>
      <c r="C413" s="92"/>
      <c r="D413" s="92"/>
      <c r="E413" s="92"/>
      <c r="F413" s="93"/>
      <c r="G413" s="94">
        <f>G317</f>
        <v>450</v>
      </c>
      <c r="H413" s="95"/>
      <c r="I413" s="96"/>
    </row>
    <row r="414" spans="1:9" ht="20.100000000000001" customHeight="1" x14ac:dyDescent="0.25">
      <c r="A414" s="57">
        <f t="shared" si="0"/>
        <v>32</v>
      </c>
      <c r="B414" s="91" t="str">
        <f>D319</f>
        <v>Isman Imóveis</v>
      </c>
      <c r="C414" s="92"/>
      <c r="D414" s="92"/>
      <c r="E414" s="92"/>
      <c r="F414" s="93"/>
      <c r="G414" s="94">
        <f>G327</f>
        <v>393.75</v>
      </c>
      <c r="H414" s="95"/>
      <c r="I414" s="96"/>
    </row>
    <row r="415" spans="1:9" ht="20.100000000000001" customHeight="1" x14ac:dyDescent="0.25">
      <c r="A415" s="57">
        <f t="shared" si="0"/>
        <v>33</v>
      </c>
      <c r="B415" s="91" t="str">
        <f>D329</f>
        <v>Habit Imóveis</v>
      </c>
      <c r="C415" s="92"/>
      <c r="D415" s="92"/>
      <c r="E415" s="92"/>
      <c r="F415" s="93"/>
      <c r="G415" s="94">
        <f>G337</f>
        <v>418.9655172413793</v>
      </c>
      <c r="H415" s="95"/>
      <c r="I415" s="96"/>
    </row>
    <row r="416" spans="1:9" ht="20.100000000000001" customHeight="1" x14ac:dyDescent="0.25">
      <c r="A416" s="57">
        <f t="shared" si="0"/>
        <v>34</v>
      </c>
      <c r="B416" s="91" t="str">
        <f>D339</f>
        <v>Singular Imobiliária e Consultoria</v>
      </c>
      <c r="C416" s="92"/>
      <c r="D416" s="92"/>
      <c r="E416" s="92"/>
      <c r="F416" s="93"/>
      <c r="G416" s="94">
        <f>G347</f>
        <v>325</v>
      </c>
      <c r="H416" s="95"/>
      <c r="I416" s="96"/>
    </row>
    <row r="417" spans="1:9" ht="20.100000000000001" customHeight="1" x14ac:dyDescent="0.25">
      <c r="A417" s="57">
        <f t="shared" si="0"/>
        <v>35</v>
      </c>
      <c r="B417" s="91" t="str">
        <f>D349</f>
        <v>Singular Imobiliária e Consultoria</v>
      </c>
      <c r="C417" s="92"/>
      <c r="D417" s="92"/>
      <c r="E417" s="92"/>
      <c r="F417" s="93"/>
      <c r="G417" s="94">
        <f>G357</f>
        <v>421.875</v>
      </c>
      <c r="H417" s="95"/>
      <c r="I417" s="96"/>
    </row>
    <row r="418" spans="1:9" ht="20.100000000000001" customHeight="1" x14ac:dyDescent="0.25">
      <c r="A418" s="57">
        <f t="shared" si="0"/>
        <v>36</v>
      </c>
      <c r="B418" s="91" t="str">
        <f>D359</f>
        <v>Isman Imóveis</v>
      </c>
      <c r="C418" s="92"/>
      <c r="D418" s="92"/>
      <c r="E418" s="92"/>
      <c r="F418" s="93"/>
      <c r="G418" s="94">
        <f>G367</f>
        <v>385.71428571428572</v>
      </c>
      <c r="H418" s="95"/>
      <c r="I418" s="96"/>
    </row>
    <row r="419" spans="1:9" ht="20.100000000000001" customHeight="1" x14ac:dyDescent="0.25">
      <c r="A419" s="57">
        <f t="shared" si="0"/>
        <v>37</v>
      </c>
      <c r="B419" s="91" t="str">
        <f>D369</f>
        <v>Tavares Imóveis</v>
      </c>
      <c r="C419" s="92"/>
      <c r="D419" s="92"/>
      <c r="E419" s="92"/>
      <c r="F419" s="93"/>
      <c r="G419" s="94">
        <f>G377</f>
        <v>393.75</v>
      </c>
      <c r="H419" s="95"/>
      <c r="I419" s="96"/>
    </row>
    <row r="421" spans="1:9" ht="20.100000000000001" customHeight="1" x14ac:dyDescent="0.25">
      <c r="A421" s="97" t="s">
        <v>320</v>
      </c>
      <c r="B421" s="97"/>
      <c r="C421" s="97"/>
      <c r="D421" s="97"/>
      <c r="E421" s="97"/>
      <c r="F421" s="97"/>
      <c r="G421" s="97"/>
      <c r="H421" s="97"/>
      <c r="I421" s="97"/>
    </row>
    <row r="422" spans="1:9" ht="20.100000000000001" customHeight="1" x14ac:dyDescent="0.25">
      <c r="A422" s="97"/>
      <c r="B422" s="97"/>
      <c r="C422" s="97"/>
      <c r="D422" s="97"/>
      <c r="E422" s="97"/>
      <c r="F422" s="97"/>
      <c r="G422" s="97"/>
      <c r="H422" s="97"/>
      <c r="I422" s="97"/>
    </row>
    <row r="423" spans="1:9" ht="20.100000000000001" customHeight="1" x14ac:dyDescent="0.25">
      <c r="A423" s="97"/>
      <c r="B423" s="97"/>
      <c r="C423" s="97"/>
      <c r="D423" s="97"/>
      <c r="E423" s="97"/>
      <c r="F423" s="97"/>
      <c r="G423" s="97"/>
      <c r="H423" s="97"/>
      <c r="I423" s="97"/>
    </row>
    <row r="424" spans="1:9" ht="20.100000000000001" customHeight="1" x14ac:dyDescent="0.25">
      <c r="A424" s="97"/>
      <c r="B424" s="97"/>
      <c r="C424" s="97"/>
      <c r="D424" s="97"/>
      <c r="E424" s="97"/>
      <c r="F424" s="97"/>
      <c r="G424" s="97"/>
      <c r="H424" s="97"/>
      <c r="I424" s="97"/>
    </row>
    <row r="425" spans="1:9" ht="20.100000000000001" customHeight="1" x14ac:dyDescent="0.25">
      <c r="A425" s="97"/>
      <c r="B425" s="97"/>
      <c r="C425" s="97"/>
      <c r="D425" s="97"/>
      <c r="E425" s="97"/>
      <c r="F425" s="97"/>
      <c r="G425" s="97"/>
      <c r="H425" s="97"/>
      <c r="I425" s="97"/>
    </row>
    <row r="427" spans="1:9" ht="20.100000000000001" customHeight="1" x14ac:dyDescent="0.25">
      <c r="A427" s="97" t="s">
        <v>83</v>
      </c>
      <c r="B427" s="97"/>
      <c r="C427" s="97"/>
      <c r="D427" s="97"/>
      <c r="E427" s="97"/>
      <c r="F427" s="97"/>
      <c r="G427" s="97"/>
      <c r="H427" s="97"/>
      <c r="I427" s="97"/>
    </row>
    <row r="428" spans="1:9" ht="20.100000000000001" customHeight="1" x14ac:dyDescent="0.25">
      <c r="A428" s="97" t="s">
        <v>321</v>
      </c>
      <c r="B428" s="97"/>
      <c r="C428" s="97"/>
      <c r="D428" s="97"/>
      <c r="E428" s="97"/>
      <c r="F428" s="97"/>
      <c r="G428" s="97"/>
      <c r="H428" s="97"/>
      <c r="I428" s="97"/>
    </row>
    <row r="429" spans="1:9" ht="20.100000000000001" customHeight="1" x14ac:dyDescent="0.25">
      <c r="A429" s="97"/>
      <c r="B429" s="97"/>
      <c r="C429" s="97"/>
      <c r="D429" s="97"/>
      <c r="E429" s="97"/>
      <c r="F429" s="97"/>
      <c r="G429" s="97"/>
      <c r="H429" s="97"/>
      <c r="I429" s="97"/>
    </row>
  </sheetData>
  <mergeCells count="601">
    <mergeCell ref="B11:I12"/>
    <mergeCell ref="B13:D13"/>
    <mergeCell ref="G13:I13"/>
    <mergeCell ref="B14:F14"/>
    <mergeCell ref="G14:I14"/>
    <mergeCell ref="B15:F15"/>
    <mergeCell ref="G15:I15"/>
    <mergeCell ref="A5:I5"/>
    <mergeCell ref="K5:M5"/>
    <mergeCell ref="B7:I7"/>
    <mergeCell ref="B9:C9"/>
    <mergeCell ref="D9:I9"/>
    <mergeCell ref="B10:I10"/>
    <mergeCell ref="B20:I20"/>
    <mergeCell ref="B21:I22"/>
    <mergeCell ref="B23:D23"/>
    <mergeCell ref="G23:I23"/>
    <mergeCell ref="B24:F24"/>
    <mergeCell ref="G24:I24"/>
    <mergeCell ref="B16:F16"/>
    <mergeCell ref="G16:I16"/>
    <mergeCell ref="B17:F17"/>
    <mergeCell ref="G17:I17"/>
    <mergeCell ref="B19:C19"/>
    <mergeCell ref="D19:I19"/>
    <mergeCell ref="B29:C29"/>
    <mergeCell ref="D29:I29"/>
    <mergeCell ref="B30:I30"/>
    <mergeCell ref="B31:I32"/>
    <mergeCell ref="B33:D33"/>
    <mergeCell ref="G33:I33"/>
    <mergeCell ref="B25:F25"/>
    <mergeCell ref="G25:I25"/>
    <mergeCell ref="B26:F26"/>
    <mergeCell ref="G26:I26"/>
    <mergeCell ref="B27:F27"/>
    <mergeCell ref="G27:I27"/>
    <mergeCell ref="B37:F37"/>
    <mergeCell ref="G37:I37"/>
    <mergeCell ref="B39:C39"/>
    <mergeCell ref="D39:I39"/>
    <mergeCell ref="B40:I40"/>
    <mergeCell ref="B41:I42"/>
    <mergeCell ref="B34:F34"/>
    <mergeCell ref="G34:I34"/>
    <mergeCell ref="B35:F35"/>
    <mergeCell ref="G35:I35"/>
    <mergeCell ref="B36:F36"/>
    <mergeCell ref="G36:I36"/>
    <mergeCell ref="B46:F46"/>
    <mergeCell ref="G46:I46"/>
    <mergeCell ref="B47:F47"/>
    <mergeCell ref="G47:I47"/>
    <mergeCell ref="B49:C49"/>
    <mergeCell ref="D49:I49"/>
    <mergeCell ref="B43:D43"/>
    <mergeCell ref="G43:I43"/>
    <mergeCell ref="B44:F44"/>
    <mergeCell ref="G44:I44"/>
    <mergeCell ref="B45:F45"/>
    <mergeCell ref="G45:I45"/>
    <mergeCell ref="B55:F55"/>
    <mergeCell ref="G55:I55"/>
    <mergeCell ref="B56:F56"/>
    <mergeCell ref="G56:I56"/>
    <mergeCell ref="B57:F57"/>
    <mergeCell ref="G57:I57"/>
    <mergeCell ref="B50:I50"/>
    <mergeCell ref="B51:I52"/>
    <mergeCell ref="B53:D53"/>
    <mergeCell ref="G53:I53"/>
    <mergeCell ref="B54:F54"/>
    <mergeCell ref="G54:I54"/>
    <mergeCell ref="B64:F64"/>
    <mergeCell ref="G64:I64"/>
    <mergeCell ref="B65:F65"/>
    <mergeCell ref="G65:I65"/>
    <mergeCell ref="B66:F66"/>
    <mergeCell ref="G66:I66"/>
    <mergeCell ref="B59:C59"/>
    <mergeCell ref="D59:I59"/>
    <mergeCell ref="B60:I60"/>
    <mergeCell ref="B61:I62"/>
    <mergeCell ref="B63:D63"/>
    <mergeCell ref="G63:I63"/>
    <mergeCell ref="B73:D73"/>
    <mergeCell ref="G73:I73"/>
    <mergeCell ref="B74:F74"/>
    <mergeCell ref="G74:I74"/>
    <mergeCell ref="B75:F75"/>
    <mergeCell ref="G75:I75"/>
    <mergeCell ref="B67:F67"/>
    <mergeCell ref="G67:I67"/>
    <mergeCell ref="B69:C69"/>
    <mergeCell ref="D69:I69"/>
    <mergeCell ref="B70:I70"/>
    <mergeCell ref="B71:I72"/>
    <mergeCell ref="B80:I80"/>
    <mergeCell ref="B81:I82"/>
    <mergeCell ref="B83:D83"/>
    <mergeCell ref="G83:I83"/>
    <mergeCell ref="B84:F84"/>
    <mergeCell ref="G84:I84"/>
    <mergeCell ref="B76:F76"/>
    <mergeCell ref="G76:I76"/>
    <mergeCell ref="B77:F77"/>
    <mergeCell ref="G77:I77"/>
    <mergeCell ref="B79:C79"/>
    <mergeCell ref="D79:I79"/>
    <mergeCell ref="B89:C89"/>
    <mergeCell ref="D89:I89"/>
    <mergeCell ref="B90:I90"/>
    <mergeCell ref="B91:I92"/>
    <mergeCell ref="B93:D93"/>
    <mergeCell ref="G93:I93"/>
    <mergeCell ref="B85:F85"/>
    <mergeCell ref="G85:I85"/>
    <mergeCell ref="B86:F86"/>
    <mergeCell ref="G86:I86"/>
    <mergeCell ref="B87:F87"/>
    <mergeCell ref="G87:I87"/>
    <mergeCell ref="B97:F97"/>
    <mergeCell ref="G97:I97"/>
    <mergeCell ref="B99:C99"/>
    <mergeCell ref="D99:I99"/>
    <mergeCell ref="B100:I100"/>
    <mergeCell ref="B101:I102"/>
    <mergeCell ref="B94:F94"/>
    <mergeCell ref="G94:I94"/>
    <mergeCell ref="B95:F95"/>
    <mergeCell ref="G95:I95"/>
    <mergeCell ref="B96:F96"/>
    <mergeCell ref="G96:I96"/>
    <mergeCell ref="B106:F106"/>
    <mergeCell ref="G106:I106"/>
    <mergeCell ref="B107:F107"/>
    <mergeCell ref="G107:I107"/>
    <mergeCell ref="B109:C109"/>
    <mergeCell ref="D109:I109"/>
    <mergeCell ref="B103:D103"/>
    <mergeCell ref="G103:I103"/>
    <mergeCell ref="B104:F104"/>
    <mergeCell ref="G104:I104"/>
    <mergeCell ref="B105:F105"/>
    <mergeCell ref="G105:I105"/>
    <mergeCell ref="B115:F115"/>
    <mergeCell ref="G115:I115"/>
    <mergeCell ref="B116:F116"/>
    <mergeCell ref="G116:I116"/>
    <mergeCell ref="B117:F117"/>
    <mergeCell ref="G117:I117"/>
    <mergeCell ref="B110:I110"/>
    <mergeCell ref="B111:I112"/>
    <mergeCell ref="B113:D113"/>
    <mergeCell ref="G113:I113"/>
    <mergeCell ref="B114:F114"/>
    <mergeCell ref="G114:I114"/>
    <mergeCell ref="B124:F124"/>
    <mergeCell ref="G124:I124"/>
    <mergeCell ref="B125:F125"/>
    <mergeCell ref="G125:I125"/>
    <mergeCell ref="B126:F126"/>
    <mergeCell ref="G126:I126"/>
    <mergeCell ref="B119:C119"/>
    <mergeCell ref="D119:I119"/>
    <mergeCell ref="B120:I120"/>
    <mergeCell ref="B121:I122"/>
    <mergeCell ref="B123:D123"/>
    <mergeCell ref="G123:I123"/>
    <mergeCell ref="B133:D133"/>
    <mergeCell ref="G133:I133"/>
    <mergeCell ref="B134:F134"/>
    <mergeCell ref="G134:I134"/>
    <mergeCell ref="B135:F135"/>
    <mergeCell ref="G135:I135"/>
    <mergeCell ref="B127:F127"/>
    <mergeCell ref="G127:I127"/>
    <mergeCell ref="B129:C129"/>
    <mergeCell ref="D129:I129"/>
    <mergeCell ref="B130:I130"/>
    <mergeCell ref="B131:I132"/>
    <mergeCell ref="B140:I140"/>
    <mergeCell ref="B141:I142"/>
    <mergeCell ref="B143:D143"/>
    <mergeCell ref="G143:I143"/>
    <mergeCell ref="B144:F144"/>
    <mergeCell ref="G144:I144"/>
    <mergeCell ref="B136:F136"/>
    <mergeCell ref="G136:I136"/>
    <mergeCell ref="B137:F137"/>
    <mergeCell ref="G137:I137"/>
    <mergeCell ref="B139:C139"/>
    <mergeCell ref="D139:I139"/>
    <mergeCell ref="B149:C149"/>
    <mergeCell ref="D149:I149"/>
    <mergeCell ref="B150:I150"/>
    <mergeCell ref="B151:I152"/>
    <mergeCell ref="B153:D153"/>
    <mergeCell ref="G153:I153"/>
    <mergeCell ref="B145:F145"/>
    <mergeCell ref="G145:I145"/>
    <mergeCell ref="B146:F146"/>
    <mergeCell ref="G146:I146"/>
    <mergeCell ref="B147:F147"/>
    <mergeCell ref="G147:I147"/>
    <mergeCell ref="B157:F157"/>
    <mergeCell ref="G157:I157"/>
    <mergeCell ref="B159:C159"/>
    <mergeCell ref="D159:I159"/>
    <mergeCell ref="B160:I160"/>
    <mergeCell ref="B161:I162"/>
    <mergeCell ref="B154:F154"/>
    <mergeCell ref="G154:I154"/>
    <mergeCell ref="B155:F155"/>
    <mergeCell ref="G155:I155"/>
    <mergeCell ref="B156:F156"/>
    <mergeCell ref="G156:I156"/>
    <mergeCell ref="B166:F166"/>
    <mergeCell ref="G166:I166"/>
    <mergeCell ref="B167:F167"/>
    <mergeCell ref="G167:I167"/>
    <mergeCell ref="B169:C169"/>
    <mergeCell ref="D169:I169"/>
    <mergeCell ref="B163:D163"/>
    <mergeCell ref="G163:I163"/>
    <mergeCell ref="B164:F164"/>
    <mergeCell ref="G164:I164"/>
    <mergeCell ref="B165:F165"/>
    <mergeCell ref="G165:I165"/>
    <mergeCell ref="B175:F175"/>
    <mergeCell ref="G175:I175"/>
    <mergeCell ref="B176:F176"/>
    <mergeCell ref="G176:I176"/>
    <mergeCell ref="B177:F177"/>
    <mergeCell ref="G177:I177"/>
    <mergeCell ref="B170:I170"/>
    <mergeCell ref="B171:I172"/>
    <mergeCell ref="B173:D173"/>
    <mergeCell ref="G173:I173"/>
    <mergeCell ref="B174:F174"/>
    <mergeCell ref="G174:I174"/>
    <mergeCell ref="B184:F184"/>
    <mergeCell ref="G184:I184"/>
    <mergeCell ref="B185:F185"/>
    <mergeCell ref="G185:I185"/>
    <mergeCell ref="B186:F186"/>
    <mergeCell ref="G186:I186"/>
    <mergeCell ref="B179:C179"/>
    <mergeCell ref="D179:I179"/>
    <mergeCell ref="B180:I180"/>
    <mergeCell ref="B181:I182"/>
    <mergeCell ref="B183:D183"/>
    <mergeCell ref="G183:I183"/>
    <mergeCell ref="B193:D193"/>
    <mergeCell ref="G193:I193"/>
    <mergeCell ref="B194:F194"/>
    <mergeCell ref="G194:I194"/>
    <mergeCell ref="B195:F195"/>
    <mergeCell ref="G195:I195"/>
    <mergeCell ref="B187:F187"/>
    <mergeCell ref="G187:I187"/>
    <mergeCell ref="B189:C189"/>
    <mergeCell ref="D189:I189"/>
    <mergeCell ref="B190:I190"/>
    <mergeCell ref="B191:I192"/>
    <mergeCell ref="B200:I200"/>
    <mergeCell ref="B201:I202"/>
    <mergeCell ref="B203:D203"/>
    <mergeCell ref="G203:I203"/>
    <mergeCell ref="B204:F204"/>
    <mergeCell ref="G204:I204"/>
    <mergeCell ref="B196:F196"/>
    <mergeCell ref="G196:I196"/>
    <mergeCell ref="B197:F197"/>
    <mergeCell ref="G197:I197"/>
    <mergeCell ref="B199:C199"/>
    <mergeCell ref="D199:I199"/>
    <mergeCell ref="B209:C209"/>
    <mergeCell ref="D209:I209"/>
    <mergeCell ref="B210:I210"/>
    <mergeCell ref="B211:I212"/>
    <mergeCell ref="B213:D213"/>
    <mergeCell ref="G213:I213"/>
    <mergeCell ref="B205:F205"/>
    <mergeCell ref="G205:I205"/>
    <mergeCell ref="B206:F206"/>
    <mergeCell ref="G206:I206"/>
    <mergeCell ref="B207:F207"/>
    <mergeCell ref="G207:I207"/>
    <mergeCell ref="B217:F217"/>
    <mergeCell ref="G217:I217"/>
    <mergeCell ref="B219:C219"/>
    <mergeCell ref="D219:I219"/>
    <mergeCell ref="B220:I220"/>
    <mergeCell ref="B221:I222"/>
    <mergeCell ref="B214:F214"/>
    <mergeCell ref="G214:I214"/>
    <mergeCell ref="B215:F215"/>
    <mergeCell ref="G215:I215"/>
    <mergeCell ref="B216:F216"/>
    <mergeCell ref="G216:I216"/>
    <mergeCell ref="B226:F226"/>
    <mergeCell ref="G226:I226"/>
    <mergeCell ref="B227:F227"/>
    <mergeCell ref="G227:I227"/>
    <mergeCell ref="B229:C229"/>
    <mergeCell ref="D229:I229"/>
    <mergeCell ref="B223:D223"/>
    <mergeCell ref="G223:I223"/>
    <mergeCell ref="B224:F224"/>
    <mergeCell ref="G224:I224"/>
    <mergeCell ref="B225:F225"/>
    <mergeCell ref="G225:I225"/>
    <mergeCell ref="B235:F235"/>
    <mergeCell ref="G235:I235"/>
    <mergeCell ref="B236:F236"/>
    <mergeCell ref="G236:I236"/>
    <mergeCell ref="B237:F237"/>
    <mergeCell ref="G237:I237"/>
    <mergeCell ref="B230:I230"/>
    <mergeCell ref="B231:I232"/>
    <mergeCell ref="B233:D233"/>
    <mergeCell ref="G233:I233"/>
    <mergeCell ref="B234:F234"/>
    <mergeCell ref="G234:I234"/>
    <mergeCell ref="B244:F244"/>
    <mergeCell ref="G244:I244"/>
    <mergeCell ref="B245:F245"/>
    <mergeCell ref="G245:I245"/>
    <mergeCell ref="B246:F246"/>
    <mergeCell ref="G246:I246"/>
    <mergeCell ref="B239:C239"/>
    <mergeCell ref="D239:I239"/>
    <mergeCell ref="B240:I240"/>
    <mergeCell ref="B241:I242"/>
    <mergeCell ref="B243:D243"/>
    <mergeCell ref="G243:I243"/>
    <mergeCell ref="B253:D253"/>
    <mergeCell ref="G253:I253"/>
    <mergeCell ref="B254:F254"/>
    <mergeCell ref="G254:I254"/>
    <mergeCell ref="B255:F255"/>
    <mergeCell ref="G255:I255"/>
    <mergeCell ref="B247:F247"/>
    <mergeCell ref="G247:I247"/>
    <mergeCell ref="B249:C249"/>
    <mergeCell ref="D249:I249"/>
    <mergeCell ref="B250:I250"/>
    <mergeCell ref="B251:I252"/>
    <mergeCell ref="B260:I260"/>
    <mergeCell ref="B261:I262"/>
    <mergeCell ref="B263:D263"/>
    <mergeCell ref="G263:I263"/>
    <mergeCell ref="B264:F264"/>
    <mergeCell ref="G264:I264"/>
    <mergeCell ref="B256:F256"/>
    <mergeCell ref="G256:I256"/>
    <mergeCell ref="B257:F257"/>
    <mergeCell ref="G257:I257"/>
    <mergeCell ref="B259:C259"/>
    <mergeCell ref="D259:I259"/>
    <mergeCell ref="B269:C269"/>
    <mergeCell ref="D269:I269"/>
    <mergeCell ref="B270:I270"/>
    <mergeCell ref="B271:I272"/>
    <mergeCell ref="B273:D273"/>
    <mergeCell ref="G273:I273"/>
    <mergeCell ref="B265:F265"/>
    <mergeCell ref="G265:I265"/>
    <mergeCell ref="B266:F266"/>
    <mergeCell ref="G266:I266"/>
    <mergeCell ref="B267:F267"/>
    <mergeCell ref="G267:I267"/>
    <mergeCell ref="B277:F277"/>
    <mergeCell ref="G277:I277"/>
    <mergeCell ref="B279:C279"/>
    <mergeCell ref="D279:I279"/>
    <mergeCell ref="B280:I280"/>
    <mergeCell ref="B281:I282"/>
    <mergeCell ref="B274:F274"/>
    <mergeCell ref="G274:I274"/>
    <mergeCell ref="B275:F275"/>
    <mergeCell ref="G275:I275"/>
    <mergeCell ref="B276:F276"/>
    <mergeCell ref="G276:I276"/>
    <mergeCell ref="B286:F286"/>
    <mergeCell ref="G286:I286"/>
    <mergeCell ref="B287:F287"/>
    <mergeCell ref="G287:I287"/>
    <mergeCell ref="B289:C289"/>
    <mergeCell ref="D289:I289"/>
    <mergeCell ref="B283:D283"/>
    <mergeCell ref="G283:I283"/>
    <mergeCell ref="B284:F284"/>
    <mergeCell ref="G284:I284"/>
    <mergeCell ref="B285:F285"/>
    <mergeCell ref="G285:I285"/>
    <mergeCell ref="B295:F295"/>
    <mergeCell ref="G295:I295"/>
    <mergeCell ref="B296:F296"/>
    <mergeCell ref="G296:I296"/>
    <mergeCell ref="B297:F297"/>
    <mergeCell ref="G297:I297"/>
    <mergeCell ref="B290:I290"/>
    <mergeCell ref="B291:I292"/>
    <mergeCell ref="B293:D293"/>
    <mergeCell ref="G293:I293"/>
    <mergeCell ref="B294:F294"/>
    <mergeCell ref="G294:I294"/>
    <mergeCell ref="B304:F304"/>
    <mergeCell ref="G304:I304"/>
    <mergeCell ref="B305:F305"/>
    <mergeCell ref="G305:I305"/>
    <mergeCell ref="B306:F306"/>
    <mergeCell ref="G306:I306"/>
    <mergeCell ref="B299:C299"/>
    <mergeCell ref="D299:I299"/>
    <mergeCell ref="B300:I300"/>
    <mergeCell ref="B301:I302"/>
    <mergeCell ref="B303:D303"/>
    <mergeCell ref="G303:I303"/>
    <mergeCell ref="B313:D313"/>
    <mergeCell ref="G313:I313"/>
    <mergeCell ref="B314:F314"/>
    <mergeCell ref="G314:I314"/>
    <mergeCell ref="B315:F315"/>
    <mergeCell ref="G315:I315"/>
    <mergeCell ref="B307:F307"/>
    <mergeCell ref="G307:I307"/>
    <mergeCell ref="B309:C309"/>
    <mergeCell ref="D309:I309"/>
    <mergeCell ref="B310:I310"/>
    <mergeCell ref="B311:I312"/>
    <mergeCell ref="B320:I320"/>
    <mergeCell ref="B321:I322"/>
    <mergeCell ref="B323:D323"/>
    <mergeCell ref="G323:I323"/>
    <mergeCell ref="B324:F324"/>
    <mergeCell ref="G324:I324"/>
    <mergeCell ref="B316:F316"/>
    <mergeCell ref="G316:I316"/>
    <mergeCell ref="B317:F317"/>
    <mergeCell ref="G317:I317"/>
    <mergeCell ref="B319:C319"/>
    <mergeCell ref="D319:I319"/>
    <mergeCell ref="B329:C329"/>
    <mergeCell ref="D329:I329"/>
    <mergeCell ref="B330:I330"/>
    <mergeCell ref="B331:I332"/>
    <mergeCell ref="B333:D333"/>
    <mergeCell ref="G333:I333"/>
    <mergeCell ref="B325:F325"/>
    <mergeCell ref="G325:I325"/>
    <mergeCell ref="B326:F326"/>
    <mergeCell ref="G326:I326"/>
    <mergeCell ref="B327:F327"/>
    <mergeCell ref="G327:I327"/>
    <mergeCell ref="B337:F337"/>
    <mergeCell ref="G337:I337"/>
    <mergeCell ref="B339:C339"/>
    <mergeCell ref="D339:I339"/>
    <mergeCell ref="B340:I340"/>
    <mergeCell ref="B341:I342"/>
    <mergeCell ref="B334:F334"/>
    <mergeCell ref="G334:I334"/>
    <mergeCell ref="B335:F335"/>
    <mergeCell ref="G335:I335"/>
    <mergeCell ref="B336:F336"/>
    <mergeCell ref="G336:I336"/>
    <mergeCell ref="B346:F346"/>
    <mergeCell ref="G346:I346"/>
    <mergeCell ref="B347:F347"/>
    <mergeCell ref="G347:I347"/>
    <mergeCell ref="B349:C349"/>
    <mergeCell ref="D349:I349"/>
    <mergeCell ref="B343:D343"/>
    <mergeCell ref="G343:I343"/>
    <mergeCell ref="B344:F344"/>
    <mergeCell ref="G344:I344"/>
    <mergeCell ref="B345:F345"/>
    <mergeCell ref="G345:I345"/>
    <mergeCell ref="B355:F355"/>
    <mergeCell ref="G355:I355"/>
    <mergeCell ref="B356:F356"/>
    <mergeCell ref="G356:I356"/>
    <mergeCell ref="B357:F357"/>
    <mergeCell ref="G357:I357"/>
    <mergeCell ref="B350:I350"/>
    <mergeCell ref="B351:I352"/>
    <mergeCell ref="B353:D353"/>
    <mergeCell ref="G353:I353"/>
    <mergeCell ref="B354:F354"/>
    <mergeCell ref="G354:I354"/>
    <mergeCell ref="B364:F364"/>
    <mergeCell ref="G364:I364"/>
    <mergeCell ref="B365:F365"/>
    <mergeCell ref="G365:I365"/>
    <mergeCell ref="B366:F366"/>
    <mergeCell ref="G366:I366"/>
    <mergeCell ref="B359:C359"/>
    <mergeCell ref="D359:I359"/>
    <mergeCell ref="B360:I360"/>
    <mergeCell ref="B361:I362"/>
    <mergeCell ref="B363:D363"/>
    <mergeCell ref="G363:I363"/>
    <mergeCell ref="B373:D373"/>
    <mergeCell ref="G373:I373"/>
    <mergeCell ref="B374:F374"/>
    <mergeCell ref="G374:I374"/>
    <mergeCell ref="B375:F375"/>
    <mergeCell ref="G375:I375"/>
    <mergeCell ref="B367:F367"/>
    <mergeCell ref="G367:I367"/>
    <mergeCell ref="B369:C369"/>
    <mergeCell ref="D369:I369"/>
    <mergeCell ref="B370:I370"/>
    <mergeCell ref="B371:I372"/>
    <mergeCell ref="B383:F383"/>
    <mergeCell ref="G383:I383"/>
    <mergeCell ref="B384:F384"/>
    <mergeCell ref="G384:I384"/>
    <mergeCell ref="B385:F385"/>
    <mergeCell ref="G385:I385"/>
    <mergeCell ref="B376:F376"/>
    <mergeCell ref="G376:I376"/>
    <mergeCell ref="B377:F377"/>
    <mergeCell ref="G377:I377"/>
    <mergeCell ref="A380:I380"/>
    <mergeCell ref="B382:F382"/>
    <mergeCell ref="G382:I382"/>
    <mergeCell ref="B389:F389"/>
    <mergeCell ref="G389:I389"/>
    <mergeCell ref="B390:F390"/>
    <mergeCell ref="G390:I390"/>
    <mergeCell ref="B391:F391"/>
    <mergeCell ref="G391:I391"/>
    <mergeCell ref="B386:F386"/>
    <mergeCell ref="G386:I386"/>
    <mergeCell ref="B387:F387"/>
    <mergeCell ref="G387:I387"/>
    <mergeCell ref="B388:F388"/>
    <mergeCell ref="G388:I388"/>
    <mergeCell ref="B395:F395"/>
    <mergeCell ref="G395:I395"/>
    <mergeCell ref="B396:F396"/>
    <mergeCell ref="G396:I396"/>
    <mergeCell ref="B397:F397"/>
    <mergeCell ref="G397:I397"/>
    <mergeCell ref="B392:F392"/>
    <mergeCell ref="G392:I392"/>
    <mergeCell ref="B393:F393"/>
    <mergeCell ref="G393:I393"/>
    <mergeCell ref="B394:F394"/>
    <mergeCell ref="G394:I394"/>
    <mergeCell ref="B401:F401"/>
    <mergeCell ref="G401:I401"/>
    <mergeCell ref="B402:F402"/>
    <mergeCell ref="G402:I402"/>
    <mergeCell ref="B403:F403"/>
    <mergeCell ref="G403:I403"/>
    <mergeCell ref="B398:F398"/>
    <mergeCell ref="G398:I398"/>
    <mergeCell ref="B399:F399"/>
    <mergeCell ref="G399:I399"/>
    <mergeCell ref="B400:F400"/>
    <mergeCell ref="G400:I400"/>
    <mergeCell ref="B407:F407"/>
    <mergeCell ref="G407:I407"/>
    <mergeCell ref="B408:F408"/>
    <mergeCell ref="G408:I408"/>
    <mergeCell ref="B409:F409"/>
    <mergeCell ref="G409:I409"/>
    <mergeCell ref="B404:F404"/>
    <mergeCell ref="G404:I404"/>
    <mergeCell ref="B405:F405"/>
    <mergeCell ref="G405:I405"/>
    <mergeCell ref="B406:F406"/>
    <mergeCell ref="G406:I406"/>
    <mergeCell ref="B413:F413"/>
    <mergeCell ref="G413:I413"/>
    <mergeCell ref="B414:F414"/>
    <mergeCell ref="G414:I414"/>
    <mergeCell ref="B415:F415"/>
    <mergeCell ref="G415:I415"/>
    <mergeCell ref="B410:F410"/>
    <mergeCell ref="G410:I410"/>
    <mergeCell ref="B411:F411"/>
    <mergeCell ref="G411:I411"/>
    <mergeCell ref="B412:F412"/>
    <mergeCell ref="G412:I412"/>
    <mergeCell ref="B419:F419"/>
    <mergeCell ref="G419:I419"/>
    <mergeCell ref="A421:I425"/>
    <mergeCell ref="A427:I427"/>
    <mergeCell ref="A428:I429"/>
    <mergeCell ref="B416:F416"/>
    <mergeCell ref="G416:I416"/>
    <mergeCell ref="B417:F417"/>
    <mergeCell ref="G417:I417"/>
    <mergeCell ref="B418:F418"/>
    <mergeCell ref="G418:I418"/>
  </mergeCells>
  <dataValidations count="3">
    <dataValidation type="list" operator="equal" allowBlank="1" showErrorMessage="1" errorTitle="Atenção," error="Esta célula somente admite a entrada de um dos seguintes valores:_x000a__x000a_Terreno à venda_x000a_Negociação concluída" sqref="B13 B23 B33 B43 B63 B53 B73 B83 B93 B103 B113 B133 B123 B143 B153 B163 B173 B183 B203 B193 B213 B223 B233 B243 B253 B273 B263 B283 B293 B303 B313 B323 B343 B333 B353 B363 B373" xr:uid="{8B23CEAE-F751-41F5-8444-54CF1830D5CA}">
      <formula1>$K$7:$K$8</formula1>
      <formula2>0</formula2>
    </dataValidation>
    <dataValidation type="list" operator="equal" allowBlank="1" sqref="D9:J9 D19:J19 D99:J99 D39:J39 D49:J49 D79:J79 D89:J89 D129:I129 D69:I69 D119:J119 D149:J149 D159:J159 D169:J169 D109:J109 D189:J189 D219:J219 D229:J229 D239:J239 D179:J179 D259:J259 D289:J289 D299:J299 D249:J249 D309:J309 D329:J329 D359:J359 D369:J369 D29:J29 D279:I279 D199:I199 D319:J319" xr:uid="{D0787FA7-6A5D-4466-8619-8AE17385A0AD}">
      <formula1>#REF!</formula1>
    </dataValidation>
    <dataValidation type="list" operator="equal" allowBlank="1" sqref="D59 D349 D269 D139 D339 D209" xr:uid="{6CE67A02-FE2B-4419-8007-3401E57D4DB3}">
      <formula1>#REF!</formula1>
      <formula2>0</formula2>
    </dataValidation>
  </dataValidations>
  <pageMargins left="0.511811024" right="0.511811024" top="0.78740157499999996" bottom="0.78740157499999996" header="0.31496062000000002" footer="0.31496062000000002"/>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6E2F8-CBDA-4065-B2E0-488D4A9CC820}">
  <sheetPr>
    <pageSetUpPr fitToPage="1"/>
  </sheetPr>
  <dimension ref="A1:BN383"/>
  <sheetViews>
    <sheetView tabSelected="1" zoomScaleNormal="100" workbookViewId="0"/>
  </sheetViews>
  <sheetFormatPr defaultColWidth="4.75" defaultRowHeight="20.100000000000001" customHeight="1" x14ac:dyDescent="0.25"/>
  <cols>
    <col min="1" max="18" width="6.625" style="29" customWidth="1"/>
    <col min="19" max="21" width="25.625" style="60" customWidth="1"/>
    <col min="22" max="24" width="20.625" style="61" customWidth="1"/>
    <col min="25" max="128" width="4.75" style="61" customWidth="1"/>
    <col min="129" max="16384" width="4.75" style="61"/>
  </cols>
  <sheetData>
    <row r="1" spans="1:18" ht="140.1" customHeight="1" x14ac:dyDescent="0.25">
      <c r="A1" s="59"/>
      <c r="B1" s="59"/>
      <c r="C1" s="59"/>
      <c r="D1" s="59"/>
      <c r="E1" s="59"/>
      <c r="F1" s="59"/>
      <c r="G1" s="59"/>
      <c r="H1" s="59"/>
      <c r="I1" s="59"/>
      <c r="J1" s="59"/>
      <c r="K1" s="59"/>
      <c r="L1" s="59"/>
      <c r="M1" s="59"/>
      <c r="N1" s="59"/>
      <c r="O1" s="59"/>
      <c r="P1" s="59"/>
      <c r="Q1" s="59"/>
      <c r="R1" s="59"/>
    </row>
    <row r="2" spans="1:18" ht="5.0999999999999996" customHeight="1" x14ac:dyDescent="0.25"/>
    <row r="3" spans="1:18" ht="5.0999999999999996" customHeight="1" x14ac:dyDescent="0.25">
      <c r="A3" s="59"/>
      <c r="B3" s="59"/>
      <c r="C3" s="59"/>
      <c r="D3" s="59"/>
      <c r="E3" s="59"/>
      <c r="F3" s="59"/>
      <c r="G3" s="59"/>
      <c r="H3" s="59"/>
      <c r="I3" s="59"/>
      <c r="J3" s="59"/>
      <c r="K3" s="59"/>
      <c r="L3" s="59"/>
      <c r="M3" s="59"/>
      <c r="N3" s="59"/>
      <c r="O3" s="59"/>
      <c r="P3" s="59"/>
      <c r="Q3" s="59"/>
      <c r="R3" s="59"/>
    </row>
    <row r="5" spans="1:18" ht="20.100000000000001" customHeight="1" x14ac:dyDescent="0.25">
      <c r="A5" s="125" t="s">
        <v>263</v>
      </c>
      <c r="B5" s="125"/>
      <c r="C5" s="125"/>
      <c r="D5" s="125"/>
      <c r="E5" s="125"/>
      <c r="F5" s="125"/>
      <c r="G5" s="125"/>
      <c r="H5" s="125"/>
      <c r="I5" s="125"/>
      <c r="J5" s="125"/>
      <c r="K5" s="125"/>
      <c r="L5" s="125"/>
      <c r="M5" s="125"/>
      <c r="N5" s="125"/>
      <c r="O5" s="125"/>
      <c r="P5" s="125"/>
      <c r="Q5" s="125"/>
      <c r="R5" s="125"/>
    </row>
    <row r="7" spans="1:18" ht="20.100000000000001" customHeight="1" x14ac:dyDescent="0.25">
      <c r="A7" s="125" t="s">
        <v>250</v>
      </c>
      <c r="B7" s="125"/>
      <c r="C7" s="125"/>
      <c r="D7" s="125"/>
      <c r="E7" s="125"/>
      <c r="F7" s="125"/>
      <c r="G7" s="125"/>
      <c r="H7" s="125"/>
      <c r="I7" s="125"/>
      <c r="J7" s="125"/>
      <c r="K7" s="125"/>
      <c r="L7" s="125"/>
      <c r="M7" s="125"/>
      <c r="N7" s="125"/>
      <c r="O7" s="125"/>
      <c r="P7" s="125"/>
      <c r="Q7" s="125"/>
      <c r="R7" s="125"/>
    </row>
    <row r="9" spans="1:18" ht="39.950000000000003" customHeight="1" x14ac:dyDescent="0.25">
      <c r="A9" s="140" t="s">
        <v>268</v>
      </c>
      <c r="B9" s="140"/>
      <c r="C9" s="140"/>
      <c r="D9" s="140"/>
      <c r="E9" s="140"/>
      <c r="F9" s="140"/>
      <c r="G9" s="140"/>
      <c r="H9" s="140"/>
      <c r="I9" s="140"/>
      <c r="J9" s="140"/>
      <c r="K9" s="140"/>
      <c r="L9" s="140"/>
      <c r="M9" s="140"/>
      <c r="N9" s="140"/>
      <c r="O9" s="140"/>
      <c r="P9" s="140"/>
      <c r="Q9" s="140"/>
      <c r="R9" s="140"/>
    </row>
    <row r="10" spans="1:18" ht="20.100000000000001" customHeight="1" x14ac:dyDescent="0.25">
      <c r="A10" s="139" t="s">
        <v>18</v>
      </c>
      <c r="B10" s="139"/>
      <c r="C10" s="139" t="s">
        <v>89</v>
      </c>
      <c r="D10" s="139"/>
      <c r="E10" s="139"/>
      <c r="F10" s="139"/>
      <c r="G10" s="139"/>
      <c r="H10" s="139"/>
      <c r="I10" s="139"/>
      <c r="J10" s="139" t="s">
        <v>90</v>
      </c>
      <c r="K10" s="139"/>
      <c r="L10" s="139"/>
      <c r="M10" s="139"/>
      <c r="N10" s="139"/>
      <c r="O10" s="139"/>
      <c r="P10" s="139"/>
      <c r="Q10" s="139"/>
      <c r="R10" s="139"/>
    </row>
    <row r="11" spans="1:18" ht="20.100000000000001" customHeight="1" x14ac:dyDescent="0.25">
      <c r="A11" s="141">
        <v>2</v>
      </c>
      <c r="B11" s="141"/>
      <c r="C11" s="141" t="s">
        <v>267</v>
      </c>
      <c r="D11" s="141"/>
      <c r="E11" s="141"/>
      <c r="F11" s="141"/>
      <c r="G11" s="141"/>
      <c r="H11" s="141"/>
      <c r="I11" s="141"/>
      <c r="J11" s="142" t="s">
        <v>93</v>
      </c>
      <c r="K11" s="143"/>
      <c r="L11" s="144"/>
      <c r="M11" s="141" t="s">
        <v>94</v>
      </c>
      <c r="N11" s="141"/>
      <c r="O11" s="141"/>
      <c r="P11" s="145" t="s">
        <v>84</v>
      </c>
      <c r="Q11" s="146"/>
      <c r="R11" s="147"/>
    </row>
    <row r="12" spans="1:18" ht="20.100000000000001" customHeight="1" x14ac:dyDescent="0.25">
      <c r="A12" s="141"/>
      <c r="B12" s="141"/>
      <c r="C12" s="141"/>
      <c r="D12" s="141"/>
      <c r="E12" s="141"/>
      <c r="F12" s="141"/>
      <c r="G12" s="141"/>
      <c r="H12" s="141"/>
      <c r="I12" s="141"/>
      <c r="J12" s="142">
        <v>12</v>
      </c>
      <c r="K12" s="143"/>
      <c r="L12" s="144"/>
      <c r="M12" s="141">
        <v>5</v>
      </c>
      <c r="N12" s="141"/>
      <c r="O12" s="141"/>
      <c r="P12" s="145">
        <v>3</v>
      </c>
      <c r="Q12" s="146"/>
      <c r="R12" s="147"/>
    </row>
    <row r="15" spans="1:18" ht="20.100000000000001" customHeight="1" x14ac:dyDescent="0.25">
      <c r="A15" s="125" t="s">
        <v>270</v>
      </c>
      <c r="B15" s="125"/>
      <c r="C15" s="125"/>
      <c r="D15" s="125"/>
      <c r="E15" s="125"/>
      <c r="F15" s="125"/>
      <c r="G15" s="125"/>
      <c r="H15" s="125"/>
      <c r="I15" s="125"/>
      <c r="J15" s="125"/>
      <c r="K15" s="125"/>
      <c r="L15" s="125"/>
      <c r="M15" s="125"/>
      <c r="N15" s="125"/>
      <c r="O15" s="125"/>
      <c r="P15" s="125"/>
      <c r="Q15" s="125"/>
      <c r="R15" s="125"/>
    </row>
    <row r="17" spans="1:21" ht="39.950000000000003" customHeight="1" thickBot="1" x14ac:dyDescent="0.3">
      <c r="A17" s="62" t="s">
        <v>18</v>
      </c>
      <c r="B17" s="118" t="s">
        <v>271</v>
      </c>
      <c r="C17" s="118"/>
      <c r="D17" s="118"/>
      <c r="E17" s="118" t="s">
        <v>19</v>
      </c>
      <c r="F17" s="118"/>
      <c r="G17" s="118"/>
      <c r="H17" s="118" t="s">
        <v>20</v>
      </c>
      <c r="I17" s="118"/>
      <c r="J17" s="118"/>
      <c r="K17" s="118" t="s">
        <v>248</v>
      </c>
      <c r="L17" s="118"/>
      <c r="M17" s="118"/>
      <c r="N17" s="118" t="s">
        <v>21</v>
      </c>
      <c r="O17" s="118"/>
      <c r="P17" s="118" t="s">
        <v>22</v>
      </c>
      <c r="Q17" s="118"/>
      <c r="R17" s="118"/>
      <c r="T17" s="173" t="s">
        <v>14</v>
      </c>
      <c r="U17" s="173"/>
    </row>
    <row r="18" spans="1:21" ht="20.100000000000001" customHeight="1" x14ac:dyDescent="0.25">
      <c r="A18" s="63">
        <v>1</v>
      </c>
      <c r="B18" s="124">
        <v>200000</v>
      </c>
      <c r="C18" s="124"/>
      <c r="D18" s="124"/>
      <c r="E18" s="124">
        <v>360</v>
      </c>
      <c r="F18" s="124"/>
      <c r="G18" s="124"/>
      <c r="H18" s="124">
        <f>B18/E18</f>
        <v>555.55555555555554</v>
      </c>
      <c r="I18" s="124"/>
      <c r="J18" s="124"/>
      <c r="K18" s="120" t="s">
        <v>333</v>
      </c>
      <c r="L18" s="120"/>
      <c r="M18" s="120"/>
      <c r="N18" s="172">
        <f>VLOOKUP(K18,$T$19:$U$20,2,0)</f>
        <v>0.9</v>
      </c>
      <c r="O18" s="172"/>
      <c r="P18" s="122">
        <f>H18*N18</f>
        <v>500</v>
      </c>
      <c r="Q18" s="122"/>
      <c r="R18" s="122"/>
      <c r="T18" s="65" t="s">
        <v>334</v>
      </c>
      <c r="U18" s="65" t="s">
        <v>16</v>
      </c>
    </row>
    <row r="19" spans="1:21" ht="20.100000000000001" customHeight="1" x14ac:dyDescent="0.25">
      <c r="A19" s="66">
        <v>2</v>
      </c>
      <c r="B19" s="138">
        <v>180000</v>
      </c>
      <c r="C19" s="138"/>
      <c r="D19" s="138"/>
      <c r="E19" s="138">
        <v>280</v>
      </c>
      <c r="F19" s="138"/>
      <c r="G19" s="138"/>
      <c r="H19" s="138">
        <f>B19/E19</f>
        <v>642.85714285714289</v>
      </c>
      <c r="I19" s="138"/>
      <c r="J19" s="138"/>
      <c r="K19" s="121" t="s">
        <v>333</v>
      </c>
      <c r="L19" s="121"/>
      <c r="M19" s="121"/>
      <c r="N19" s="161">
        <f>VLOOKUP(K19,$T$19:$U$20,2,0)</f>
        <v>0.9</v>
      </c>
      <c r="O19" s="161"/>
      <c r="P19" s="138">
        <f>H19*N19</f>
        <v>578.57142857142867</v>
      </c>
      <c r="Q19" s="138"/>
      <c r="R19" s="138"/>
      <c r="T19" s="68" t="s">
        <v>333</v>
      </c>
      <c r="U19" s="69">
        <v>0.9</v>
      </c>
    </row>
    <row r="20" spans="1:21" ht="20.100000000000001" customHeight="1" x14ac:dyDescent="0.25">
      <c r="A20" s="66">
        <v>3</v>
      </c>
      <c r="B20" s="138">
        <v>190000</v>
      </c>
      <c r="C20" s="138"/>
      <c r="D20" s="138"/>
      <c r="E20" s="138">
        <v>300</v>
      </c>
      <c r="F20" s="138"/>
      <c r="G20" s="138"/>
      <c r="H20" s="138">
        <f>B20/E20</f>
        <v>633.33333333333337</v>
      </c>
      <c r="I20" s="138"/>
      <c r="J20" s="138"/>
      <c r="K20" s="121" t="s">
        <v>333</v>
      </c>
      <c r="L20" s="121"/>
      <c r="M20" s="121"/>
      <c r="N20" s="161">
        <f>VLOOKUP(K20,$T$19:$U$20,2,0)</f>
        <v>0.9</v>
      </c>
      <c r="O20" s="161"/>
      <c r="P20" s="138">
        <f>H20*N20</f>
        <v>570</v>
      </c>
      <c r="Q20" s="138"/>
      <c r="R20" s="138"/>
      <c r="T20" s="68" t="s">
        <v>17</v>
      </c>
      <c r="U20" s="69">
        <v>1</v>
      </c>
    </row>
    <row r="22" spans="1:21" ht="20.100000000000001" customHeight="1" x14ac:dyDescent="0.25">
      <c r="L22" s="119" t="s">
        <v>36</v>
      </c>
      <c r="M22" s="119"/>
      <c r="N22" s="119"/>
      <c r="O22" s="119"/>
      <c r="P22" s="122">
        <f>AVERAGE(P18:R20)</f>
        <v>549.52380952380952</v>
      </c>
      <c r="Q22" s="122"/>
      <c r="R22" s="122"/>
    </row>
    <row r="23" spans="1:21" ht="20.100000000000001" customHeight="1" x14ac:dyDescent="0.25">
      <c r="L23" s="120" t="s">
        <v>37</v>
      </c>
      <c r="M23" s="120"/>
      <c r="N23" s="120"/>
      <c r="O23" s="120"/>
      <c r="P23" s="122">
        <f>STDEVA(P18:R20)</f>
        <v>43.102472426204315</v>
      </c>
      <c r="Q23" s="122"/>
      <c r="R23" s="122"/>
    </row>
    <row r="24" spans="1:21" ht="20.100000000000001" customHeight="1" x14ac:dyDescent="0.25">
      <c r="L24" s="121" t="s">
        <v>35</v>
      </c>
      <c r="M24" s="121"/>
      <c r="N24" s="121"/>
      <c r="O24" s="121"/>
      <c r="P24" s="123">
        <f>P23/P22</f>
        <v>7.8436041676801613E-2</v>
      </c>
      <c r="Q24" s="123"/>
      <c r="R24" s="123"/>
    </row>
    <row r="27" spans="1:21" ht="20.100000000000001" customHeight="1" x14ac:dyDescent="0.25">
      <c r="A27" s="125" t="s">
        <v>29</v>
      </c>
      <c r="B27" s="125"/>
      <c r="C27" s="125"/>
      <c r="D27" s="125"/>
      <c r="E27" s="125"/>
      <c r="F27" s="125"/>
      <c r="G27" s="125"/>
      <c r="H27" s="125"/>
      <c r="I27" s="125"/>
      <c r="J27" s="125"/>
      <c r="K27" s="125"/>
      <c r="L27" s="125"/>
      <c r="M27" s="125"/>
      <c r="N27" s="125"/>
      <c r="O27" s="125"/>
      <c r="P27" s="125"/>
      <c r="Q27" s="125"/>
      <c r="R27" s="125"/>
    </row>
    <row r="29" spans="1:21" ht="80.099999999999994" customHeight="1" x14ac:dyDescent="0.25">
      <c r="A29" s="117" t="s">
        <v>87</v>
      </c>
      <c r="B29" s="117"/>
      <c r="C29" s="117"/>
      <c r="D29" s="117"/>
      <c r="E29" s="117"/>
      <c r="F29" s="117"/>
      <c r="G29" s="117"/>
      <c r="H29" s="117"/>
      <c r="I29" s="117"/>
      <c r="J29" s="117"/>
      <c r="K29" s="117"/>
      <c r="L29" s="117"/>
      <c r="M29" s="117"/>
      <c r="N29" s="117"/>
      <c r="O29" s="117"/>
      <c r="P29" s="117"/>
      <c r="Q29" s="117"/>
      <c r="R29" s="117"/>
    </row>
    <row r="31" spans="1:21" ht="20.100000000000001" customHeight="1" x14ac:dyDescent="0.25">
      <c r="A31" s="118" t="s">
        <v>23</v>
      </c>
      <c r="B31" s="118"/>
      <c r="C31" s="118"/>
      <c r="D31" s="118"/>
      <c r="E31" s="118"/>
      <c r="F31" s="118"/>
      <c r="G31" s="118"/>
      <c r="H31" s="118" t="s">
        <v>88</v>
      </c>
      <c r="I31" s="118"/>
      <c r="J31" s="118" t="s">
        <v>330</v>
      </c>
      <c r="K31" s="118"/>
      <c r="L31" s="118"/>
      <c r="M31" s="118"/>
      <c r="N31" s="118"/>
      <c r="O31" s="126" t="s">
        <v>332</v>
      </c>
      <c r="P31" s="126"/>
      <c r="Q31" s="126"/>
      <c r="R31" s="126"/>
    </row>
    <row r="32" spans="1:21" ht="20.100000000000001" customHeight="1" x14ac:dyDescent="0.25">
      <c r="A32" s="121" t="s">
        <v>24</v>
      </c>
      <c r="B32" s="121"/>
      <c r="C32" s="121"/>
      <c r="D32" s="121"/>
      <c r="E32" s="121"/>
      <c r="F32" s="121"/>
      <c r="G32" s="121"/>
      <c r="H32" s="133" t="s">
        <v>347</v>
      </c>
      <c r="I32" s="133"/>
      <c r="J32" s="121" t="s">
        <v>331</v>
      </c>
      <c r="K32" s="121"/>
      <c r="L32" s="121"/>
      <c r="M32" s="121"/>
      <c r="N32" s="121"/>
      <c r="O32" s="138">
        <v>1</v>
      </c>
      <c r="P32" s="138"/>
      <c r="Q32" s="138"/>
      <c r="R32" s="138"/>
    </row>
    <row r="33" spans="1:18" ht="20.100000000000001" customHeight="1" x14ac:dyDescent="0.25">
      <c r="A33" s="121" t="s">
        <v>27</v>
      </c>
      <c r="B33" s="121"/>
      <c r="C33" s="121"/>
      <c r="D33" s="121"/>
      <c r="E33" s="121"/>
      <c r="F33" s="121"/>
      <c r="G33" s="121"/>
      <c r="H33" s="143" t="s">
        <v>348</v>
      </c>
      <c r="I33" s="143"/>
      <c r="J33" s="121" t="s">
        <v>327</v>
      </c>
      <c r="K33" s="121"/>
      <c r="L33" s="121"/>
      <c r="M33" s="121"/>
      <c r="N33" s="121"/>
      <c r="O33" s="138">
        <v>1</v>
      </c>
      <c r="P33" s="138"/>
      <c r="Q33" s="138"/>
      <c r="R33" s="138"/>
    </row>
    <row r="34" spans="1:18" ht="20.100000000000001" customHeight="1" x14ac:dyDescent="0.25">
      <c r="A34" s="121" t="s">
        <v>28</v>
      </c>
      <c r="B34" s="121"/>
      <c r="C34" s="121"/>
      <c r="D34" s="121"/>
      <c r="E34" s="121"/>
      <c r="F34" s="121"/>
      <c r="G34" s="121"/>
      <c r="H34" s="143" t="s">
        <v>349</v>
      </c>
      <c r="I34" s="143"/>
      <c r="J34" s="121" t="s">
        <v>326</v>
      </c>
      <c r="K34" s="121"/>
      <c r="L34" s="121"/>
      <c r="M34" s="121"/>
      <c r="N34" s="121"/>
      <c r="O34" s="138">
        <v>1</v>
      </c>
      <c r="P34" s="138"/>
      <c r="Q34" s="138"/>
      <c r="R34" s="138"/>
    </row>
    <row r="35" spans="1:18" ht="20.100000000000001" customHeight="1" x14ac:dyDescent="0.25">
      <c r="A35" s="121" t="s">
        <v>25</v>
      </c>
      <c r="B35" s="121"/>
      <c r="C35" s="121"/>
      <c r="D35" s="121"/>
      <c r="E35" s="121"/>
      <c r="F35" s="121"/>
      <c r="G35" s="121"/>
      <c r="H35" s="143" t="s">
        <v>350</v>
      </c>
      <c r="I35" s="143"/>
      <c r="J35" s="121" t="s">
        <v>328</v>
      </c>
      <c r="K35" s="121"/>
      <c r="L35" s="121"/>
      <c r="M35" s="121"/>
      <c r="N35" s="121"/>
      <c r="O35" s="138">
        <v>1</v>
      </c>
      <c r="P35" s="138"/>
      <c r="Q35" s="138"/>
      <c r="R35" s="138"/>
    </row>
    <row r="36" spans="1:18" ht="20.100000000000001" customHeight="1" x14ac:dyDescent="0.25">
      <c r="A36" s="121" t="s">
        <v>26</v>
      </c>
      <c r="B36" s="121"/>
      <c r="C36" s="121"/>
      <c r="D36" s="121"/>
      <c r="E36" s="121"/>
      <c r="F36" s="121"/>
      <c r="G36" s="121"/>
      <c r="H36" s="143" t="s">
        <v>351</v>
      </c>
      <c r="I36" s="143"/>
      <c r="J36" s="121" t="s">
        <v>329</v>
      </c>
      <c r="K36" s="121"/>
      <c r="L36" s="121"/>
      <c r="M36" s="121"/>
      <c r="N36" s="121"/>
      <c r="O36" s="138">
        <v>1</v>
      </c>
      <c r="P36" s="138"/>
      <c r="Q36" s="138"/>
      <c r="R36" s="138"/>
    </row>
    <row r="39" spans="1:18" ht="20.100000000000001" customHeight="1" x14ac:dyDescent="0.25">
      <c r="A39" s="126" t="s">
        <v>33</v>
      </c>
      <c r="B39" s="126"/>
      <c r="C39" s="126"/>
      <c r="D39" s="126"/>
      <c r="E39" s="126" t="s">
        <v>34</v>
      </c>
      <c r="F39" s="126"/>
      <c r="G39" s="126"/>
      <c r="H39" s="126"/>
      <c r="I39" s="126"/>
      <c r="J39" s="126" t="s">
        <v>30</v>
      </c>
      <c r="K39" s="126"/>
    </row>
    <row r="40" spans="1:18" ht="20.100000000000001" customHeight="1" x14ac:dyDescent="0.25">
      <c r="A40" s="118"/>
      <c r="B40" s="118"/>
      <c r="C40" s="118"/>
      <c r="D40" s="118"/>
      <c r="E40" s="62" t="s">
        <v>347</v>
      </c>
      <c r="F40" s="62" t="s">
        <v>348</v>
      </c>
      <c r="G40" s="62" t="s">
        <v>349</v>
      </c>
      <c r="H40" s="62" t="s">
        <v>350</v>
      </c>
      <c r="I40" s="62" t="s">
        <v>351</v>
      </c>
      <c r="J40" s="118"/>
      <c r="K40" s="118"/>
    </row>
    <row r="41" spans="1:18" ht="20.100000000000001" customHeight="1" thickBot="1" x14ac:dyDescent="0.3">
      <c r="A41" s="71"/>
      <c r="B41" s="71"/>
      <c r="C41" s="71"/>
      <c r="D41" s="71"/>
      <c r="E41" s="72">
        <v>1</v>
      </c>
      <c r="F41" s="72">
        <v>1</v>
      </c>
      <c r="G41" s="72">
        <v>1</v>
      </c>
      <c r="H41" s="72">
        <v>1</v>
      </c>
      <c r="I41" s="72">
        <v>1</v>
      </c>
      <c r="J41" s="127">
        <f>SUM(E41:I41)-COUNT(E41:I41)+1</f>
        <v>1</v>
      </c>
      <c r="K41" s="127"/>
    </row>
    <row r="43" spans="1:18" ht="39.950000000000003" customHeight="1" x14ac:dyDescent="0.25">
      <c r="A43" s="62" t="s">
        <v>18</v>
      </c>
      <c r="B43" s="118" t="str">
        <f>P17</f>
        <v>Valor unitário ajustado</v>
      </c>
      <c r="C43" s="118"/>
      <c r="D43" s="118"/>
      <c r="E43" s="62" t="s">
        <v>347</v>
      </c>
      <c r="F43" s="62" t="s">
        <v>348</v>
      </c>
      <c r="G43" s="62" t="s">
        <v>349</v>
      </c>
      <c r="H43" s="62" t="s">
        <v>350</v>
      </c>
      <c r="I43" s="62" t="s">
        <v>351</v>
      </c>
      <c r="J43" s="118" t="s">
        <v>30</v>
      </c>
      <c r="K43" s="118"/>
      <c r="L43" s="118" t="s">
        <v>31</v>
      </c>
      <c r="M43" s="118"/>
      <c r="N43" s="118" t="s">
        <v>23</v>
      </c>
      <c r="O43" s="118"/>
      <c r="P43" s="118" t="s">
        <v>32</v>
      </c>
      <c r="Q43" s="118"/>
      <c r="R43" s="118"/>
    </row>
    <row r="44" spans="1:18" ht="20.100000000000001" customHeight="1" x14ac:dyDescent="0.25">
      <c r="A44" s="29">
        <v>1</v>
      </c>
      <c r="B44" s="124">
        <f>P18</f>
        <v>500</v>
      </c>
      <c r="C44" s="124"/>
      <c r="D44" s="124"/>
      <c r="E44" s="64">
        <v>1</v>
      </c>
      <c r="F44" s="64">
        <v>1</v>
      </c>
      <c r="G44" s="64">
        <v>1</v>
      </c>
      <c r="H44" s="64">
        <v>1</v>
      </c>
      <c r="I44" s="64">
        <v>1</v>
      </c>
      <c r="J44" s="124">
        <f>SUM(E44:I44)-COUNT(E44:I44)+1</f>
        <v>1</v>
      </c>
      <c r="K44" s="120"/>
      <c r="L44" s="124">
        <f t="shared" ref="L44:L46" si="0">$J$41</f>
        <v>1</v>
      </c>
      <c r="M44" s="120"/>
      <c r="N44" s="124">
        <f t="shared" ref="N44:N46" si="1">L44/J44</f>
        <v>1</v>
      </c>
      <c r="O44" s="120"/>
      <c r="P44" s="124">
        <f t="shared" ref="P44:P46" si="2">B44*N44</f>
        <v>500</v>
      </c>
      <c r="Q44" s="124"/>
      <c r="R44" s="124"/>
    </row>
    <row r="45" spans="1:18" ht="20.100000000000001" customHeight="1" x14ac:dyDescent="0.25">
      <c r="A45" s="66">
        <v>2</v>
      </c>
      <c r="B45" s="138">
        <f>P19</f>
        <v>578.57142857142867</v>
      </c>
      <c r="C45" s="138"/>
      <c r="D45" s="138"/>
      <c r="E45" s="67">
        <v>1</v>
      </c>
      <c r="F45" s="67">
        <v>1</v>
      </c>
      <c r="G45" s="67">
        <v>1</v>
      </c>
      <c r="H45" s="67">
        <v>1</v>
      </c>
      <c r="I45" s="67">
        <v>1</v>
      </c>
      <c r="J45" s="138">
        <f t="shared" ref="J45:J46" si="3">SUM(E45:I45)-COUNT(E45:I45)+1</f>
        <v>1</v>
      </c>
      <c r="K45" s="121"/>
      <c r="L45" s="138">
        <f t="shared" si="0"/>
        <v>1</v>
      </c>
      <c r="M45" s="121"/>
      <c r="N45" s="138">
        <f t="shared" si="1"/>
        <v>1</v>
      </c>
      <c r="O45" s="121"/>
      <c r="P45" s="138">
        <f t="shared" si="2"/>
        <v>578.57142857142867</v>
      </c>
      <c r="Q45" s="138"/>
      <c r="R45" s="138"/>
    </row>
    <row r="46" spans="1:18" ht="20.100000000000001" customHeight="1" thickBot="1" x14ac:dyDescent="0.3">
      <c r="A46" s="73">
        <v>3</v>
      </c>
      <c r="B46" s="127">
        <f>P20</f>
        <v>570</v>
      </c>
      <c r="C46" s="127"/>
      <c r="D46" s="127"/>
      <c r="E46" s="72">
        <v>1</v>
      </c>
      <c r="F46" s="72">
        <v>1</v>
      </c>
      <c r="G46" s="72">
        <v>1</v>
      </c>
      <c r="H46" s="72">
        <v>1</v>
      </c>
      <c r="I46" s="72">
        <v>1</v>
      </c>
      <c r="J46" s="127">
        <f t="shared" si="3"/>
        <v>1</v>
      </c>
      <c r="K46" s="169"/>
      <c r="L46" s="127">
        <f t="shared" si="0"/>
        <v>1</v>
      </c>
      <c r="M46" s="169"/>
      <c r="N46" s="127">
        <f t="shared" si="1"/>
        <v>1</v>
      </c>
      <c r="O46" s="169"/>
      <c r="P46" s="127">
        <f t="shared" si="2"/>
        <v>570</v>
      </c>
      <c r="Q46" s="127"/>
      <c r="R46" s="127"/>
    </row>
    <row r="48" spans="1:18" ht="20.100000000000001" customHeight="1" x14ac:dyDescent="0.25">
      <c r="E48" s="74"/>
      <c r="F48" s="74"/>
      <c r="G48" s="74"/>
      <c r="H48" s="74"/>
      <c r="I48" s="74"/>
      <c r="L48" s="119" t="s">
        <v>36</v>
      </c>
      <c r="M48" s="119"/>
      <c r="N48" s="119"/>
      <c r="O48" s="119"/>
      <c r="P48" s="122">
        <f>AVERAGE(P44:R46)</f>
        <v>549.52380952380952</v>
      </c>
      <c r="Q48" s="122"/>
      <c r="R48" s="122"/>
    </row>
    <row r="49" spans="1:18" ht="20.100000000000001" customHeight="1" x14ac:dyDescent="0.25">
      <c r="E49" s="64"/>
      <c r="L49" s="120" t="s">
        <v>37</v>
      </c>
      <c r="M49" s="120"/>
      <c r="N49" s="120"/>
      <c r="O49" s="120"/>
      <c r="P49" s="122">
        <f>STDEVA(P44:R46)</f>
        <v>43.102472426204315</v>
      </c>
      <c r="Q49" s="122"/>
      <c r="R49" s="122"/>
    </row>
    <row r="50" spans="1:18" ht="20.100000000000001" customHeight="1" x14ac:dyDescent="0.25">
      <c r="H50" s="75"/>
      <c r="L50" s="121" t="s">
        <v>35</v>
      </c>
      <c r="M50" s="121"/>
      <c r="N50" s="121"/>
      <c r="O50" s="121"/>
      <c r="P50" s="123">
        <f>P49/P48</f>
        <v>7.8436041676801613E-2</v>
      </c>
      <c r="Q50" s="123"/>
      <c r="R50" s="123"/>
    </row>
    <row r="51" spans="1:18" ht="20.100000000000001" customHeight="1" x14ac:dyDescent="0.25">
      <c r="I51" s="76"/>
    </row>
    <row r="52" spans="1:18" ht="20.100000000000001" customHeight="1" x14ac:dyDescent="0.25">
      <c r="I52" s="76"/>
    </row>
    <row r="53" spans="1:18" ht="20.100000000000001" customHeight="1" x14ac:dyDescent="0.25">
      <c r="A53" s="120" t="s">
        <v>101</v>
      </c>
      <c r="B53" s="120"/>
      <c r="C53" s="120"/>
      <c r="D53" s="120"/>
      <c r="E53" s="120"/>
      <c r="F53" s="120"/>
      <c r="G53" s="120"/>
      <c r="H53" s="120"/>
      <c r="I53" s="120"/>
      <c r="J53" s="120"/>
      <c r="K53" s="120"/>
      <c r="L53" s="120"/>
      <c r="M53" s="120"/>
      <c r="N53" s="120"/>
      <c r="O53" s="120"/>
      <c r="P53" s="120"/>
      <c r="Q53" s="120"/>
      <c r="R53" s="120"/>
    </row>
    <row r="54" spans="1:18" ht="20.100000000000001" customHeight="1" x14ac:dyDescent="0.25">
      <c r="I54" s="76"/>
    </row>
    <row r="55" spans="1:18" ht="20.100000000000001" customHeight="1" x14ac:dyDescent="0.25">
      <c r="I55" s="76"/>
    </row>
    <row r="56" spans="1:18" ht="20.100000000000001" customHeight="1" x14ac:dyDescent="0.25">
      <c r="I56" s="76"/>
    </row>
    <row r="57" spans="1:18" ht="20.100000000000001" customHeight="1" x14ac:dyDescent="0.25">
      <c r="I57" s="76"/>
    </row>
    <row r="58" spans="1:18" ht="20.100000000000001" customHeight="1" x14ac:dyDescent="0.25">
      <c r="I58" s="76"/>
    </row>
    <row r="59" spans="1:18" ht="20.100000000000001" customHeight="1" x14ac:dyDescent="0.25">
      <c r="I59" s="76"/>
    </row>
    <row r="60" spans="1:18" ht="20.100000000000001" customHeight="1" x14ac:dyDescent="0.25">
      <c r="I60" s="76"/>
    </row>
    <row r="61" spans="1:18" ht="20.100000000000001" customHeight="1" x14ac:dyDescent="0.25">
      <c r="I61" s="76"/>
    </row>
    <row r="62" spans="1:18" ht="20.100000000000001" customHeight="1" x14ac:dyDescent="0.25">
      <c r="I62" s="76"/>
    </row>
    <row r="63" spans="1:18" ht="20.100000000000001" customHeight="1" x14ac:dyDescent="0.25">
      <c r="I63" s="76"/>
    </row>
    <row r="64" spans="1:18" ht="20.100000000000001" customHeight="1" x14ac:dyDescent="0.25">
      <c r="I64" s="76"/>
    </row>
    <row r="65" spans="9:9" ht="20.100000000000001" customHeight="1" x14ac:dyDescent="0.25">
      <c r="I65" s="76"/>
    </row>
    <row r="66" spans="9:9" ht="20.100000000000001" customHeight="1" x14ac:dyDescent="0.25">
      <c r="I66" s="76"/>
    </row>
    <row r="67" spans="9:9" ht="20.100000000000001" customHeight="1" x14ac:dyDescent="0.25">
      <c r="I67" s="76"/>
    </row>
    <row r="68" spans="9:9" ht="20.100000000000001" customHeight="1" x14ac:dyDescent="0.25">
      <c r="I68" s="76"/>
    </row>
    <row r="69" spans="9:9" ht="20.100000000000001" customHeight="1" x14ac:dyDescent="0.25">
      <c r="I69" s="76"/>
    </row>
    <row r="70" spans="9:9" ht="20.100000000000001" customHeight="1" x14ac:dyDescent="0.25">
      <c r="I70" s="76"/>
    </row>
    <row r="71" spans="9:9" ht="20.100000000000001" customHeight="1" x14ac:dyDescent="0.25">
      <c r="I71" s="76"/>
    </row>
    <row r="72" spans="9:9" ht="20.100000000000001" customHeight="1" x14ac:dyDescent="0.25">
      <c r="I72" s="76"/>
    </row>
    <row r="73" spans="9:9" ht="20.100000000000001" customHeight="1" x14ac:dyDescent="0.25">
      <c r="I73" s="76"/>
    </row>
    <row r="74" spans="9:9" ht="20.100000000000001" customHeight="1" x14ac:dyDescent="0.25">
      <c r="I74" s="76"/>
    </row>
    <row r="75" spans="9:9" ht="20.100000000000001" customHeight="1" x14ac:dyDescent="0.25">
      <c r="I75" s="76"/>
    </row>
    <row r="76" spans="9:9" ht="20.100000000000001" customHeight="1" x14ac:dyDescent="0.25">
      <c r="I76" s="76"/>
    </row>
    <row r="77" spans="9:9" ht="20.100000000000001" customHeight="1" x14ac:dyDescent="0.25">
      <c r="I77" s="76"/>
    </row>
    <row r="78" spans="9:9" ht="20.100000000000001" customHeight="1" x14ac:dyDescent="0.25">
      <c r="I78" s="76"/>
    </row>
    <row r="79" spans="9:9" ht="20.100000000000001" customHeight="1" x14ac:dyDescent="0.25">
      <c r="I79" s="76"/>
    </row>
    <row r="80" spans="9:9" ht="20.100000000000001" customHeight="1" x14ac:dyDescent="0.25">
      <c r="I80" s="76"/>
    </row>
    <row r="81" spans="1:18" ht="20.100000000000001" customHeight="1" x14ac:dyDescent="0.25">
      <c r="I81" s="76"/>
    </row>
    <row r="82" spans="1:18" ht="20.100000000000001" customHeight="1" x14ac:dyDescent="0.25">
      <c r="I82" s="76"/>
    </row>
    <row r="83" spans="1:18" ht="20.100000000000001" customHeight="1" x14ac:dyDescent="0.25">
      <c r="I83" s="76"/>
    </row>
    <row r="84" spans="1:18" ht="20.100000000000001" customHeight="1" x14ac:dyDescent="0.25">
      <c r="I84" s="76"/>
    </row>
    <row r="85" spans="1:18" ht="20.100000000000001" customHeight="1" x14ac:dyDescent="0.25">
      <c r="I85" s="76"/>
    </row>
    <row r="86" spans="1:18" ht="20.100000000000001" customHeight="1" x14ac:dyDescent="0.25">
      <c r="I86" s="76"/>
    </row>
    <row r="87" spans="1:18" ht="20.100000000000001" customHeight="1" x14ac:dyDescent="0.25">
      <c r="A87" s="120" t="s">
        <v>100</v>
      </c>
      <c r="B87" s="120"/>
      <c r="C87" s="120"/>
      <c r="D87" s="120"/>
      <c r="E87" s="120"/>
      <c r="F87" s="120"/>
      <c r="G87" s="120"/>
      <c r="H87" s="120"/>
      <c r="I87" s="120"/>
      <c r="J87" s="120"/>
      <c r="K87" s="120"/>
      <c r="L87" s="120"/>
      <c r="M87" s="120"/>
      <c r="N87" s="120"/>
      <c r="O87" s="120"/>
      <c r="P87" s="120"/>
      <c r="Q87" s="120"/>
      <c r="R87" s="120"/>
    </row>
    <row r="88" spans="1:18" ht="20.100000000000001" customHeight="1" x14ac:dyDescent="0.25">
      <c r="I88" s="76"/>
    </row>
    <row r="89" spans="1:18" ht="20.100000000000001" customHeight="1" x14ac:dyDescent="0.25">
      <c r="I89" s="76"/>
    </row>
    <row r="90" spans="1:18" ht="20.100000000000001" customHeight="1" x14ac:dyDescent="0.25">
      <c r="I90" s="76"/>
    </row>
    <row r="91" spans="1:18" ht="20.100000000000001" customHeight="1" x14ac:dyDescent="0.25">
      <c r="I91" s="76"/>
    </row>
    <row r="92" spans="1:18" ht="20.100000000000001" customHeight="1" x14ac:dyDescent="0.25">
      <c r="I92" s="76"/>
    </row>
    <row r="93" spans="1:18" ht="20.100000000000001" customHeight="1" x14ac:dyDescent="0.25">
      <c r="I93" s="76"/>
    </row>
    <row r="94" spans="1:18" ht="20.100000000000001" customHeight="1" x14ac:dyDescent="0.25">
      <c r="I94" s="76"/>
    </row>
    <row r="95" spans="1:18" ht="20.100000000000001" customHeight="1" x14ac:dyDescent="0.25">
      <c r="I95" s="76"/>
    </row>
    <row r="96" spans="1:18" ht="20.100000000000001" customHeight="1" x14ac:dyDescent="0.25">
      <c r="I96" s="76"/>
    </row>
    <row r="97" spans="1:18" ht="20.100000000000001" customHeight="1" x14ac:dyDescent="0.25">
      <c r="I97" s="76"/>
    </row>
    <row r="98" spans="1:18" ht="20.100000000000001" customHeight="1" x14ac:dyDescent="0.25">
      <c r="I98" s="76"/>
    </row>
    <row r="99" spans="1:18" ht="20.100000000000001" customHeight="1" x14ac:dyDescent="0.25">
      <c r="I99" s="76"/>
    </row>
    <row r="100" spans="1:18" ht="20.100000000000001" customHeight="1" x14ac:dyDescent="0.25">
      <c r="I100" s="76"/>
    </row>
    <row r="101" spans="1:18" ht="20.100000000000001" customHeight="1" x14ac:dyDescent="0.25">
      <c r="I101" s="76"/>
    </row>
    <row r="102" spans="1:18" ht="20.100000000000001" customHeight="1" x14ac:dyDescent="0.25">
      <c r="I102" s="76"/>
    </row>
    <row r="103" spans="1:18" ht="20.100000000000001" customHeight="1" x14ac:dyDescent="0.25">
      <c r="I103" s="76"/>
    </row>
    <row r="104" spans="1:18" ht="20.100000000000001" customHeight="1" x14ac:dyDescent="0.25">
      <c r="I104" s="76"/>
    </row>
    <row r="105" spans="1:18" ht="20.100000000000001" customHeight="1" x14ac:dyDescent="0.25">
      <c r="A105" s="120" t="s">
        <v>99</v>
      </c>
      <c r="B105" s="120"/>
      <c r="C105" s="120"/>
      <c r="D105" s="120"/>
      <c r="E105" s="120"/>
      <c r="F105" s="120"/>
      <c r="G105" s="120"/>
      <c r="H105" s="120"/>
      <c r="I105" s="120"/>
      <c r="J105" s="120"/>
      <c r="K105" s="120"/>
      <c r="L105" s="120"/>
      <c r="M105" s="120"/>
      <c r="N105" s="120"/>
      <c r="O105" s="120"/>
      <c r="P105" s="120"/>
      <c r="Q105" s="120"/>
      <c r="R105" s="120"/>
    </row>
    <row r="106" spans="1:18" ht="20.100000000000001" customHeight="1" x14ac:dyDescent="0.25">
      <c r="I106" s="76"/>
    </row>
    <row r="107" spans="1:18" ht="20.100000000000001" customHeight="1" x14ac:dyDescent="0.25">
      <c r="I107" s="76"/>
    </row>
    <row r="108" spans="1:18" ht="20.100000000000001" customHeight="1" x14ac:dyDescent="0.25">
      <c r="I108" s="76"/>
    </row>
    <row r="109" spans="1:18" ht="20.100000000000001" customHeight="1" x14ac:dyDescent="0.25">
      <c r="I109" s="76"/>
    </row>
    <row r="110" spans="1:18" ht="20.100000000000001" customHeight="1" x14ac:dyDescent="0.25">
      <c r="I110" s="76"/>
    </row>
    <row r="111" spans="1:18" ht="20.100000000000001" customHeight="1" x14ac:dyDescent="0.25">
      <c r="I111" s="76"/>
    </row>
    <row r="112" spans="1:18" ht="20.100000000000001" customHeight="1" x14ac:dyDescent="0.25">
      <c r="I112" s="76"/>
    </row>
    <row r="113" spans="1:18" ht="20.100000000000001" customHeight="1" x14ac:dyDescent="0.25">
      <c r="I113" s="76"/>
    </row>
    <row r="114" spans="1:18" ht="20.100000000000001" customHeight="1" x14ac:dyDescent="0.25">
      <c r="I114" s="76"/>
    </row>
    <row r="115" spans="1:18" ht="20.100000000000001" customHeight="1" x14ac:dyDescent="0.25">
      <c r="I115" s="76"/>
    </row>
    <row r="116" spans="1:18" ht="20.100000000000001" customHeight="1" x14ac:dyDescent="0.25">
      <c r="I116" s="76"/>
    </row>
    <row r="117" spans="1:18" ht="20.100000000000001" customHeight="1" x14ac:dyDescent="0.25">
      <c r="I117" s="76"/>
    </row>
    <row r="118" spans="1:18" ht="20.100000000000001" customHeight="1" x14ac:dyDescent="0.25">
      <c r="I118" s="76"/>
    </row>
    <row r="119" spans="1:18" ht="20.100000000000001" customHeight="1" x14ac:dyDescent="0.25">
      <c r="I119" s="76"/>
    </row>
    <row r="120" spans="1:18" ht="20.100000000000001" customHeight="1" x14ac:dyDescent="0.25">
      <c r="I120" s="76"/>
    </row>
    <row r="121" spans="1:18" ht="20.100000000000001" customHeight="1" x14ac:dyDescent="0.25">
      <c r="I121" s="76"/>
    </row>
    <row r="124" spans="1:18" ht="20.100000000000001" customHeight="1" x14ac:dyDescent="0.25">
      <c r="A124" s="125" t="s">
        <v>38</v>
      </c>
      <c r="B124" s="125"/>
      <c r="C124" s="125"/>
      <c r="D124" s="125"/>
      <c r="E124" s="125"/>
      <c r="F124" s="125"/>
      <c r="G124" s="125"/>
      <c r="H124" s="125"/>
      <c r="I124" s="125"/>
      <c r="J124" s="125"/>
      <c r="K124" s="125"/>
      <c r="L124" s="125"/>
      <c r="M124" s="125"/>
      <c r="N124" s="125"/>
      <c r="O124" s="125"/>
      <c r="P124" s="125"/>
      <c r="Q124" s="125"/>
      <c r="R124" s="125"/>
    </row>
    <row r="126" spans="1:18" ht="39.950000000000003" customHeight="1" x14ac:dyDescent="0.25">
      <c r="A126" s="118" t="s">
        <v>40</v>
      </c>
      <c r="B126" s="118"/>
      <c r="C126" s="118"/>
      <c r="D126" s="118"/>
      <c r="E126" s="118"/>
      <c r="F126" s="118"/>
      <c r="G126" s="118"/>
      <c r="H126" s="118"/>
      <c r="I126" s="77" t="s">
        <v>88</v>
      </c>
      <c r="J126" s="118" t="s">
        <v>39</v>
      </c>
      <c r="K126" s="118"/>
      <c r="L126" s="118"/>
      <c r="M126" s="118" t="s">
        <v>33</v>
      </c>
      <c r="N126" s="118"/>
      <c r="O126" s="118"/>
      <c r="P126" s="118" t="s">
        <v>41</v>
      </c>
      <c r="Q126" s="118"/>
      <c r="R126" s="118"/>
    </row>
    <row r="127" spans="1:18" ht="20.100000000000001" customHeight="1" x14ac:dyDescent="0.25">
      <c r="A127" s="120" t="s">
        <v>338</v>
      </c>
      <c r="B127" s="120"/>
      <c r="C127" s="120"/>
      <c r="D127" s="120"/>
      <c r="E127" s="120"/>
      <c r="F127" s="120"/>
      <c r="G127" s="120"/>
      <c r="H127" s="120"/>
      <c r="I127" s="29" t="s">
        <v>352</v>
      </c>
      <c r="J127" s="128">
        <v>0.15</v>
      </c>
      <c r="K127" s="128"/>
      <c r="L127" s="128"/>
      <c r="M127" s="129">
        <f>J127</f>
        <v>0.15</v>
      </c>
      <c r="N127" s="129"/>
      <c r="O127" s="129"/>
      <c r="P127" s="128">
        <f>(J127-M127)</f>
        <v>0</v>
      </c>
      <c r="Q127" s="128"/>
      <c r="R127" s="128"/>
    </row>
    <row r="128" spans="1:18" ht="20.100000000000001" customHeight="1" x14ac:dyDescent="0.25">
      <c r="A128" s="121" t="s">
        <v>339</v>
      </c>
      <c r="B128" s="121"/>
      <c r="C128" s="121"/>
      <c r="D128" s="121"/>
      <c r="E128" s="121"/>
      <c r="F128" s="121"/>
      <c r="G128" s="121"/>
      <c r="H128" s="121"/>
      <c r="I128" s="66" t="s">
        <v>353</v>
      </c>
      <c r="J128" s="129">
        <v>0.1</v>
      </c>
      <c r="K128" s="129"/>
      <c r="L128" s="129"/>
      <c r="M128" s="129">
        <f t="shared" ref="M128:M133" si="4">J128</f>
        <v>0.1</v>
      </c>
      <c r="N128" s="129"/>
      <c r="O128" s="129"/>
      <c r="P128" s="129">
        <f t="shared" ref="P128:P133" si="5">(J128-M128)</f>
        <v>0</v>
      </c>
      <c r="Q128" s="129"/>
      <c r="R128" s="129"/>
    </row>
    <row r="129" spans="1:18" ht="20.100000000000001" customHeight="1" x14ac:dyDescent="0.25">
      <c r="A129" s="121" t="s">
        <v>343</v>
      </c>
      <c r="B129" s="121"/>
      <c r="C129" s="121"/>
      <c r="D129" s="121"/>
      <c r="E129" s="121"/>
      <c r="F129" s="121"/>
      <c r="G129" s="121"/>
      <c r="H129" s="121"/>
      <c r="I129" s="66" t="s">
        <v>354</v>
      </c>
      <c r="J129" s="129">
        <v>0.05</v>
      </c>
      <c r="K129" s="129"/>
      <c r="L129" s="129"/>
      <c r="M129" s="129">
        <f t="shared" si="4"/>
        <v>0.05</v>
      </c>
      <c r="N129" s="129"/>
      <c r="O129" s="129"/>
      <c r="P129" s="129">
        <f t="shared" si="5"/>
        <v>0</v>
      </c>
      <c r="Q129" s="129"/>
      <c r="R129" s="129"/>
    </row>
    <row r="130" spans="1:18" ht="20.100000000000001" customHeight="1" x14ac:dyDescent="0.25">
      <c r="A130" s="121" t="s">
        <v>340</v>
      </c>
      <c r="B130" s="121"/>
      <c r="C130" s="121"/>
      <c r="D130" s="121"/>
      <c r="E130" s="121"/>
      <c r="F130" s="121"/>
      <c r="G130" s="121"/>
      <c r="H130" s="121"/>
      <c r="I130" s="66" t="s">
        <v>355</v>
      </c>
      <c r="J130" s="129">
        <v>0.15</v>
      </c>
      <c r="K130" s="129"/>
      <c r="L130" s="129"/>
      <c r="M130" s="129">
        <v>0.15</v>
      </c>
      <c r="N130" s="129"/>
      <c r="O130" s="129"/>
      <c r="P130" s="129">
        <f t="shared" si="5"/>
        <v>0</v>
      </c>
      <c r="Q130" s="129"/>
      <c r="R130" s="129"/>
    </row>
    <row r="131" spans="1:18" ht="20.100000000000001" customHeight="1" x14ac:dyDescent="0.25">
      <c r="A131" s="121" t="s">
        <v>341</v>
      </c>
      <c r="B131" s="121"/>
      <c r="C131" s="121"/>
      <c r="D131" s="121"/>
      <c r="E131" s="121"/>
      <c r="F131" s="121"/>
      <c r="G131" s="121"/>
      <c r="H131" s="121"/>
      <c r="I131" s="66" t="s">
        <v>356</v>
      </c>
      <c r="J131" s="129">
        <v>0.1</v>
      </c>
      <c r="K131" s="129"/>
      <c r="L131" s="129"/>
      <c r="M131" s="129">
        <v>0.1</v>
      </c>
      <c r="N131" s="129"/>
      <c r="O131" s="129"/>
      <c r="P131" s="129">
        <f t="shared" si="5"/>
        <v>0</v>
      </c>
      <c r="Q131" s="129"/>
      <c r="R131" s="129"/>
    </row>
    <row r="132" spans="1:18" ht="20.100000000000001" customHeight="1" x14ac:dyDescent="0.25">
      <c r="A132" s="121" t="s">
        <v>1</v>
      </c>
      <c r="B132" s="121"/>
      <c r="C132" s="121"/>
      <c r="D132" s="121"/>
      <c r="E132" s="121"/>
      <c r="F132" s="121"/>
      <c r="G132" s="121"/>
      <c r="H132" s="121"/>
      <c r="I132" s="66" t="s">
        <v>357</v>
      </c>
      <c r="J132" s="129">
        <v>0.3</v>
      </c>
      <c r="K132" s="129"/>
      <c r="L132" s="129"/>
      <c r="M132" s="129">
        <v>0.3</v>
      </c>
      <c r="N132" s="129"/>
      <c r="O132" s="129"/>
      <c r="P132" s="129">
        <f t="shared" si="5"/>
        <v>0</v>
      </c>
      <c r="Q132" s="129"/>
      <c r="R132" s="129"/>
    </row>
    <row r="133" spans="1:18" ht="20.100000000000001" customHeight="1" x14ac:dyDescent="0.25">
      <c r="A133" s="121" t="s">
        <v>342</v>
      </c>
      <c r="B133" s="121"/>
      <c r="C133" s="121"/>
      <c r="D133" s="121"/>
      <c r="E133" s="121"/>
      <c r="F133" s="121"/>
      <c r="G133" s="121"/>
      <c r="H133" s="121"/>
      <c r="I133" s="66" t="s">
        <v>358</v>
      </c>
      <c r="J133" s="129">
        <v>0.05</v>
      </c>
      <c r="K133" s="129"/>
      <c r="L133" s="129"/>
      <c r="M133" s="129">
        <f t="shared" si="4"/>
        <v>0.05</v>
      </c>
      <c r="N133" s="129"/>
      <c r="O133" s="129"/>
      <c r="P133" s="129">
        <f t="shared" si="5"/>
        <v>0</v>
      </c>
      <c r="Q133" s="129"/>
      <c r="R133" s="129"/>
    </row>
    <row r="135" spans="1:18" ht="20.100000000000001" customHeight="1" x14ac:dyDescent="0.25">
      <c r="A135" s="119" t="s">
        <v>269</v>
      </c>
      <c r="B135" s="119"/>
      <c r="C135" s="119"/>
      <c r="D135" s="119"/>
      <c r="E135" s="119"/>
      <c r="F135" s="119"/>
      <c r="G135" s="119"/>
      <c r="H135" s="119"/>
      <c r="I135" s="119"/>
      <c r="J135" s="166">
        <f>1+(SUM(J127:L133))</f>
        <v>1.9</v>
      </c>
      <c r="K135" s="166"/>
      <c r="L135" s="166"/>
      <c r="M135" s="166">
        <f>1+(SUM(M127:O133))</f>
        <v>1.9</v>
      </c>
      <c r="N135" s="166"/>
      <c r="O135" s="166"/>
    </row>
    <row r="136" spans="1:18" ht="20.100000000000001" customHeight="1" x14ac:dyDescent="0.25">
      <c r="A136" s="117" t="s">
        <v>359</v>
      </c>
      <c r="B136" s="117"/>
      <c r="C136" s="117"/>
      <c r="D136" s="117"/>
      <c r="E136" s="117"/>
      <c r="F136" s="117"/>
      <c r="G136" s="117"/>
      <c r="H136" s="117"/>
      <c r="I136" s="117"/>
      <c r="J136" s="117"/>
      <c r="K136" s="117"/>
      <c r="L136" s="117"/>
      <c r="M136" s="117"/>
      <c r="N136" s="117"/>
      <c r="O136" s="117"/>
    </row>
    <row r="137" spans="1:18" ht="20.100000000000001" customHeight="1" x14ac:dyDescent="0.25">
      <c r="A137" s="170"/>
      <c r="B137" s="170"/>
      <c r="C137" s="170"/>
      <c r="D137" s="170"/>
      <c r="E137" s="170"/>
      <c r="F137" s="170"/>
      <c r="G137" s="170"/>
      <c r="H137" s="170"/>
      <c r="I137" s="170"/>
      <c r="J137" s="170"/>
      <c r="K137" s="170"/>
      <c r="L137" s="170"/>
      <c r="M137" s="170"/>
      <c r="N137" s="170"/>
      <c r="O137" s="170"/>
      <c r="P137" s="166">
        <f>SUM(P127:R133)</f>
        <v>0</v>
      </c>
      <c r="Q137" s="166"/>
      <c r="R137" s="166"/>
    </row>
    <row r="139" spans="1:18" ht="20.100000000000001" customHeight="1" x14ac:dyDescent="0.25">
      <c r="A139" s="149" t="s">
        <v>344</v>
      </c>
      <c r="B139" s="149"/>
      <c r="C139" s="149"/>
      <c r="D139" s="149"/>
      <c r="E139" s="149" t="s">
        <v>34</v>
      </c>
      <c r="F139" s="149"/>
      <c r="G139" s="149"/>
      <c r="H139" s="149"/>
      <c r="I139" s="149"/>
      <c r="J139" s="149"/>
      <c r="K139" s="149"/>
      <c r="L139" s="149"/>
      <c r="M139" s="149"/>
      <c r="N139" s="149"/>
      <c r="O139" s="149"/>
      <c r="P139" s="149" t="s">
        <v>16</v>
      </c>
      <c r="Q139" s="149"/>
      <c r="R139" s="149"/>
    </row>
    <row r="140" spans="1:18" ht="20.100000000000001" customHeight="1" x14ac:dyDescent="0.25">
      <c r="A140" s="149"/>
      <c r="B140" s="149"/>
      <c r="C140" s="149"/>
      <c r="D140" s="149"/>
      <c r="E140" s="77"/>
      <c r="F140" s="77"/>
      <c r="G140" s="77"/>
      <c r="H140" s="77"/>
      <c r="I140" s="77" t="s">
        <v>352</v>
      </c>
      <c r="J140" s="77" t="s">
        <v>353</v>
      </c>
      <c r="K140" s="77" t="s">
        <v>354</v>
      </c>
      <c r="L140" s="77" t="s">
        <v>355</v>
      </c>
      <c r="M140" s="77" t="s">
        <v>356</v>
      </c>
      <c r="N140" s="77" t="s">
        <v>357</v>
      </c>
      <c r="O140" s="77" t="s">
        <v>358</v>
      </c>
      <c r="P140" s="171"/>
      <c r="Q140" s="171"/>
      <c r="R140" s="171"/>
    </row>
    <row r="141" spans="1:18" ht="20.100000000000001" customHeight="1" thickBot="1" x14ac:dyDescent="0.3">
      <c r="A141" s="168"/>
      <c r="B141" s="168"/>
      <c r="C141" s="168"/>
      <c r="D141" s="168"/>
      <c r="E141" s="79"/>
      <c r="F141" s="79"/>
      <c r="G141" s="79"/>
      <c r="H141" s="79"/>
      <c r="I141" s="79">
        <f>$M$127</f>
        <v>0.15</v>
      </c>
      <c r="J141" s="79">
        <f>$M$128</f>
        <v>0.1</v>
      </c>
      <c r="K141" s="79">
        <f>$M$129</f>
        <v>0.05</v>
      </c>
      <c r="L141" s="79">
        <f>$M$130</f>
        <v>0.15</v>
      </c>
      <c r="M141" s="79">
        <f>$M$131</f>
        <v>0.1</v>
      </c>
      <c r="N141" s="79">
        <f>$M$132</f>
        <v>0.3</v>
      </c>
      <c r="O141" s="79">
        <f>$M$133</f>
        <v>0.05</v>
      </c>
      <c r="P141" s="167">
        <f>1+(SUM(I141:O141))</f>
        <v>1.9</v>
      </c>
      <c r="Q141" s="167"/>
      <c r="R141" s="167"/>
    </row>
    <row r="143" spans="1:18" ht="20.100000000000001" customHeight="1" x14ac:dyDescent="0.25">
      <c r="A143" s="120" t="s">
        <v>265</v>
      </c>
      <c r="B143" s="120"/>
      <c r="C143" s="120"/>
      <c r="D143" s="120"/>
      <c r="E143" s="120"/>
      <c r="F143" s="120"/>
      <c r="G143" s="120"/>
      <c r="H143" s="120"/>
      <c r="I143" s="120"/>
      <c r="J143" s="120"/>
      <c r="K143" s="120"/>
      <c r="L143" s="120"/>
      <c r="M143" s="120"/>
      <c r="N143" s="120"/>
      <c r="O143" s="120"/>
      <c r="P143" s="120"/>
      <c r="Q143" s="120"/>
      <c r="R143" s="120"/>
    </row>
    <row r="144" spans="1:18" ht="20.100000000000001" customHeight="1" x14ac:dyDescent="0.25">
      <c r="A144" s="120"/>
      <c r="B144" s="120"/>
      <c r="C144" s="120"/>
      <c r="D144" s="120"/>
      <c r="E144" s="120"/>
      <c r="F144" s="120"/>
      <c r="G144" s="120"/>
      <c r="H144" s="120"/>
      <c r="I144" s="120"/>
      <c r="J144" s="120"/>
      <c r="K144" s="120"/>
      <c r="L144" s="120"/>
      <c r="M144" s="120"/>
      <c r="N144" s="120"/>
      <c r="O144" s="120"/>
      <c r="P144" s="120"/>
      <c r="Q144" s="120"/>
      <c r="R144" s="120"/>
    </row>
    <row r="146" spans="1:18" ht="39.950000000000003" customHeight="1" x14ac:dyDescent="0.25">
      <c r="A146" s="62" t="s">
        <v>18</v>
      </c>
      <c r="B146" s="118" t="str">
        <f>P43</f>
        <v>Valor unitário homogeneizado</v>
      </c>
      <c r="C146" s="118"/>
      <c r="D146" s="118"/>
      <c r="E146" s="62"/>
      <c r="F146" s="62"/>
      <c r="G146" s="62"/>
      <c r="H146" s="62"/>
      <c r="I146" s="62" t="s">
        <v>352</v>
      </c>
      <c r="J146" s="62" t="s">
        <v>353</v>
      </c>
      <c r="K146" s="62" t="s">
        <v>354</v>
      </c>
      <c r="L146" s="62" t="s">
        <v>355</v>
      </c>
      <c r="M146" s="62" t="s">
        <v>356</v>
      </c>
      <c r="N146" s="62" t="s">
        <v>357</v>
      </c>
      <c r="O146" s="77" t="s">
        <v>358</v>
      </c>
      <c r="P146" s="118" t="s">
        <v>16</v>
      </c>
      <c r="Q146" s="118"/>
      <c r="R146" s="118"/>
    </row>
    <row r="147" spans="1:18" ht="20.100000000000001" customHeight="1" x14ac:dyDescent="0.25">
      <c r="A147" s="29">
        <v>1</v>
      </c>
      <c r="B147" s="124">
        <f>P44</f>
        <v>500</v>
      </c>
      <c r="C147" s="124"/>
      <c r="D147" s="124"/>
      <c r="E147" s="78"/>
      <c r="F147" s="78"/>
      <c r="G147" s="78"/>
      <c r="H147" s="78"/>
      <c r="I147" s="78">
        <f>$J$127</f>
        <v>0.15</v>
      </c>
      <c r="J147" s="78">
        <f>$J$128</f>
        <v>0.1</v>
      </c>
      <c r="K147" s="78">
        <f>$J$129</f>
        <v>0.05</v>
      </c>
      <c r="L147" s="78">
        <f>$J$130</f>
        <v>0.15</v>
      </c>
      <c r="M147" s="78">
        <f>$J$131</f>
        <v>0.1</v>
      </c>
      <c r="N147" s="78">
        <f>$J$132</f>
        <v>0.3</v>
      </c>
      <c r="O147" s="78">
        <f>$J$133</f>
        <v>0.05</v>
      </c>
      <c r="P147" s="160">
        <f>1+(SUM(I147:O147))</f>
        <v>1.9</v>
      </c>
      <c r="Q147" s="160"/>
      <c r="R147" s="160"/>
    </row>
    <row r="148" spans="1:18" ht="20.100000000000001" customHeight="1" x14ac:dyDescent="0.25">
      <c r="A148" s="66">
        <v>2</v>
      </c>
      <c r="B148" s="138">
        <f>P45</f>
        <v>578.57142857142867</v>
      </c>
      <c r="C148" s="138"/>
      <c r="D148" s="138"/>
      <c r="E148" s="78"/>
      <c r="F148" s="78"/>
      <c r="G148" s="78"/>
      <c r="H148" s="78"/>
      <c r="I148" s="78">
        <f>$J$127</f>
        <v>0.15</v>
      </c>
      <c r="J148" s="78">
        <f>$J$128</f>
        <v>0.1</v>
      </c>
      <c r="K148" s="78">
        <f>$J$129</f>
        <v>0.05</v>
      </c>
      <c r="L148" s="78">
        <f>$J$130</f>
        <v>0.15</v>
      </c>
      <c r="M148" s="78">
        <f>$J$131</f>
        <v>0.1</v>
      </c>
      <c r="N148" s="78">
        <f>$J$132</f>
        <v>0.3</v>
      </c>
      <c r="O148" s="78">
        <f>$J$133</f>
        <v>0.05</v>
      </c>
      <c r="P148" s="161">
        <f>1+(SUM(I148:O148))</f>
        <v>1.9</v>
      </c>
      <c r="Q148" s="161"/>
      <c r="R148" s="161"/>
    </row>
    <row r="149" spans="1:18" ht="20.100000000000001" customHeight="1" thickBot="1" x14ac:dyDescent="0.3">
      <c r="A149" s="73">
        <v>3</v>
      </c>
      <c r="B149" s="127">
        <f>P46</f>
        <v>570</v>
      </c>
      <c r="C149" s="127"/>
      <c r="D149" s="127"/>
      <c r="E149" s="80"/>
      <c r="F149" s="80"/>
      <c r="G149" s="80"/>
      <c r="H149" s="80"/>
      <c r="I149" s="80">
        <f>$J$127</f>
        <v>0.15</v>
      </c>
      <c r="J149" s="80">
        <f>$J$128</f>
        <v>0.1</v>
      </c>
      <c r="K149" s="80">
        <f>$J$129</f>
        <v>0.05</v>
      </c>
      <c r="L149" s="80">
        <f>$J$130</f>
        <v>0.15</v>
      </c>
      <c r="M149" s="80">
        <f>$J$131</f>
        <v>0.1</v>
      </c>
      <c r="N149" s="80">
        <f>$J$132</f>
        <v>0.3</v>
      </c>
      <c r="O149" s="80">
        <f>$J$133</f>
        <v>0.05</v>
      </c>
      <c r="P149" s="162">
        <f>1+(SUM(I149:O149))</f>
        <v>1.9</v>
      </c>
      <c r="Q149" s="162"/>
      <c r="R149" s="162"/>
    </row>
    <row r="151" spans="1:18" ht="39.950000000000003" customHeight="1" thickBot="1" x14ac:dyDescent="0.3">
      <c r="A151" s="81" t="s">
        <v>18</v>
      </c>
      <c r="B151" s="159" t="str">
        <f>B146</f>
        <v>Valor unitário homogeneizado</v>
      </c>
      <c r="C151" s="159"/>
      <c r="D151" s="159"/>
      <c r="E151" s="159" t="s">
        <v>360</v>
      </c>
      <c r="F151" s="159"/>
      <c r="G151" s="159"/>
      <c r="H151" s="159" t="s">
        <v>361</v>
      </c>
      <c r="I151" s="159"/>
      <c r="J151" s="159"/>
      <c r="K151" s="159" t="s">
        <v>23</v>
      </c>
      <c r="L151" s="159"/>
      <c r="M151" s="159"/>
      <c r="N151" s="159" t="s">
        <v>42</v>
      </c>
      <c r="O151" s="159"/>
      <c r="P151" s="159"/>
      <c r="Q151" s="159"/>
      <c r="R151" s="159"/>
    </row>
    <row r="152" spans="1:18" ht="20.100000000000001" customHeight="1" x14ac:dyDescent="0.25">
      <c r="A152" s="29">
        <v>1</v>
      </c>
      <c r="B152" s="124">
        <f>B147</f>
        <v>500</v>
      </c>
      <c r="C152" s="124"/>
      <c r="D152" s="124"/>
      <c r="E152" s="163">
        <f>P147</f>
        <v>1.9</v>
      </c>
      <c r="F152" s="163"/>
      <c r="G152" s="163"/>
      <c r="H152" s="163">
        <f>$P$141</f>
        <v>1.9</v>
      </c>
      <c r="I152" s="163"/>
      <c r="J152" s="163"/>
      <c r="K152" s="163">
        <f>H152/E152</f>
        <v>1</v>
      </c>
      <c r="L152" s="163"/>
      <c r="M152" s="163"/>
      <c r="N152" s="124">
        <f t="shared" ref="N152:N154" si="6">B152*K152</f>
        <v>500</v>
      </c>
      <c r="O152" s="124"/>
      <c r="P152" s="124"/>
      <c r="Q152" s="124"/>
      <c r="R152" s="124"/>
    </row>
    <row r="153" spans="1:18" ht="20.100000000000001" customHeight="1" x14ac:dyDescent="0.25">
      <c r="A153" s="66">
        <v>2</v>
      </c>
      <c r="B153" s="138">
        <f>B148</f>
        <v>578.57142857142867</v>
      </c>
      <c r="C153" s="138"/>
      <c r="D153" s="138"/>
      <c r="E153" s="164">
        <f>P148</f>
        <v>1.9</v>
      </c>
      <c r="F153" s="164"/>
      <c r="G153" s="164"/>
      <c r="H153" s="164">
        <f t="shared" ref="H153:H154" si="7">$P$141</f>
        <v>1.9</v>
      </c>
      <c r="I153" s="164"/>
      <c r="J153" s="164"/>
      <c r="K153" s="164">
        <f t="shared" ref="K153:K154" si="8">H153/E153</f>
        <v>1</v>
      </c>
      <c r="L153" s="164"/>
      <c r="M153" s="164"/>
      <c r="N153" s="138">
        <f t="shared" si="6"/>
        <v>578.57142857142867</v>
      </c>
      <c r="O153" s="138"/>
      <c r="P153" s="138"/>
      <c r="Q153" s="138"/>
      <c r="R153" s="138"/>
    </row>
    <row r="154" spans="1:18" ht="20.100000000000001" customHeight="1" thickBot="1" x14ac:dyDescent="0.3">
      <c r="A154" s="73">
        <v>3</v>
      </c>
      <c r="B154" s="127">
        <f>B149</f>
        <v>570</v>
      </c>
      <c r="C154" s="127"/>
      <c r="D154" s="127"/>
      <c r="E154" s="165">
        <f>P149</f>
        <v>1.9</v>
      </c>
      <c r="F154" s="165"/>
      <c r="G154" s="165"/>
      <c r="H154" s="165">
        <f t="shared" si="7"/>
        <v>1.9</v>
      </c>
      <c r="I154" s="165"/>
      <c r="J154" s="165"/>
      <c r="K154" s="165">
        <f t="shared" si="8"/>
        <v>1</v>
      </c>
      <c r="L154" s="165"/>
      <c r="M154" s="165"/>
      <c r="N154" s="127">
        <f t="shared" si="6"/>
        <v>570</v>
      </c>
      <c r="O154" s="127"/>
      <c r="P154" s="127"/>
      <c r="Q154" s="127"/>
      <c r="R154" s="127"/>
    </row>
    <row r="156" spans="1:18" ht="20.100000000000001" customHeight="1" x14ac:dyDescent="0.25">
      <c r="L156" s="119" t="s">
        <v>36</v>
      </c>
      <c r="M156" s="119"/>
      <c r="N156" s="119"/>
      <c r="O156" s="119"/>
      <c r="P156" s="122">
        <f>AVERAGE(N152:R154)</f>
        <v>549.52380952380952</v>
      </c>
      <c r="Q156" s="122"/>
      <c r="R156" s="122"/>
    </row>
    <row r="157" spans="1:18" ht="20.100000000000001" customHeight="1" x14ac:dyDescent="0.25">
      <c r="L157" s="120" t="s">
        <v>37</v>
      </c>
      <c r="M157" s="120"/>
      <c r="N157" s="120"/>
      <c r="O157" s="120"/>
      <c r="P157" s="122">
        <f>STDEVA(N152:R154)</f>
        <v>43.102472426204315</v>
      </c>
      <c r="Q157" s="122"/>
      <c r="R157" s="122"/>
    </row>
    <row r="158" spans="1:18" ht="20.100000000000001" customHeight="1" x14ac:dyDescent="0.25">
      <c r="L158" s="121" t="s">
        <v>35</v>
      </c>
      <c r="M158" s="121"/>
      <c r="N158" s="121"/>
      <c r="O158" s="121"/>
      <c r="P158" s="123">
        <f>P157/P156</f>
        <v>7.8436041676801613E-2</v>
      </c>
      <c r="Q158" s="123"/>
      <c r="R158" s="123"/>
    </row>
    <row r="161" spans="1:24" ht="20.100000000000001" customHeight="1" x14ac:dyDescent="0.25">
      <c r="A161" s="125" t="s">
        <v>49</v>
      </c>
      <c r="B161" s="125"/>
      <c r="C161" s="125"/>
      <c r="D161" s="125"/>
      <c r="E161" s="125"/>
      <c r="F161" s="125"/>
      <c r="G161" s="125"/>
      <c r="H161" s="125"/>
      <c r="I161" s="125"/>
      <c r="J161" s="125"/>
      <c r="K161" s="125"/>
      <c r="L161" s="125"/>
      <c r="M161" s="125"/>
      <c r="N161" s="125"/>
      <c r="O161" s="125"/>
      <c r="P161" s="125"/>
      <c r="Q161" s="125"/>
      <c r="R161" s="125"/>
    </row>
    <row r="163" spans="1:24" ht="20.100000000000001" customHeight="1" x14ac:dyDescent="0.25">
      <c r="A163" s="62" t="s">
        <v>18</v>
      </c>
      <c r="B163" s="118" t="s">
        <v>32</v>
      </c>
      <c r="C163" s="118"/>
      <c r="D163" s="118"/>
      <c r="E163" s="118"/>
      <c r="F163" s="118"/>
      <c r="L163" s="119" t="s">
        <v>43</v>
      </c>
      <c r="M163" s="119"/>
      <c r="N163" s="119"/>
      <c r="O163" s="119"/>
      <c r="P163" s="119"/>
      <c r="Q163" s="158">
        <v>0.3</v>
      </c>
      <c r="R163" s="158"/>
    </row>
    <row r="164" spans="1:24" ht="20.100000000000001" customHeight="1" x14ac:dyDescent="0.25">
      <c r="A164" s="29">
        <v>1</v>
      </c>
      <c r="B164" s="124">
        <f>N152</f>
        <v>500</v>
      </c>
      <c r="C164" s="124"/>
      <c r="D164" s="124"/>
      <c r="E164" s="124"/>
      <c r="F164" s="124"/>
      <c r="G164" s="61">
        <f t="shared" ref="G164:G166" si="9">A164</f>
        <v>1</v>
      </c>
    </row>
    <row r="165" spans="1:24" ht="20.100000000000001" customHeight="1" x14ac:dyDescent="0.25">
      <c r="A165" s="66">
        <v>2</v>
      </c>
      <c r="B165" s="124">
        <f>N153</f>
        <v>578.57142857142867</v>
      </c>
      <c r="C165" s="124"/>
      <c r="D165" s="124"/>
      <c r="E165" s="124"/>
      <c r="F165" s="124"/>
      <c r="G165" s="61">
        <f t="shared" si="9"/>
        <v>2</v>
      </c>
      <c r="L165" s="119" t="s">
        <v>36</v>
      </c>
      <c r="M165" s="119"/>
      <c r="N165" s="119"/>
      <c r="O165" s="119"/>
      <c r="P165" s="122">
        <f>AVERAGE(B164:B166)</f>
        <v>549.52380952380952</v>
      </c>
      <c r="Q165" s="122"/>
      <c r="R165" s="122"/>
    </row>
    <row r="166" spans="1:24" ht="20.100000000000001" customHeight="1" x14ac:dyDescent="0.25">
      <c r="A166" s="66">
        <v>3</v>
      </c>
      <c r="B166" s="138">
        <f>N154</f>
        <v>570</v>
      </c>
      <c r="C166" s="138"/>
      <c r="D166" s="138"/>
      <c r="E166" s="138"/>
      <c r="F166" s="138"/>
      <c r="G166" s="61">
        <f t="shared" si="9"/>
        <v>3</v>
      </c>
      <c r="L166" s="119" t="s">
        <v>45</v>
      </c>
      <c r="M166" s="119"/>
      <c r="N166" s="119"/>
      <c r="O166" s="119"/>
      <c r="P166" s="122">
        <f>P165*(1+Q163)</f>
        <v>714.38095238095241</v>
      </c>
      <c r="Q166" s="122"/>
      <c r="R166" s="122"/>
    </row>
    <row r="167" spans="1:24" ht="20.100000000000001" customHeight="1" x14ac:dyDescent="0.25">
      <c r="L167" s="119" t="s">
        <v>44</v>
      </c>
      <c r="M167" s="119"/>
      <c r="N167" s="119"/>
      <c r="O167" s="119"/>
      <c r="P167" s="122">
        <f>P165*(1-Q163)</f>
        <v>384.66666666666663</v>
      </c>
      <c r="Q167" s="122"/>
      <c r="R167" s="122"/>
    </row>
    <row r="168" spans="1:24" ht="20.100000000000001" customHeight="1" x14ac:dyDescent="0.25">
      <c r="L168" s="119" t="s">
        <v>47</v>
      </c>
      <c r="M168" s="119"/>
      <c r="N168" s="119"/>
      <c r="O168" s="119"/>
      <c r="P168" s="122">
        <f>MAX(B164:B166)</f>
        <v>578.57142857142867</v>
      </c>
      <c r="Q168" s="122"/>
      <c r="R168" s="122"/>
      <c r="V168" s="82"/>
    </row>
    <row r="169" spans="1:24" ht="20.100000000000001" customHeight="1" x14ac:dyDescent="0.25">
      <c r="L169" s="119" t="s">
        <v>46</v>
      </c>
      <c r="M169" s="119"/>
      <c r="N169" s="119"/>
      <c r="O169" s="119"/>
      <c r="P169" s="122">
        <f>MIN(B164:B166)</f>
        <v>500</v>
      </c>
      <c r="Q169" s="122"/>
      <c r="R169" s="122"/>
      <c r="V169" s="82"/>
    </row>
    <row r="170" spans="1:24" ht="20.100000000000001" customHeight="1" x14ac:dyDescent="0.25">
      <c r="L170" s="120"/>
      <c r="M170" s="120"/>
      <c r="N170" s="120"/>
      <c r="O170" s="120"/>
      <c r="P170" s="124"/>
      <c r="Q170" s="124"/>
      <c r="R170" s="124"/>
    </row>
    <row r="171" spans="1:24" ht="20.100000000000001" customHeight="1" x14ac:dyDescent="0.25">
      <c r="L171" s="119" t="s">
        <v>51</v>
      </c>
      <c r="M171" s="119"/>
      <c r="N171" s="119" t="str">
        <f>IF(P171="Nada a excluir","",X171)</f>
        <v/>
      </c>
      <c r="O171" s="119"/>
      <c r="P171" s="122" t="str" cm="1">
        <f t="array" ref="P171">_xlfn.IFS(AND(OR(P168&gt;P166,P169&lt;P167),(P168-P165)&gt;(P165-P169)),P168,AND(OR(P169&lt;P167,P168&gt;P166),(P165-P169)&gt;(P168-P165)),P169,AND(P168&lt;=P166,P169&gt;=P167),"Nada a excluir")</f>
        <v>Nada a excluir</v>
      </c>
      <c r="Q171" s="122"/>
      <c r="R171" s="122"/>
      <c r="X171" s="61" t="e">
        <f>VLOOKUP(P171,B164:G166,6,0)</f>
        <v>#N/A</v>
      </c>
    </row>
    <row r="172" spans="1:24" ht="20.100000000000001" customHeight="1" x14ac:dyDescent="0.25">
      <c r="L172" s="121" t="s">
        <v>50</v>
      </c>
      <c r="M172" s="121"/>
      <c r="N172" s="121"/>
      <c r="O172" s="121"/>
      <c r="P172" s="137" t="str">
        <f>IF(P171="Nada a excluir","Encerrar","Continuar")</f>
        <v>Encerrar</v>
      </c>
      <c r="Q172" s="137"/>
      <c r="R172" s="137"/>
    </row>
    <row r="174" spans="1:24" ht="20.100000000000001" customHeight="1" x14ac:dyDescent="0.25">
      <c r="L174" s="119" t="s">
        <v>48</v>
      </c>
      <c r="M174" s="119"/>
      <c r="N174" s="119"/>
      <c r="O174" s="119"/>
      <c r="P174" s="131">
        <f>STDEVA(B164:B166)</f>
        <v>43.102472426204315</v>
      </c>
      <c r="Q174" s="132"/>
      <c r="R174" s="132"/>
    </row>
    <row r="175" spans="1:24" ht="20.100000000000001" customHeight="1" x14ac:dyDescent="0.25">
      <c r="L175" s="121" t="s">
        <v>35</v>
      </c>
      <c r="M175" s="121"/>
      <c r="N175" s="121"/>
      <c r="O175" s="121"/>
      <c r="P175" s="148">
        <f>P174/P165</f>
        <v>7.8436041676801613E-2</v>
      </c>
      <c r="Q175" s="148"/>
      <c r="R175" s="148"/>
    </row>
    <row r="176" spans="1:24" ht="20.100000000000001" customHeight="1" x14ac:dyDescent="0.25">
      <c r="P176" s="83"/>
      <c r="Q176" s="83"/>
      <c r="R176" s="83"/>
    </row>
    <row r="177" spans="16:25" ht="20.100000000000001" customHeight="1" x14ac:dyDescent="0.25">
      <c r="P177" s="83"/>
      <c r="Q177" s="83"/>
      <c r="R177" s="83"/>
    </row>
    <row r="178" spans="16:25" ht="20.100000000000001" customHeight="1" x14ac:dyDescent="0.25">
      <c r="P178" s="83"/>
      <c r="Q178" s="83"/>
      <c r="R178" s="83"/>
      <c r="W178" s="61" t="s">
        <v>44</v>
      </c>
      <c r="X178" s="61" t="s">
        <v>45</v>
      </c>
      <c r="Y178" s="61" t="s">
        <v>36</v>
      </c>
    </row>
    <row r="179" spans="16:25" ht="20.100000000000001" customHeight="1" x14ac:dyDescent="0.25">
      <c r="P179" s="83"/>
      <c r="Q179" s="83"/>
      <c r="R179" s="83"/>
      <c r="W179" s="82">
        <f>$P$167</f>
        <v>384.66666666666663</v>
      </c>
      <c r="X179" s="82">
        <f>$P$166</f>
        <v>714.38095238095241</v>
      </c>
      <c r="Y179" s="82">
        <f>$P$165</f>
        <v>549.52380952380952</v>
      </c>
    </row>
    <row r="180" spans="16:25" ht="20.100000000000001" customHeight="1" x14ac:dyDescent="0.25">
      <c r="P180" s="83"/>
      <c r="Q180" s="83"/>
      <c r="R180" s="83"/>
      <c r="W180" s="82">
        <f t="shared" ref="W180:W181" si="10">$P$167</f>
        <v>384.66666666666663</v>
      </c>
      <c r="X180" s="82">
        <f t="shared" ref="X180:X181" si="11">$P$166</f>
        <v>714.38095238095241</v>
      </c>
      <c r="Y180" s="82">
        <f t="shared" ref="Y180:Y181" si="12">$P$165</f>
        <v>549.52380952380952</v>
      </c>
    </row>
    <row r="181" spans="16:25" ht="20.100000000000001" customHeight="1" x14ac:dyDescent="0.25">
      <c r="P181" s="83"/>
      <c r="Q181" s="83"/>
      <c r="R181" s="83"/>
      <c r="W181" s="82">
        <f t="shared" si="10"/>
        <v>384.66666666666663</v>
      </c>
      <c r="X181" s="82">
        <f t="shared" si="11"/>
        <v>714.38095238095241</v>
      </c>
      <c r="Y181" s="82">
        <f t="shared" si="12"/>
        <v>549.52380952380952</v>
      </c>
    </row>
    <row r="182" spans="16:25" ht="20.100000000000001" customHeight="1" x14ac:dyDescent="0.25">
      <c r="P182" s="83"/>
      <c r="Q182" s="83"/>
      <c r="R182" s="83"/>
      <c r="W182" s="82"/>
      <c r="X182" s="82"/>
      <c r="Y182" s="82"/>
    </row>
    <row r="183" spans="16:25" ht="20.100000000000001" customHeight="1" x14ac:dyDescent="0.25">
      <c r="P183" s="83"/>
      <c r="Q183" s="83"/>
      <c r="R183" s="83"/>
      <c r="W183" s="82"/>
      <c r="X183" s="82"/>
      <c r="Y183" s="82"/>
    </row>
    <row r="184" spans="16:25" ht="20.100000000000001" customHeight="1" x14ac:dyDescent="0.25">
      <c r="P184" s="83"/>
      <c r="Q184" s="83"/>
      <c r="R184" s="83"/>
      <c r="W184" s="82"/>
      <c r="X184" s="82"/>
      <c r="Y184" s="82"/>
    </row>
    <row r="185" spans="16:25" ht="20.100000000000001" customHeight="1" x14ac:dyDescent="0.25">
      <c r="P185" s="83"/>
      <c r="Q185" s="83"/>
      <c r="R185" s="83"/>
      <c r="W185" s="82"/>
      <c r="X185" s="82"/>
      <c r="Y185" s="82"/>
    </row>
    <row r="186" spans="16:25" ht="20.100000000000001" customHeight="1" x14ac:dyDescent="0.25">
      <c r="P186" s="83"/>
      <c r="Q186" s="83"/>
      <c r="R186" s="83"/>
    </row>
    <row r="187" spans="16:25" ht="20.100000000000001" customHeight="1" x14ac:dyDescent="0.25">
      <c r="P187" s="83"/>
      <c r="Q187" s="83"/>
      <c r="R187" s="83"/>
    </row>
    <row r="188" spans="16:25" ht="20.100000000000001" customHeight="1" x14ac:dyDescent="0.25">
      <c r="P188" s="83"/>
      <c r="Q188" s="83"/>
      <c r="R188" s="83"/>
    </row>
    <row r="189" spans="16:25" ht="20.100000000000001" customHeight="1" x14ac:dyDescent="0.25">
      <c r="P189" s="83"/>
      <c r="Q189" s="83"/>
      <c r="R189" s="83"/>
    </row>
    <row r="190" spans="16:25" ht="20.100000000000001" customHeight="1" x14ac:dyDescent="0.25">
      <c r="P190" s="83"/>
      <c r="Q190" s="83"/>
      <c r="R190" s="83"/>
    </row>
    <row r="191" spans="16:25" ht="20.100000000000001" customHeight="1" x14ac:dyDescent="0.25">
      <c r="P191" s="83"/>
      <c r="Q191" s="83"/>
      <c r="R191" s="83"/>
    </row>
    <row r="192" spans="16:25" ht="20.100000000000001" customHeight="1" x14ac:dyDescent="0.25">
      <c r="P192" s="83"/>
      <c r="Q192" s="83"/>
      <c r="R192" s="83"/>
    </row>
    <row r="194" spans="1:30" ht="20.100000000000001" customHeight="1" x14ac:dyDescent="0.25">
      <c r="A194" s="125" t="s">
        <v>52</v>
      </c>
      <c r="B194" s="125"/>
      <c r="C194" s="125"/>
      <c r="D194" s="125"/>
      <c r="E194" s="125"/>
      <c r="F194" s="125"/>
      <c r="G194" s="125"/>
      <c r="H194" s="125"/>
      <c r="I194" s="125"/>
      <c r="J194" s="125"/>
      <c r="K194" s="125"/>
      <c r="L194" s="125"/>
      <c r="M194" s="125"/>
      <c r="N194" s="125"/>
      <c r="O194" s="125"/>
      <c r="P194" s="125"/>
      <c r="Q194" s="125"/>
      <c r="R194" s="125"/>
    </row>
    <row r="196" spans="1:30" ht="20.100000000000001" customHeight="1" x14ac:dyDescent="0.25">
      <c r="A196" s="70" t="s">
        <v>18</v>
      </c>
      <c r="B196" s="126" t="s">
        <v>32</v>
      </c>
      <c r="C196" s="126"/>
      <c r="D196" s="126"/>
      <c r="E196" s="126"/>
      <c r="F196" s="126"/>
      <c r="L196" s="119" t="s">
        <v>249</v>
      </c>
      <c r="M196" s="119"/>
      <c r="N196" s="119"/>
      <c r="O196" s="119"/>
      <c r="P196" s="119"/>
      <c r="Q196" s="157">
        <v>3</v>
      </c>
      <c r="R196" s="157"/>
      <c r="S196" s="135" t="s">
        <v>264</v>
      </c>
      <c r="T196" s="135"/>
      <c r="U196" s="135"/>
      <c r="AD196" s="61" t="s">
        <v>44</v>
      </c>
    </row>
    <row r="197" spans="1:30" ht="20.100000000000001" customHeight="1" x14ac:dyDescent="0.25">
      <c r="A197" s="29">
        <v>1</v>
      </c>
      <c r="B197" s="124">
        <f>N152</f>
        <v>500</v>
      </c>
      <c r="C197" s="124"/>
      <c r="D197" s="124"/>
      <c r="E197" s="124"/>
      <c r="F197" s="124"/>
      <c r="G197" s="61">
        <f>A197</f>
        <v>1</v>
      </c>
      <c r="L197" s="119" t="s">
        <v>53</v>
      </c>
      <c r="M197" s="119"/>
      <c r="N197" s="119"/>
      <c r="O197" s="119"/>
      <c r="P197" s="119"/>
      <c r="Q197" s="156">
        <f>_xlfn.NORM.S.INV(1-((1/Q196)/4))</f>
        <v>1.3829941271006372</v>
      </c>
      <c r="R197" s="156"/>
      <c r="Y197" s="84"/>
      <c r="AB197" s="82"/>
      <c r="AC197" s="82"/>
      <c r="AD197" s="82">
        <f>$P$203</f>
        <v>489.91334329485181</v>
      </c>
    </row>
    <row r="198" spans="1:30" ht="20.100000000000001" customHeight="1" x14ac:dyDescent="0.25">
      <c r="A198" s="66">
        <v>2</v>
      </c>
      <c r="B198" s="138">
        <f>N153</f>
        <v>578.57142857142867</v>
      </c>
      <c r="C198" s="138"/>
      <c r="D198" s="138"/>
      <c r="E198" s="138"/>
      <c r="F198" s="138"/>
      <c r="G198" s="61">
        <f t="shared" ref="G198:G199" si="13">A198</f>
        <v>2</v>
      </c>
      <c r="AB198" s="82"/>
      <c r="AC198" s="82"/>
      <c r="AD198" s="82">
        <f t="shared" ref="AD198:AD203" si="14">$P$203</f>
        <v>489.91334329485181</v>
      </c>
    </row>
    <row r="199" spans="1:30" ht="20.100000000000001" customHeight="1" x14ac:dyDescent="0.25">
      <c r="A199" s="66">
        <v>3</v>
      </c>
      <c r="B199" s="138">
        <f>N154</f>
        <v>570</v>
      </c>
      <c r="C199" s="138"/>
      <c r="D199" s="138"/>
      <c r="E199" s="138"/>
      <c r="F199" s="138"/>
      <c r="G199" s="61">
        <f t="shared" si="13"/>
        <v>3</v>
      </c>
      <c r="L199" s="119" t="s">
        <v>36</v>
      </c>
      <c r="M199" s="119"/>
      <c r="N199" s="119"/>
      <c r="O199" s="119"/>
      <c r="P199" s="122">
        <f>AVERAGE(B197:B199)</f>
        <v>549.52380952380952</v>
      </c>
      <c r="Q199" s="122"/>
      <c r="R199" s="122"/>
      <c r="AB199" s="82"/>
      <c r="AC199" s="82"/>
      <c r="AD199" s="82">
        <f t="shared" si="14"/>
        <v>489.91334329485181</v>
      </c>
    </row>
    <row r="200" spans="1:30" ht="20.100000000000001" customHeight="1" x14ac:dyDescent="0.25">
      <c r="L200" s="119" t="s">
        <v>37</v>
      </c>
      <c r="M200" s="119"/>
      <c r="N200" s="119"/>
      <c r="O200" s="119"/>
      <c r="P200" s="122">
        <f>STDEVA(B197:F199)</f>
        <v>43.102472426204315</v>
      </c>
      <c r="Q200" s="122"/>
      <c r="R200" s="122"/>
      <c r="AB200" s="82"/>
      <c r="AC200" s="82"/>
      <c r="AD200" s="82">
        <f t="shared" si="14"/>
        <v>489.91334329485181</v>
      </c>
    </row>
    <row r="201" spans="1:30" ht="20.100000000000001" customHeight="1" x14ac:dyDescent="0.25">
      <c r="AB201" s="82"/>
      <c r="AC201" s="82"/>
      <c r="AD201" s="82">
        <f t="shared" si="14"/>
        <v>489.91334329485181</v>
      </c>
    </row>
    <row r="202" spans="1:30" ht="20.100000000000001" customHeight="1" x14ac:dyDescent="0.25">
      <c r="L202" s="119" t="s">
        <v>45</v>
      </c>
      <c r="M202" s="119"/>
      <c r="N202" s="119"/>
      <c r="O202" s="119"/>
      <c r="P202" s="122">
        <f>P199+(Q197*P200)</f>
        <v>609.13427575276728</v>
      </c>
      <c r="Q202" s="122"/>
      <c r="R202" s="122"/>
      <c r="AB202" s="82"/>
      <c r="AC202" s="82"/>
      <c r="AD202" s="82">
        <f t="shared" si="14"/>
        <v>489.91334329485181</v>
      </c>
    </row>
    <row r="203" spans="1:30" ht="20.100000000000001" customHeight="1" x14ac:dyDescent="0.25">
      <c r="L203" s="119" t="s">
        <v>44</v>
      </c>
      <c r="M203" s="119"/>
      <c r="N203" s="119"/>
      <c r="O203" s="119"/>
      <c r="P203" s="122">
        <f>P199-(Q197*P200)</f>
        <v>489.91334329485181</v>
      </c>
      <c r="Q203" s="122"/>
      <c r="R203" s="122"/>
      <c r="AB203" s="82"/>
      <c r="AC203" s="82"/>
      <c r="AD203" s="82">
        <f t="shared" si="14"/>
        <v>489.91334329485181</v>
      </c>
    </row>
    <row r="204" spans="1:30" ht="20.100000000000001" customHeight="1" x14ac:dyDescent="0.25">
      <c r="L204" s="119" t="s">
        <v>47</v>
      </c>
      <c r="M204" s="119"/>
      <c r="N204" s="119"/>
      <c r="O204" s="119"/>
      <c r="P204" s="122">
        <f>MAX(B197:B199)</f>
        <v>578.57142857142867</v>
      </c>
      <c r="Q204" s="122"/>
      <c r="R204" s="122"/>
    </row>
    <row r="205" spans="1:30" ht="20.100000000000001" customHeight="1" x14ac:dyDescent="0.25">
      <c r="L205" s="119" t="s">
        <v>46</v>
      </c>
      <c r="M205" s="119"/>
      <c r="N205" s="119"/>
      <c r="O205" s="119"/>
      <c r="P205" s="122">
        <f>MIN(B197:B199)</f>
        <v>500</v>
      </c>
      <c r="Q205" s="122"/>
      <c r="R205" s="122"/>
    </row>
    <row r="207" spans="1:30" ht="20.100000000000001" customHeight="1" x14ac:dyDescent="0.25">
      <c r="L207" s="119" t="s">
        <v>51</v>
      </c>
      <c r="M207" s="119"/>
      <c r="N207" s="119" t="str">
        <f>IF(P207="Nada a excluir","",X207)</f>
        <v/>
      </c>
      <c r="O207" s="119"/>
      <c r="P207" s="122" t="str" cm="1">
        <f t="array" ref="P207">_xlfn.IFS(AND(OR(P204&gt;P202,P205&lt;P203),(P204-P199)&gt;(P199-P205)),P204,AND(OR(P205&lt;P203,P204&gt;P202),(P199-P205)&gt;(P204-P199)),P205,AND(P204&lt;=P202,P205&gt;=P203),"Nada a excluir")</f>
        <v>Nada a excluir</v>
      </c>
      <c r="Q207" s="122"/>
      <c r="R207" s="122"/>
      <c r="X207" s="61" t="e">
        <f>VLOOKUP(P207,B197:G199,6,0)</f>
        <v>#N/A</v>
      </c>
    </row>
    <row r="208" spans="1:30" ht="20.100000000000001" customHeight="1" x14ac:dyDescent="0.25">
      <c r="L208" s="121" t="s">
        <v>50</v>
      </c>
      <c r="M208" s="121"/>
      <c r="N208" s="121"/>
      <c r="O208" s="121"/>
      <c r="P208" s="137" t="str">
        <f>IF(P207="Nada a excluir","Encerrar","Continuar")</f>
        <v>Encerrar</v>
      </c>
      <c r="Q208" s="137"/>
      <c r="R208" s="137"/>
    </row>
    <row r="210" spans="12:25" ht="20.100000000000001" customHeight="1" x14ac:dyDescent="0.25">
      <c r="L210" s="119" t="s">
        <v>48</v>
      </c>
      <c r="M210" s="119"/>
      <c r="N210" s="119"/>
      <c r="O210" s="119"/>
      <c r="P210" s="131">
        <f>P200</f>
        <v>43.102472426204315</v>
      </c>
      <c r="Q210" s="132"/>
      <c r="R210" s="132"/>
    </row>
    <row r="211" spans="12:25" ht="20.100000000000001" customHeight="1" x14ac:dyDescent="0.25">
      <c r="L211" s="121" t="s">
        <v>35</v>
      </c>
      <c r="M211" s="121"/>
      <c r="N211" s="121"/>
      <c r="O211" s="121"/>
      <c r="P211" s="148">
        <f>P200/P199</f>
        <v>7.8436041676801613E-2</v>
      </c>
      <c r="Q211" s="148"/>
      <c r="R211" s="148"/>
    </row>
    <row r="213" spans="12:25" ht="20.100000000000001" customHeight="1" x14ac:dyDescent="0.25">
      <c r="W213" s="61" t="s">
        <v>44</v>
      </c>
      <c r="X213" s="61" t="s">
        <v>45</v>
      </c>
      <c r="Y213" s="61" t="s">
        <v>36</v>
      </c>
    </row>
    <row r="214" spans="12:25" ht="20.100000000000001" customHeight="1" x14ac:dyDescent="0.25">
      <c r="W214" s="82">
        <f>$P$203</f>
        <v>489.91334329485181</v>
      </c>
      <c r="X214" s="82">
        <f>$P$202</f>
        <v>609.13427575276728</v>
      </c>
      <c r="Y214" s="82">
        <f>$P$165</f>
        <v>549.52380952380952</v>
      </c>
    </row>
    <row r="215" spans="12:25" ht="20.100000000000001" customHeight="1" x14ac:dyDescent="0.25">
      <c r="W215" s="82">
        <f t="shared" ref="W215:W216" si="15">$P$203</f>
        <v>489.91334329485181</v>
      </c>
      <c r="X215" s="82">
        <f t="shared" ref="X215:X216" si="16">$P$202</f>
        <v>609.13427575276728</v>
      </c>
      <c r="Y215" s="82">
        <f t="shared" ref="Y215:Y216" si="17">$P$165</f>
        <v>549.52380952380952</v>
      </c>
    </row>
    <row r="216" spans="12:25" ht="20.100000000000001" customHeight="1" x14ac:dyDescent="0.25">
      <c r="W216" s="82">
        <f t="shared" si="15"/>
        <v>489.91334329485181</v>
      </c>
      <c r="X216" s="82">
        <f t="shared" si="16"/>
        <v>609.13427575276728</v>
      </c>
      <c r="Y216" s="82">
        <f t="shared" si="17"/>
        <v>549.52380952380952</v>
      </c>
    </row>
    <row r="217" spans="12:25" ht="20.100000000000001" customHeight="1" x14ac:dyDescent="0.25">
      <c r="W217" s="82"/>
      <c r="X217" s="82"/>
      <c r="Y217" s="82"/>
    </row>
    <row r="218" spans="12:25" ht="20.100000000000001" customHeight="1" x14ac:dyDescent="0.25">
      <c r="W218" s="82"/>
      <c r="X218" s="82"/>
      <c r="Y218" s="82"/>
    </row>
    <row r="219" spans="12:25" ht="20.100000000000001" customHeight="1" x14ac:dyDescent="0.25">
      <c r="W219" s="82"/>
      <c r="X219" s="82"/>
      <c r="Y219" s="82"/>
    </row>
    <row r="220" spans="12:25" ht="20.100000000000001" customHeight="1" x14ac:dyDescent="0.25">
      <c r="W220" s="82"/>
      <c r="X220" s="82"/>
      <c r="Y220" s="82"/>
    </row>
    <row r="230" spans="1:24" ht="20.100000000000001" customHeight="1" x14ac:dyDescent="0.25">
      <c r="A230" s="125" t="s">
        <v>54</v>
      </c>
      <c r="B230" s="125"/>
      <c r="C230" s="125"/>
      <c r="D230" s="125"/>
      <c r="E230" s="125"/>
      <c r="F230" s="125"/>
      <c r="G230" s="125"/>
      <c r="H230" s="125"/>
      <c r="I230" s="125"/>
      <c r="J230" s="125"/>
      <c r="K230" s="125"/>
      <c r="L230" s="125"/>
      <c r="M230" s="125"/>
      <c r="N230" s="125"/>
      <c r="O230" s="125"/>
      <c r="P230" s="125"/>
      <c r="Q230" s="125"/>
      <c r="R230" s="125"/>
    </row>
    <row r="232" spans="1:24" ht="20.100000000000001" customHeight="1" x14ac:dyDescent="0.25">
      <c r="A232" s="70" t="s">
        <v>18</v>
      </c>
      <c r="B232" s="126" t="s">
        <v>32</v>
      </c>
      <c r="C232" s="126"/>
      <c r="D232" s="126"/>
      <c r="E232" s="126"/>
      <c r="F232" s="126"/>
      <c r="L232" s="119" t="s">
        <v>249</v>
      </c>
      <c r="M232" s="119"/>
      <c r="N232" s="119"/>
      <c r="O232" s="119"/>
      <c r="P232" s="119"/>
      <c r="Q232" s="191">
        <v>3</v>
      </c>
      <c r="R232" s="191"/>
      <c r="S232" s="135" t="s">
        <v>264</v>
      </c>
      <c r="T232" s="135"/>
      <c r="U232" s="135"/>
    </row>
    <row r="233" spans="1:24" ht="20.100000000000001" customHeight="1" x14ac:dyDescent="0.25">
      <c r="A233" s="29">
        <v>1</v>
      </c>
      <c r="B233" s="124">
        <f>N152</f>
        <v>500</v>
      </c>
      <c r="C233" s="124"/>
      <c r="D233" s="124"/>
      <c r="E233" s="124"/>
      <c r="F233" s="124"/>
      <c r="G233" s="61">
        <f>A233</f>
        <v>1</v>
      </c>
      <c r="L233" s="119" t="s">
        <v>55</v>
      </c>
      <c r="M233" s="119"/>
      <c r="N233" s="119"/>
      <c r="O233" s="119"/>
      <c r="P233" s="119"/>
      <c r="Q233" s="192" cm="1">
        <f t="array" ref="Q233">_xlfn.IFS(Q232&lt;=5,0.1,AND(Q232&gt;=6,Q232&lt;=10),0.05,AND(Q232&gt;=11,Q232&lt;=50),0.01,Q232&gt;50,0.001)</f>
        <v>0.1</v>
      </c>
      <c r="R233" s="192"/>
    </row>
    <row r="234" spans="1:24" ht="20.100000000000001" customHeight="1" x14ac:dyDescent="0.25">
      <c r="A234" s="66">
        <v>2</v>
      </c>
      <c r="B234" s="138">
        <f>N153</f>
        <v>578.57142857142867</v>
      </c>
      <c r="C234" s="138"/>
      <c r="D234" s="138"/>
      <c r="E234" s="138"/>
      <c r="F234" s="138"/>
      <c r="G234" s="61">
        <f t="shared" ref="G234:G235" si="18">A234</f>
        <v>2</v>
      </c>
      <c r="L234" s="119" t="s">
        <v>56</v>
      </c>
      <c r="M234" s="119"/>
      <c r="N234" s="119"/>
      <c r="O234" s="119"/>
      <c r="P234" s="119"/>
      <c r="Q234" s="193">
        <f>Q232-2</f>
        <v>1</v>
      </c>
      <c r="R234" s="193"/>
    </row>
    <row r="235" spans="1:24" ht="20.100000000000001" customHeight="1" x14ac:dyDescent="0.25">
      <c r="A235" s="66">
        <v>3</v>
      </c>
      <c r="B235" s="138">
        <f>N154</f>
        <v>570</v>
      </c>
      <c r="C235" s="138"/>
      <c r="D235" s="138"/>
      <c r="E235" s="138"/>
      <c r="F235" s="138"/>
      <c r="G235" s="61">
        <f t="shared" si="18"/>
        <v>3</v>
      </c>
      <c r="L235" s="119" t="s">
        <v>53</v>
      </c>
      <c r="M235" s="119"/>
      <c r="N235" s="119"/>
      <c r="O235" s="119"/>
      <c r="P235" s="119"/>
      <c r="Q235" s="156">
        <f>X237</f>
        <v>1.3968022466674204</v>
      </c>
      <c r="R235" s="156"/>
    </row>
    <row r="236" spans="1:24" ht="20.100000000000001" customHeight="1" x14ac:dyDescent="0.25">
      <c r="X236" s="61">
        <f>_xlfn.T.INV.2T(Q233,Q234)</f>
        <v>6.3137515146750438</v>
      </c>
    </row>
    <row r="237" spans="1:24" ht="20.100000000000001" customHeight="1" x14ac:dyDescent="0.25">
      <c r="X237" s="61">
        <f>((((X236^2)*(Q232))-X236^2)/(Q232-2+X236^2))^(1/2)</f>
        <v>1.3968022466674204</v>
      </c>
    </row>
    <row r="238" spans="1:24" ht="20.100000000000001" customHeight="1" x14ac:dyDescent="0.25">
      <c r="L238" s="119" t="s">
        <v>36</v>
      </c>
      <c r="M238" s="119"/>
      <c r="N238" s="119"/>
      <c r="O238" s="119"/>
      <c r="P238" s="122">
        <f>AVERAGE(B233:B235)</f>
        <v>549.52380952380952</v>
      </c>
      <c r="Q238" s="122"/>
      <c r="R238" s="122"/>
    </row>
    <row r="239" spans="1:24" ht="20.100000000000001" customHeight="1" x14ac:dyDescent="0.25">
      <c r="L239" s="119" t="s">
        <v>37</v>
      </c>
      <c r="M239" s="119"/>
      <c r="N239" s="119"/>
      <c r="O239" s="119"/>
      <c r="P239" s="122">
        <f>STDEVA(B233:F235)</f>
        <v>43.102472426204315</v>
      </c>
      <c r="Q239" s="122"/>
      <c r="R239" s="122"/>
    </row>
    <row r="241" spans="12:25" ht="20.100000000000001" customHeight="1" x14ac:dyDescent="0.25">
      <c r="L241" s="119" t="s">
        <v>45</v>
      </c>
      <c r="M241" s="119"/>
      <c r="N241" s="119"/>
      <c r="O241" s="119"/>
      <c r="P241" s="122">
        <f>P238+(Q235*P239)</f>
        <v>609.72943984565222</v>
      </c>
      <c r="Q241" s="122"/>
      <c r="R241" s="122"/>
    </row>
    <row r="242" spans="12:25" ht="20.100000000000001" customHeight="1" x14ac:dyDescent="0.25">
      <c r="L242" s="119" t="s">
        <v>44</v>
      </c>
      <c r="M242" s="119"/>
      <c r="N242" s="119"/>
      <c r="O242" s="119"/>
      <c r="P242" s="122">
        <f>P238-(Q235*P239)</f>
        <v>489.31817920196681</v>
      </c>
      <c r="Q242" s="122"/>
      <c r="R242" s="122"/>
    </row>
    <row r="243" spans="12:25" ht="20.100000000000001" customHeight="1" x14ac:dyDescent="0.25">
      <c r="L243" s="119" t="s">
        <v>47</v>
      </c>
      <c r="M243" s="119"/>
      <c r="N243" s="119"/>
      <c r="O243" s="119"/>
      <c r="P243" s="122">
        <f>MAX(B233:B235)</f>
        <v>578.57142857142867</v>
      </c>
      <c r="Q243" s="122"/>
      <c r="R243" s="122"/>
    </row>
    <row r="244" spans="12:25" ht="20.100000000000001" customHeight="1" x14ac:dyDescent="0.25">
      <c r="L244" s="119" t="s">
        <v>46</v>
      </c>
      <c r="M244" s="119"/>
      <c r="N244" s="119"/>
      <c r="O244" s="119"/>
      <c r="P244" s="122">
        <f>MIN(B233:B235)</f>
        <v>500</v>
      </c>
      <c r="Q244" s="122"/>
      <c r="R244" s="122"/>
    </row>
    <row r="246" spans="12:25" ht="20.100000000000001" customHeight="1" x14ac:dyDescent="0.25">
      <c r="L246" s="119" t="s">
        <v>51</v>
      </c>
      <c r="M246" s="119"/>
      <c r="N246" s="119" t="str">
        <f>IF(P246="Nada a excluir","",X246)</f>
        <v/>
      </c>
      <c r="O246" s="119"/>
      <c r="P246" s="122" t="str" cm="1">
        <f t="array" ref="P246">_xlfn.IFS(AND(OR(P243&gt;P241,P244&lt;P242),(P243-P238)&gt;(P238-P244)),P243,AND(OR(P244&lt;P242,P243&gt;P241),(P238-P244)&gt;(P243-P238)),P244,AND(P243&lt;=P241,P244&gt;=P242),"Nada a excluir")</f>
        <v>Nada a excluir</v>
      </c>
      <c r="Q246" s="122"/>
      <c r="R246" s="122"/>
      <c r="X246" s="61" t="e">
        <f>VLOOKUP(P246,B233:G235,6,0)</f>
        <v>#N/A</v>
      </c>
    </row>
    <row r="247" spans="12:25" ht="20.100000000000001" customHeight="1" x14ac:dyDescent="0.25">
      <c r="L247" s="121" t="s">
        <v>50</v>
      </c>
      <c r="M247" s="121"/>
      <c r="N247" s="121"/>
      <c r="O247" s="121"/>
      <c r="P247" s="137" t="str">
        <f>IF(P246="Nada a excluir","Encerrar","Continuar")</f>
        <v>Encerrar</v>
      </c>
      <c r="Q247" s="137"/>
      <c r="R247" s="137"/>
    </row>
    <row r="249" spans="12:25" ht="20.100000000000001" customHeight="1" x14ac:dyDescent="0.25">
      <c r="L249" s="119" t="s">
        <v>48</v>
      </c>
      <c r="M249" s="119"/>
      <c r="N249" s="119"/>
      <c r="O249" s="119"/>
      <c r="P249" s="131">
        <f>P239</f>
        <v>43.102472426204315</v>
      </c>
      <c r="Q249" s="132"/>
      <c r="R249" s="132"/>
    </row>
    <row r="250" spans="12:25" ht="20.100000000000001" customHeight="1" x14ac:dyDescent="0.25">
      <c r="L250" s="121" t="s">
        <v>35</v>
      </c>
      <c r="M250" s="121"/>
      <c r="N250" s="121"/>
      <c r="O250" s="121"/>
      <c r="P250" s="148">
        <f>P239/P238</f>
        <v>7.8436041676801613E-2</v>
      </c>
      <c r="Q250" s="148"/>
      <c r="R250" s="148"/>
    </row>
    <row r="252" spans="12:25" ht="20.100000000000001" customHeight="1" x14ac:dyDescent="0.25">
      <c r="W252" s="61" t="s">
        <v>44</v>
      </c>
      <c r="X252" s="61" t="s">
        <v>45</v>
      </c>
      <c r="Y252" s="61" t="s">
        <v>36</v>
      </c>
    </row>
    <row r="253" spans="12:25" ht="20.100000000000001" customHeight="1" x14ac:dyDescent="0.25">
      <c r="W253" s="82">
        <f>$P$242</f>
        <v>489.31817920196681</v>
      </c>
      <c r="X253" s="82">
        <f>$P$241</f>
        <v>609.72943984565222</v>
      </c>
      <c r="Y253" s="82">
        <f>$P$238</f>
        <v>549.52380952380952</v>
      </c>
    </row>
    <row r="254" spans="12:25" ht="20.100000000000001" customHeight="1" x14ac:dyDescent="0.25">
      <c r="W254" s="82">
        <f t="shared" ref="W254:W255" si="19">$P$242</f>
        <v>489.31817920196681</v>
      </c>
      <c r="X254" s="82">
        <f t="shared" ref="X254:X255" si="20">$P$241</f>
        <v>609.72943984565222</v>
      </c>
      <c r="Y254" s="82">
        <f t="shared" ref="Y254:Y255" si="21">$P$238</f>
        <v>549.52380952380952</v>
      </c>
    </row>
    <row r="255" spans="12:25" ht="20.100000000000001" customHeight="1" x14ac:dyDescent="0.25">
      <c r="W255" s="82">
        <f t="shared" si="19"/>
        <v>489.31817920196681</v>
      </c>
      <c r="X255" s="82">
        <f t="shared" si="20"/>
        <v>609.72943984565222</v>
      </c>
      <c r="Y255" s="82">
        <f t="shared" si="21"/>
        <v>549.52380952380952</v>
      </c>
    </row>
    <row r="256" spans="12:25" ht="20.100000000000001" customHeight="1" x14ac:dyDescent="0.25">
      <c r="W256" s="82"/>
      <c r="X256" s="82"/>
      <c r="Y256" s="82"/>
    </row>
    <row r="257" spans="1:27" ht="20.100000000000001" customHeight="1" x14ac:dyDescent="0.25">
      <c r="W257" s="82"/>
      <c r="X257" s="82"/>
      <c r="Y257" s="82"/>
    </row>
    <row r="258" spans="1:27" ht="20.100000000000001" customHeight="1" x14ac:dyDescent="0.25">
      <c r="W258" s="82"/>
      <c r="X258" s="82"/>
      <c r="Y258" s="82"/>
    </row>
    <row r="259" spans="1:27" ht="20.100000000000001" customHeight="1" x14ac:dyDescent="0.25">
      <c r="W259" s="82"/>
      <c r="X259" s="82"/>
      <c r="Y259" s="82"/>
    </row>
    <row r="269" spans="1:27" ht="20.100000000000001" customHeight="1" x14ac:dyDescent="0.25">
      <c r="A269" s="149" t="s">
        <v>57</v>
      </c>
      <c r="B269" s="149"/>
      <c r="C269" s="149"/>
      <c r="D269" s="149"/>
      <c r="E269" s="149"/>
      <c r="F269" s="149"/>
      <c r="G269" s="149" t="s">
        <v>36</v>
      </c>
      <c r="H269" s="149"/>
      <c r="I269" s="149"/>
      <c r="J269" s="149"/>
      <c r="K269" s="149" t="s">
        <v>37</v>
      </c>
      <c r="L269" s="149"/>
      <c r="M269" s="149"/>
      <c r="N269" s="149"/>
      <c r="O269" s="149" t="s">
        <v>35</v>
      </c>
      <c r="P269" s="149"/>
      <c r="Q269" s="149"/>
      <c r="R269" s="149"/>
    </row>
    <row r="270" spans="1:27" ht="20.100000000000001" customHeight="1" x14ac:dyDescent="0.25">
      <c r="A270" s="120" t="s">
        <v>58</v>
      </c>
      <c r="B270" s="120"/>
      <c r="C270" s="120"/>
      <c r="D270" s="120"/>
      <c r="E270" s="120"/>
      <c r="F270" s="120"/>
      <c r="G270" s="122">
        <f>P165</f>
        <v>549.52380952380952</v>
      </c>
      <c r="H270" s="122"/>
      <c r="I270" s="122"/>
      <c r="J270" s="122"/>
      <c r="K270" s="122">
        <f>P174</f>
        <v>43.102472426204315</v>
      </c>
      <c r="L270" s="122"/>
      <c r="M270" s="122"/>
      <c r="N270" s="122"/>
      <c r="O270" s="155">
        <f>P175</f>
        <v>7.8436041676801613E-2</v>
      </c>
      <c r="P270" s="155"/>
      <c r="Q270" s="155"/>
      <c r="R270" s="155"/>
      <c r="X270" s="85">
        <f>O270</f>
        <v>7.8436041676801613E-2</v>
      </c>
      <c r="Y270" s="61" t="str">
        <f>A270</f>
        <v>Intervalo em torno da média</v>
      </c>
      <c r="Z270" s="82">
        <f>G270</f>
        <v>549.52380952380952</v>
      </c>
      <c r="AA270" s="82">
        <f>K270</f>
        <v>43.102472426204315</v>
      </c>
    </row>
    <row r="271" spans="1:27" ht="20.100000000000001" customHeight="1" x14ac:dyDescent="0.25">
      <c r="A271" s="121" t="s">
        <v>59</v>
      </c>
      <c r="B271" s="121"/>
      <c r="C271" s="121"/>
      <c r="D271" s="121"/>
      <c r="E271" s="121"/>
      <c r="F271" s="121"/>
      <c r="G271" s="138">
        <f>P199</f>
        <v>549.52380952380952</v>
      </c>
      <c r="H271" s="138"/>
      <c r="I271" s="138"/>
      <c r="J271" s="138"/>
      <c r="K271" s="138">
        <f>P200</f>
        <v>43.102472426204315</v>
      </c>
      <c r="L271" s="138"/>
      <c r="M271" s="138"/>
      <c r="N271" s="138"/>
      <c r="O271" s="190">
        <f>P211</f>
        <v>7.8436041676801613E-2</v>
      </c>
      <c r="P271" s="190"/>
      <c r="Q271" s="190"/>
      <c r="R271" s="190"/>
      <c r="X271" s="85">
        <f>O271</f>
        <v>7.8436041676801613E-2</v>
      </c>
      <c r="Y271" s="61" t="str">
        <f>A271</f>
        <v>Critério de Chauvenet</v>
      </c>
      <c r="Z271" s="82">
        <f>G271</f>
        <v>549.52380952380952</v>
      </c>
      <c r="AA271" s="82">
        <f>K271</f>
        <v>43.102472426204315</v>
      </c>
    </row>
    <row r="272" spans="1:27" ht="20.100000000000001" customHeight="1" x14ac:dyDescent="0.25">
      <c r="A272" s="121" t="s">
        <v>60</v>
      </c>
      <c r="B272" s="121"/>
      <c r="C272" s="121"/>
      <c r="D272" s="121"/>
      <c r="E272" s="121"/>
      <c r="F272" s="121"/>
      <c r="G272" s="138">
        <f>P238</f>
        <v>549.52380952380952</v>
      </c>
      <c r="H272" s="138"/>
      <c r="I272" s="138"/>
      <c r="J272" s="138"/>
      <c r="K272" s="138">
        <f>P249</f>
        <v>43.102472426204315</v>
      </c>
      <c r="L272" s="138"/>
      <c r="M272" s="138"/>
      <c r="N272" s="138"/>
      <c r="O272" s="190">
        <f>P250</f>
        <v>7.8436041676801613E-2</v>
      </c>
      <c r="P272" s="190"/>
      <c r="Q272" s="190"/>
      <c r="R272" s="190"/>
      <c r="X272" s="85">
        <f>O272</f>
        <v>7.8436041676801613E-2</v>
      </c>
      <c r="Y272" s="61" t="str">
        <f>A272</f>
        <v>Critério de Arley</v>
      </c>
      <c r="Z272" s="82">
        <f>G272</f>
        <v>549.52380952380952</v>
      </c>
      <c r="AA272" s="82">
        <f>K272</f>
        <v>43.102472426204315</v>
      </c>
    </row>
    <row r="274" spans="1:21" ht="20.100000000000001" customHeight="1" x14ac:dyDescent="0.25">
      <c r="A274" s="119" t="s">
        <v>61</v>
      </c>
      <c r="B274" s="119"/>
      <c r="C274" s="119"/>
      <c r="D274" s="119"/>
      <c r="E274" s="119"/>
      <c r="F274" s="119"/>
      <c r="G274" s="136">
        <f>MIN(O270:R272)</f>
        <v>7.8436041676801613E-2</v>
      </c>
      <c r="H274" s="136"/>
      <c r="I274" s="136"/>
      <c r="J274" s="136"/>
      <c r="K274" s="136"/>
      <c r="L274" s="136"/>
    </row>
    <row r="275" spans="1:21" ht="20.100000000000001" customHeight="1" x14ac:dyDescent="0.25">
      <c r="A275" s="121" t="s">
        <v>62</v>
      </c>
      <c r="B275" s="121"/>
      <c r="C275" s="121"/>
      <c r="D275" s="121"/>
      <c r="E275" s="121"/>
      <c r="F275" s="121"/>
      <c r="G275" s="137" t="str">
        <f>VLOOKUP(G274,X270:Z272,2,0)</f>
        <v>Intervalo em torno da média</v>
      </c>
      <c r="H275" s="137"/>
      <c r="I275" s="137"/>
      <c r="J275" s="137"/>
      <c r="K275" s="137"/>
      <c r="L275" s="137"/>
    </row>
    <row r="276" spans="1:21" ht="20.100000000000001" customHeight="1" x14ac:dyDescent="0.25">
      <c r="A276" s="121" t="s">
        <v>63</v>
      </c>
      <c r="B276" s="121"/>
      <c r="C276" s="121"/>
      <c r="D276" s="121"/>
      <c r="E276" s="121"/>
      <c r="F276" s="121"/>
      <c r="G276" s="138">
        <f>VLOOKUP(G274,X270:Z272,3,0)</f>
        <v>549.52380952380952</v>
      </c>
      <c r="H276" s="138"/>
      <c r="I276" s="138"/>
      <c r="J276" s="138"/>
      <c r="K276" s="138"/>
      <c r="L276" s="138"/>
    </row>
    <row r="277" spans="1:21" ht="20.100000000000001" customHeight="1" x14ac:dyDescent="0.25">
      <c r="A277" s="121" t="s">
        <v>70</v>
      </c>
      <c r="B277" s="121"/>
      <c r="C277" s="121"/>
      <c r="D277" s="121"/>
      <c r="E277" s="121"/>
      <c r="F277" s="121"/>
      <c r="G277" s="138">
        <f>VLOOKUP(G274,X270:AA272,4,0)</f>
        <v>43.102472426204315</v>
      </c>
      <c r="H277" s="138"/>
      <c r="I277" s="138"/>
      <c r="J277" s="138"/>
      <c r="K277" s="138"/>
      <c r="L277" s="138"/>
    </row>
    <row r="280" spans="1:21" ht="20.100000000000001" customHeight="1" x14ac:dyDescent="0.25">
      <c r="A280" s="174" t="s">
        <v>369</v>
      </c>
      <c r="B280" s="174"/>
      <c r="C280" s="174"/>
      <c r="D280" s="174"/>
      <c r="E280" s="174"/>
      <c r="F280" s="174"/>
      <c r="G280" s="174"/>
      <c r="H280" s="174"/>
      <c r="I280" s="174"/>
      <c r="J280" s="174"/>
      <c r="K280" s="174"/>
      <c r="L280" s="174"/>
      <c r="M280" s="174"/>
      <c r="N280" s="174"/>
      <c r="O280" s="174"/>
      <c r="P280" s="174"/>
      <c r="Q280" s="174"/>
      <c r="R280" s="174"/>
    </row>
    <row r="282" spans="1:21" ht="60" customHeight="1" x14ac:dyDescent="0.25">
      <c r="A282" s="117" t="s">
        <v>247</v>
      </c>
      <c r="B282" s="117"/>
      <c r="C282" s="117"/>
      <c r="D282" s="117"/>
      <c r="E282" s="117"/>
      <c r="F282" s="117"/>
      <c r="G282" s="117"/>
      <c r="H282" s="117"/>
      <c r="I282" s="117"/>
      <c r="J282" s="117"/>
      <c r="K282" s="117"/>
      <c r="L282" s="117"/>
      <c r="M282" s="117"/>
      <c r="N282" s="117"/>
      <c r="O282" s="117"/>
      <c r="P282" s="117"/>
      <c r="Q282" s="117"/>
      <c r="R282" s="117"/>
    </row>
    <row r="284" spans="1:21" ht="20.100000000000001" customHeight="1" x14ac:dyDescent="0.25">
      <c r="A284" s="119" t="s">
        <v>36</v>
      </c>
      <c r="B284" s="119"/>
      <c r="C284" s="119"/>
      <c r="D284" s="119"/>
      <c r="E284" s="131">
        <f>G276</f>
        <v>549.52380952380952</v>
      </c>
      <c r="F284" s="132"/>
      <c r="G284" s="132"/>
      <c r="H284" s="132"/>
    </row>
    <row r="285" spans="1:21" ht="20.100000000000001" customHeight="1" x14ac:dyDescent="0.25">
      <c r="A285" s="121" t="s">
        <v>37</v>
      </c>
      <c r="B285" s="121"/>
      <c r="C285" s="121"/>
      <c r="D285" s="121"/>
      <c r="E285" s="164">
        <f>G277</f>
        <v>43.102472426204315</v>
      </c>
      <c r="F285" s="137"/>
      <c r="G285" s="137"/>
      <c r="H285" s="137"/>
    </row>
    <row r="286" spans="1:21" ht="20.100000000000001" customHeight="1" x14ac:dyDescent="0.25">
      <c r="A286" s="121" t="s">
        <v>249</v>
      </c>
      <c r="B286" s="121"/>
      <c r="C286" s="121"/>
      <c r="D286" s="121"/>
      <c r="E286" s="137">
        <v>3</v>
      </c>
      <c r="F286" s="137"/>
      <c r="G286" s="137"/>
      <c r="H286" s="137"/>
      <c r="S286" s="135" t="s">
        <v>264</v>
      </c>
      <c r="T286" s="135"/>
      <c r="U286" s="135"/>
    </row>
    <row r="287" spans="1:21" ht="20.100000000000001" customHeight="1" x14ac:dyDescent="0.25">
      <c r="A287" s="121" t="s">
        <v>69</v>
      </c>
      <c r="B287" s="121"/>
      <c r="C287" s="121"/>
      <c r="D287" s="121"/>
      <c r="E287" s="175">
        <v>0.8</v>
      </c>
      <c r="F287" s="175"/>
      <c r="G287" s="175"/>
      <c r="H287" s="175"/>
    </row>
    <row r="288" spans="1:21" ht="20.100000000000001" customHeight="1" x14ac:dyDescent="0.25">
      <c r="A288" s="121" t="s">
        <v>362</v>
      </c>
      <c r="B288" s="121"/>
      <c r="C288" s="121"/>
      <c r="D288" s="121"/>
      <c r="E288" s="185">
        <f>_xlfn.T.INV.2T(1-E287,E286-1)</f>
        <v>1.8856180831641269</v>
      </c>
      <c r="F288" s="185"/>
      <c r="G288" s="185"/>
      <c r="H288" s="185"/>
    </row>
    <row r="289" spans="1:66" ht="20.100000000000001" customHeight="1" x14ac:dyDescent="0.25">
      <c r="A289" s="120"/>
      <c r="B289" s="120"/>
      <c r="C289" s="120"/>
      <c r="D289" s="120"/>
      <c r="E289" s="154"/>
      <c r="F289" s="154"/>
      <c r="G289" s="154"/>
      <c r="H289" s="154"/>
    </row>
    <row r="290" spans="1:66" ht="20.100000000000001" customHeight="1" x14ac:dyDescent="0.25">
      <c r="A290" s="120"/>
      <c r="B290" s="120"/>
      <c r="C290" s="120"/>
      <c r="D290" s="120"/>
      <c r="E290" s="154"/>
      <c r="F290" s="154"/>
      <c r="G290" s="154"/>
      <c r="H290" s="154"/>
    </row>
    <row r="291" spans="1:66" ht="20.100000000000001" customHeight="1" x14ac:dyDescent="0.25">
      <c r="A291" s="125" t="s">
        <v>368</v>
      </c>
      <c r="B291" s="125"/>
      <c r="C291" s="125"/>
      <c r="D291" s="125"/>
      <c r="E291" s="125"/>
      <c r="F291" s="125"/>
      <c r="G291" s="125"/>
      <c r="H291" s="125"/>
      <c r="I291" s="125"/>
      <c r="J291" s="125"/>
      <c r="K291" s="125"/>
      <c r="L291" s="125"/>
      <c r="M291" s="125"/>
      <c r="N291" s="125"/>
      <c r="O291" s="125"/>
      <c r="P291" s="125"/>
      <c r="Q291" s="125"/>
      <c r="R291" s="125"/>
    </row>
    <row r="293" spans="1:66" ht="20.100000000000001" customHeight="1" x14ac:dyDescent="0.25">
      <c r="A293" s="119" t="s">
        <v>44</v>
      </c>
      <c r="B293" s="119"/>
      <c r="C293" s="119"/>
      <c r="D293" s="119"/>
      <c r="E293" s="131">
        <f>E284-(_xlfn.CONFIDENCE.T(1-E287,E285,E286))</f>
        <v>502.59978103643965</v>
      </c>
      <c r="F293" s="132"/>
      <c r="G293" s="132"/>
      <c r="H293" s="132"/>
      <c r="K293" s="119" t="s">
        <v>71</v>
      </c>
      <c r="L293" s="119"/>
      <c r="M293" s="119"/>
      <c r="N293" s="119"/>
      <c r="O293" s="131">
        <f>E294-E293</f>
        <v>93.848056974739791</v>
      </c>
      <c r="P293" s="132"/>
      <c r="Q293" s="132"/>
      <c r="R293" s="132"/>
    </row>
    <row r="294" spans="1:66" ht="20.100000000000001" customHeight="1" x14ac:dyDescent="0.25">
      <c r="A294" s="119" t="s">
        <v>45</v>
      </c>
      <c r="B294" s="119"/>
      <c r="C294" s="119"/>
      <c r="D294" s="119"/>
      <c r="E294" s="131">
        <f>E284+(_xlfn.CONFIDENCE.T(1-E287,E285,E286))</f>
        <v>596.44783801117944</v>
      </c>
      <c r="F294" s="132"/>
      <c r="G294" s="132"/>
      <c r="H294" s="132"/>
      <c r="K294" s="119" t="s">
        <v>36</v>
      </c>
      <c r="L294" s="119"/>
      <c r="M294" s="119"/>
      <c r="N294" s="119"/>
      <c r="O294" s="131">
        <f>E284</f>
        <v>549.52380952380952</v>
      </c>
      <c r="P294" s="132"/>
      <c r="Q294" s="132"/>
      <c r="R294" s="132"/>
    </row>
    <row r="295" spans="1:66" ht="20.100000000000001" customHeight="1" x14ac:dyDescent="0.25">
      <c r="K295" s="119" t="s">
        <v>72</v>
      </c>
      <c r="L295" s="119"/>
      <c r="M295" s="119"/>
      <c r="N295" s="119"/>
      <c r="O295" s="189">
        <f>O293/O294</f>
        <v>0.17078069293496842</v>
      </c>
      <c r="P295" s="189"/>
      <c r="Q295" s="189"/>
      <c r="R295" s="189"/>
    </row>
    <row r="297" spans="1:66" ht="20.100000000000001" customHeight="1" x14ac:dyDescent="0.25">
      <c r="A297" s="153" t="str" cm="1">
        <f t="array" ref="A297">_xlfn.IFS(O295&lt;=0.3,W302,AND(O295&gt;0.3,O295&lt;=0.4),W303,AND(O295&gt;0.4,O295&lt;=0.5),W304,O295&gt;0.5,W305)</f>
        <v>O grau de precisão calculado foi inferior a 30% (trinta por cento); em razão disso, o laudo atingiu o grau de fundamentação III, máximo previsto na tabela 5 do item 9.2.3 da NBR 14653-2:2011 (Avaliação de bens. Parte 2: Imóveis urbanos).</v>
      </c>
      <c r="B297" s="153"/>
      <c r="C297" s="153"/>
      <c r="D297" s="153"/>
      <c r="E297" s="153"/>
      <c r="F297" s="153"/>
      <c r="G297" s="153"/>
      <c r="H297" s="153"/>
      <c r="I297" s="153"/>
      <c r="J297" s="153"/>
      <c r="K297" s="153"/>
      <c r="L297" s="153"/>
      <c r="M297" s="153"/>
      <c r="N297" s="153"/>
      <c r="O297" s="153"/>
      <c r="P297" s="153"/>
      <c r="Q297" s="153"/>
      <c r="R297" s="153"/>
    </row>
    <row r="298" spans="1:66" ht="20.100000000000001" customHeight="1" x14ac:dyDescent="0.25">
      <c r="A298" s="153"/>
      <c r="B298" s="153"/>
      <c r="C298" s="153"/>
      <c r="D298" s="153"/>
      <c r="E298" s="153"/>
      <c r="F298" s="153"/>
      <c r="G298" s="153"/>
      <c r="H298" s="153"/>
      <c r="I298" s="153"/>
      <c r="J298" s="153"/>
      <c r="K298" s="153"/>
      <c r="L298" s="153"/>
      <c r="M298" s="153"/>
      <c r="N298" s="153"/>
      <c r="O298" s="153"/>
      <c r="P298" s="153"/>
      <c r="Q298" s="153"/>
      <c r="R298" s="153"/>
    </row>
    <row r="299" spans="1:66" ht="20.100000000000001" customHeight="1" x14ac:dyDescent="0.25">
      <c r="A299" s="86"/>
      <c r="B299" s="86"/>
      <c r="C299" s="86"/>
      <c r="D299" s="86"/>
      <c r="E299" s="86"/>
      <c r="F299" s="86"/>
      <c r="G299" s="86"/>
      <c r="H299" s="86"/>
      <c r="I299" s="86"/>
      <c r="J299" s="86"/>
      <c r="K299" s="86"/>
      <c r="L299" s="86"/>
      <c r="M299" s="86"/>
      <c r="N299" s="86"/>
      <c r="O299" s="86"/>
      <c r="P299" s="86"/>
      <c r="Q299" s="86"/>
      <c r="R299" s="86"/>
    </row>
    <row r="300" spans="1:66" ht="20.100000000000001" customHeight="1" x14ac:dyDescent="0.25">
      <c r="A300" s="133" t="s">
        <v>363</v>
      </c>
      <c r="B300" s="133"/>
      <c r="C300" s="133"/>
      <c r="D300" s="133"/>
      <c r="E300" s="133"/>
      <c r="F300" s="133"/>
      <c r="G300" s="133"/>
      <c r="H300" s="133"/>
      <c r="I300" s="133"/>
      <c r="J300" s="133"/>
      <c r="K300" s="133"/>
      <c r="L300" s="133"/>
      <c r="M300" s="133"/>
      <c r="N300" s="133"/>
      <c r="O300" s="133"/>
      <c r="P300" s="133"/>
      <c r="Q300" s="133"/>
      <c r="R300" s="133"/>
    </row>
    <row r="301" spans="1:66" ht="20.100000000000001" customHeight="1" x14ac:dyDescent="0.25">
      <c r="A301" s="133"/>
      <c r="B301" s="133"/>
      <c r="C301" s="133"/>
      <c r="D301" s="133"/>
      <c r="E301" s="133"/>
      <c r="F301" s="133"/>
      <c r="G301" s="133"/>
      <c r="H301" s="133"/>
      <c r="I301" s="133"/>
      <c r="J301" s="133"/>
      <c r="K301" s="133"/>
      <c r="L301" s="133"/>
      <c r="M301" s="133"/>
      <c r="N301" s="133"/>
      <c r="O301" s="133"/>
      <c r="P301" s="133"/>
      <c r="Q301" s="133"/>
      <c r="R301" s="133"/>
    </row>
    <row r="302" spans="1:66" ht="20.100000000000001" customHeight="1" x14ac:dyDescent="0.25">
      <c r="A302" s="140" t="s">
        <v>92</v>
      </c>
      <c r="B302" s="140"/>
      <c r="C302" s="140"/>
      <c r="D302" s="140"/>
      <c r="E302" s="140"/>
      <c r="F302" s="140"/>
      <c r="G302" s="140"/>
      <c r="H302" s="140"/>
      <c r="I302" s="140"/>
      <c r="J302" s="140"/>
      <c r="K302" s="140"/>
      <c r="L302" s="140"/>
      <c r="M302" s="140"/>
      <c r="N302" s="140"/>
      <c r="O302" s="140"/>
      <c r="P302" s="140"/>
      <c r="Q302" s="140"/>
      <c r="R302" s="140"/>
      <c r="W302" s="130" t="s">
        <v>106</v>
      </c>
      <c r="X302" s="130"/>
      <c r="Y302" s="130"/>
      <c r="Z302" s="130"/>
      <c r="AA302" s="130"/>
      <c r="AB302" s="130"/>
      <c r="AC302" s="130"/>
      <c r="AD302" s="130"/>
      <c r="AE302" s="130"/>
      <c r="AF302" s="130"/>
      <c r="AG302" s="130"/>
      <c r="AH302" s="130"/>
      <c r="AI302" s="130"/>
      <c r="AJ302" s="130"/>
      <c r="AK302" s="130"/>
      <c r="AL302" s="130"/>
      <c r="AM302" s="130"/>
      <c r="AN302" s="130"/>
      <c r="AO302" s="130"/>
      <c r="AP302" s="130"/>
      <c r="AQ302" s="130"/>
      <c r="AR302" s="130"/>
      <c r="AS302" s="130"/>
      <c r="AT302" s="130"/>
      <c r="AU302" s="130"/>
      <c r="AV302" s="130"/>
      <c r="AW302" s="130"/>
      <c r="AX302" s="130"/>
      <c r="AY302" s="130"/>
      <c r="AZ302" s="130"/>
      <c r="BA302" s="130"/>
      <c r="BB302" s="130"/>
      <c r="BC302" s="130"/>
      <c r="BD302" s="130"/>
      <c r="BE302" s="130"/>
      <c r="BF302" s="130"/>
      <c r="BG302" s="130"/>
      <c r="BH302" s="130"/>
      <c r="BI302" s="130"/>
      <c r="BJ302" s="130"/>
      <c r="BK302" s="130"/>
      <c r="BL302" s="130"/>
      <c r="BM302" s="130"/>
      <c r="BN302" s="130"/>
    </row>
    <row r="303" spans="1:66" ht="20.100000000000001" customHeight="1" x14ac:dyDescent="0.25">
      <c r="A303" s="140"/>
      <c r="B303" s="140"/>
      <c r="C303" s="140"/>
      <c r="D303" s="140"/>
      <c r="E303" s="140"/>
      <c r="F303" s="140"/>
      <c r="G303" s="140"/>
      <c r="H303" s="140"/>
      <c r="I303" s="140"/>
      <c r="J303" s="140"/>
      <c r="K303" s="140"/>
      <c r="L303" s="140"/>
      <c r="M303" s="140"/>
      <c r="N303" s="140"/>
      <c r="O303" s="140"/>
      <c r="P303" s="140"/>
      <c r="Q303" s="140"/>
      <c r="R303" s="140"/>
      <c r="W303" s="130" t="s">
        <v>107</v>
      </c>
      <c r="X303" s="130"/>
      <c r="Y303" s="130"/>
      <c r="Z303" s="130"/>
      <c r="AA303" s="130"/>
      <c r="AB303" s="130"/>
      <c r="AC303" s="130"/>
      <c r="AD303" s="130"/>
      <c r="AE303" s="130"/>
      <c r="AF303" s="130"/>
      <c r="AG303" s="130"/>
      <c r="AH303" s="130"/>
      <c r="AI303" s="130"/>
      <c r="AJ303" s="130"/>
      <c r="AK303" s="130"/>
      <c r="AL303" s="130"/>
      <c r="AM303" s="130"/>
      <c r="AN303" s="130"/>
      <c r="AO303" s="130"/>
      <c r="AP303" s="130"/>
      <c r="AQ303" s="130"/>
      <c r="AR303" s="130"/>
      <c r="AS303" s="130"/>
      <c r="AT303" s="130"/>
      <c r="AU303" s="130"/>
      <c r="AV303" s="130"/>
      <c r="AW303" s="130"/>
      <c r="AX303" s="130"/>
      <c r="AY303" s="130"/>
      <c r="AZ303" s="130"/>
      <c r="BA303" s="130"/>
      <c r="BB303" s="130"/>
      <c r="BC303" s="130"/>
      <c r="BD303" s="130"/>
      <c r="BE303" s="130"/>
      <c r="BF303" s="130"/>
      <c r="BG303" s="130"/>
      <c r="BH303" s="130"/>
      <c r="BI303" s="130"/>
      <c r="BJ303" s="130"/>
      <c r="BK303" s="130"/>
      <c r="BL303" s="130"/>
      <c r="BM303" s="130"/>
      <c r="BN303" s="130"/>
    </row>
    <row r="304" spans="1:66" ht="20.100000000000001" customHeight="1" x14ac:dyDescent="0.25">
      <c r="A304" s="139" t="s">
        <v>89</v>
      </c>
      <c r="B304" s="139"/>
      <c r="C304" s="139"/>
      <c r="D304" s="139"/>
      <c r="E304" s="139"/>
      <c r="F304" s="139"/>
      <c r="G304" s="139" t="s">
        <v>90</v>
      </c>
      <c r="H304" s="139"/>
      <c r="I304" s="139"/>
      <c r="J304" s="139"/>
      <c r="K304" s="139"/>
      <c r="L304" s="139"/>
      <c r="M304" s="139"/>
      <c r="N304" s="139"/>
      <c r="O304" s="139"/>
      <c r="P304" s="139"/>
      <c r="Q304" s="139"/>
      <c r="R304" s="139"/>
      <c r="W304" s="130" t="s">
        <v>108</v>
      </c>
      <c r="X304" s="130"/>
      <c r="Y304" s="130"/>
      <c r="Z304" s="130"/>
      <c r="AA304" s="130"/>
      <c r="AB304" s="130"/>
      <c r="AC304" s="130"/>
      <c r="AD304" s="130"/>
      <c r="AE304" s="130"/>
      <c r="AF304" s="130"/>
      <c r="AG304" s="130"/>
      <c r="AH304" s="130"/>
      <c r="AI304" s="130"/>
      <c r="AJ304" s="130"/>
      <c r="AK304" s="130"/>
      <c r="AL304" s="130"/>
      <c r="AM304" s="130"/>
      <c r="AN304" s="130"/>
      <c r="AO304" s="130"/>
      <c r="AP304" s="130"/>
      <c r="AQ304" s="130"/>
      <c r="AR304" s="130"/>
      <c r="AS304" s="130"/>
      <c r="AT304" s="130"/>
      <c r="AU304" s="130"/>
      <c r="AV304" s="130"/>
      <c r="AW304" s="130"/>
      <c r="AX304" s="130"/>
      <c r="AY304" s="130"/>
      <c r="AZ304" s="130"/>
      <c r="BA304" s="130"/>
      <c r="BB304" s="130"/>
      <c r="BC304" s="130"/>
      <c r="BD304" s="130"/>
      <c r="BE304" s="130"/>
      <c r="BF304" s="130"/>
      <c r="BG304" s="130"/>
      <c r="BH304" s="130"/>
      <c r="BI304" s="130"/>
      <c r="BJ304" s="130"/>
      <c r="BK304" s="130"/>
      <c r="BL304" s="130"/>
      <c r="BM304" s="130"/>
      <c r="BN304" s="130"/>
    </row>
    <row r="305" spans="1:66" ht="20.100000000000001" customHeight="1" x14ac:dyDescent="0.25">
      <c r="A305" s="139"/>
      <c r="B305" s="139"/>
      <c r="C305" s="139"/>
      <c r="D305" s="139"/>
      <c r="E305" s="139"/>
      <c r="F305" s="139"/>
      <c r="G305" s="139" t="s">
        <v>93</v>
      </c>
      <c r="H305" s="139"/>
      <c r="I305" s="139"/>
      <c r="J305" s="139"/>
      <c r="K305" s="139" t="s">
        <v>94</v>
      </c>
      <c r="L305" s="139"/>
      <c r="M305" s="139"/>
      <c r="N305" s="139"/>
      <c r="O305" s="139" t="s">
        <v>84</v>
      </c>
      <c r="P305" s="139"/>
      <c r="Q305" s="139"/>
      <c r="R305" s="139"/>
      <c r="W305" s="130" t="s">
        <v>272</v>
      </c>
      <c r="X305" s="130"/>
      <c r="Y305" s="130"/>
      <c r="Z305" s="130"/>
      <c r="AA305" s="130"/>
      <c r="AB305" s="130"/>
      <c r="AC305" s="130"/>
      <c r="AD305" s="130"/>
      <c r="AE305" s="130"/>
      <c r="AF305" s="130"/>
      <c r="AG305" s="130"/>
      <c r="AH305" s="130"/>
      <c r="AI305" s="130"/>
      <c r="AJ305" s="130"/>
      <c r="AK305" s="130"/>
      <c r="AL305" s="130"/>
      <c r="AM305" s="130"/>
      <c r="AN305" s="130"/>
      <c r="AO305" s="130"/>
      <c r="AP305" s="130"/>
      <c r="AQ305" s="130"/>
      <c r="AR305" s="130"/>
      <c r="AS305" s="130"/>
      <c r="AT305" s="130"/>
      <c r="AU305" s="130"/>
      <c r="AV305" s="130"/>
      <c r="AW305" s="130"/>
      <c r="AX305" s="130"/>
      <c r="AY305" s="130"/>
      <c r="AZ305" s="130"/>
      <c r="BA305" s="130"/>
      <c r="BB305" s="130"/>
      <c r="BC305" s="130"/>
      <c r="BD305" s="130"/>
      <c r="BE305" s="130"/>
      <c r="BF305" s="130"/>
      <c r="BG305" s="130"/>
      <c r="BH305" s="130"/>
      <c r="BI305" s="130"/>
      <c r="BJ305" s="130"/>
      <c r="BK305" s="130"/>
      <c r="BL305" s="130"/>
      <c r="BM305" s="130"/>
      <c r="BN305" s="130"/>
    </row>
    <row r="306" spans="1:66" ht="20.100000000000001" customHeight="1" x14ac:dyDescent="0.25">
      <c r="A306" s="141" t="s">
        <v>91</v>
      </c>
      <c r="B306" s="141"/>
      <c r="C306" s="141"/>
      <c r="D306" s="141"/>
      <c r="E306" s="141"/>
      <c r="F306" s="141"/>
      <c r="G306" s="188" t="s">
        <v>103</v>
      </c>
      <c r="H306" s="188"/>
      <c r="I306" s="188"/>
      <c r="J306" s="188"/>
      <c r="K306" s="188" t="s">
        <v>104</v>
      </c>
      <c r="L306" s="188"/>
      <c r="M306" s="188"/>
      <c r="N306" s="188"/>
      <c r="O306" s="188" t="s">
        <v>105</v>
      </c>
      <c r="P306" s="188"/>
      <c r="Q306" s="188"/>
      <c r="R306" s="188"/>
    </row>
    <row r="307" spans="1:66" ht="20.100000000000001" customHeight="1" x14ac:dyDescent="0.25">
      <c r="A307" s="141"/>
      <c r="B307" s="141"/>
      <c r="C307" s="141"/>
      <c r="D307" s="141"/>
      <c r="E307" s="141"/>
      <c r="F307" s="141"/>
      <c r="G307" s="188"/>
      <c r="H307" s="188"/>
      <c r="I307" s="188"/>
      <c r="J307" s="188"/>
      <c r="K307" s="188"/>
      <c r="L307" s="188"/>
      <c r="M307" s="188"/>
      <c r="N307" s="188"/>
      <c r="O307" s="188"/>
      <c r="P307" s="188"/>
      <c r="Q307" s="188"/>
      <c r="R307" s="188"/>
    </row>
    <row r="310" spans="1:66" ht="20.100000000000001" customHeight="1" x14ac:dyDescent="0.25">
      <c r="A310" s="125" t="s">
        <v>366</v>
      </c>
      <c r="B310" s="125"/>
      <c r="C310" s="125"/>
      <c r="D310" s="125"/>
      <c r="E310" s="125"/>
      <c r="F310" s="125"/>
      <c r="G310" s="125"/>
      <c r="H310" s="125"/>
      <c r="I310" s="125"/>
      <c r="J310" s="125"/>
      <c r="K310" s="125"/>
      <c r="L310" s="125"/>
      <c r="M310" s="125"/>
      <c r="N310" s="125"/>
      <c r="O310" s="125"/>
      <c r="P310" s="125"/>
      <c r="Q310" s="125"/>
      <c r="R310" s="125"/>
    </row>
    <row r="312" spans="1:66" ht="39.950000000000003" customHeight="1" x14ac:dyDescent="0.25">
      <c r="A312" s="187" t="s">
        <v>73</v>
      </c>
      <c r="B312" s="187"/>
      <c r="C312" s="187"/>
      <c r="D312" s="187"/>
      <c r="E312" s="186" t="s">
        <v>69</v>
      </c>
      <c r="F312" s="187"/>
      <c r="G312" s="187"/>
      <c r="H312" s="187"/>
      <c r="I312" s="186" t="s">
        <v>365</v>
      </c>
      <c r="J312" s="187"/>
      <c r="K312" s="187"/>
      <c r="L312" s="187"/>
      <c r="M312" s="186" t="s">
        <v>109</v>
      </c>
      <c r="N312" s="187"/>
      <c r="O312" s="187"/>
      <c r="P312" s="187"/>
    </row>
    <row r="313" spans="1:66" ht="20.100000000000001" customHeight="1" x14ac:dyDescent="0.25">
      <c r="A313" s="119" t="s">
        <v>74</v>
      </c>
      <c r="B313" s="119"/>
      <c r="C313" s="119"/>
      <c r="D313" s="119"/>
      <c r="E313" s="131">
        <f>E293</f>
        <v>502.59978103643965</v>
      </c>
      <c r="F313" s="132"/>
      <c r="G313" s="132"/>
      <c r="H313" s="132"/>
      <c r="I313" s="131">
        <f>E284*(1-0.15)</f>
        <v>467.09523809523807</v>
      </c>
      <c r="J313" s="132"/>
      <c r="K313" s="132"/>
      <c r="L313" s="132"/>
      <c r="M313" s="131">
        <f>MAX(E313:L313)</f>
        <v>502.59978103643965</v>
      </c>
      <c r="N313" s="132"/>
      <c r="O313" s="132"/>
      <c r="P313" s="132"/>
    </row>
    <row r="314" spans="1:66" ht="20.100000000000001" customHeight="1" x14ac:dyDescent="0.25">
      <c r="A314" s="119" t="s">
        <v>75</v>
      </c>
      <c r="B314" s="119"/>
      <c r="C314" s="119"/>
      <c r="D314" s="119"/>
      <c r="E314" s="131">
        <f>E294</f>
        <v>596.44783801117944</v>
      </c>
      <c r="F314" s="132"/>
      <c r="G314" s="132"/>
      <c r="H314" s="132"/>
      <c r="I314" s="131">
        <f>E284*(1+0.15)</f>
        <v>631.95238095238085</v>
      </c>
      <c r="J314" s="132"/>
      <c r="K314" s="132"/>
      <c r="L314" s="132"/>
      <c r="M314" s="131">
        <f>MIN(E314:L314)</f>
        <v>596.44783801117944</v>
      </c>
      <c r="N314" s="132"/>
      <c r="O314" s="132"/>
      <c r="P314" s="132"/>
    </row>
    <row r="316" spans="1:66" ht="20.100000000000001" customHeight="1" x14ac:dyDescent="0.25">
      <c r="A316" s="117" t="s">
        <v>335</v>
      </c>
      <c r="B316" s="117"/>
      <c r="C316" s="117"/>
      <c r="D316" s="117"/>
      <c r="E316" s="117"/>
      <c r="F316" s="117"/>
      <c r="G316" s="117"/>
      <c r="H316" s="117"/>
      <c r="I316" s="117"/>
      <c r="J316" s="117"/>
      <c r="K316" s="117"/>
      <c r="L316" s="117"/>
      <c r="M316" s="117"/>
      <c r="N316" s="117"/>
      <c r="O316" s="117"/>
      <c r="P316" s="117"/>
      <c r="Q316" s="117"/>
      <c r="R316" s="117"/>
    </row>
    <row r="317" spans="1:66" ht="20.100000000000001" customHeight="1" x14ac:dyDescent="0.25">
      <c r="A317" s="117"/>
      <c r="B317" s="117"/>
      <c r="C317" s="117"/>
      <c r="D317" s="117"/>
      <c r="E317" s="117"/>
      <c r="F317" s="117"/>
      <c r="G317" s="117"/>
      <c r="H317" s="117"/>
      <c r="I317" s="117"/>
      <c r="J317" s="117"/>
      <c r="K317" s="117"/>
      <c r="L317" s="117"/>
      <c r="M317" s="117"/>
      <c r="N317" s="117"/>
      <c r="O317" s="117"/>
      <c r="P317" s="117"/>
      <c r="Q317" s="117"/>
      <c r="R317" s="117"/>
    </row>
    <row r="318" spans="1:66" ht="20.100000000000001" customHeight="1" x14ac:dyDescent="0.25">
      <c r="A318" s="117"/>
      <c r="B318" s="117"/>
      <c r="C318" s="117"/>
      <c r="D318" s="117"/>
      <c r="E318" s="117"/>
      <c r="F318" s="117"/>
      <c r="G318" s="117"/>
      <c r="H318" s="117"/>
      <c r="I318" s="117"/>
      <c r="J318" s="117"/>
      <c r="K318" s="117"/>
      <c r="L318" s="117"/>
      <c r="M318" s="117"/>
      <c r="N318" s="117"/>
      <c r="O318" s="117"/>
      <c r="P318" s="117"/>
      <c r="Q318" s="117"/>
      <c r="R318" s="117"/>
    </row>
    <row r="319" spans="1:66" ht="20.100000000000001" customHeight="1" x14ac:dyDescent="0.25">
      <c r="A319" s="117"/>
      <c r="B319" s="117"/>
      <c r="C319" s="117"/>
      <c r="D319" s="117"/>
      <c r="E319" s="117"/>
      <c r="F319" s="117"/>
      <c r="G319" s="117"/>
      <c r="H319" s="117"/>
      <c r="I319" s="117"/>
      <c r="J319" s="117"/>
      <c r="K319" s="117"/>
      <c r="L319" s="117"/>
      <c r="M319" s="117"/>
      <c r="N319" s="117"/>
      <c r="O319" s="117"/>
      <c r="P319" s="117"/>
      <c r="Q319" s="117"/>
      <c r="R319" s="117"/>
    </row>
    <row r="320" spans="1:66" ht="20.100000000000001" customHeight="1" x14ac:dyDescent="0.25">
      <c r="A320" s="117"/>
      <c r="B320" s="117"/>
      <c r="C320" s="117"/>
      <c r="D320" s="117"/>
      <c r="E320" s="117"/>
      <c r="F320" s="117"/>
      <c r="G320" s="117"/>
      <c r="H320" s="117"/>
      <c r="I320" s="117"/>
      <c r="J320" s="117"/>
      <c r="K320" s="117"/>
      <c r="L320" s="117"/>
      <c r="M320" s="117"/>
      <c r="N320" s="117"/>
      <c r="O320" s="117"/>
      <c r="P320" s="117"/>
      <c r="Q320" s="117"/>
      <c r="R320" s="117"/>
    </row>
    <row r="321" spans="1:24" ht="20.100000000000001" customHeight="1" x14ac:dyDescent="0.25">
      <c r="A321" s="117"/>
      <c r="B321" s="117"/>
      <c r="C321" s="117"/>
      <c r="D321" s="117"/>
      <c r="E321" s="117"/>
      <c r="F321" s="117"/>
      <c r="G321" s="117"/>
      <c r="H321" s="117"/>
      <c r="I321" s="117"/>
      <c r="J321" s="117"/>
      <c r="K321" s="117"/>
      <c r="L321" s="117"/>
      <c r="M321" s="117"/>
      <c r="N321" s="117"/>
      <c r="O321" s="117"/>
      <c r="P321" s="117"/>
      <c r="Q321" s="117"/>
      <c r="R321" s="117"/>
    </row>
    <row r="322" spans="1:24" ht="20.100000000000001" customHeight="1" x14ac:dyDescent="0.25">
      <c r="A322" s="87"/>
      <c r="B322" s="87"/>
      <c r="C322" s="87"/>
      <c r="D322" s="87"/>
      <c r="E322" s="87"/>
      <c r="F322" s="87"/>
      <c r="G322" s="87"/>
      <c r="H322" s="87"/>
      <c r="I322" s="87"/>
      <c r="J322" s="87"/>
      <c r="K322" s="87"/>
      <c r="L322" s="87"/>
      <c r="M322" s="87"/>
      <c r="N322" s="87"/>
      <c r="O322" s="87"/>
      <c r="P322" s="87"/>
      <c r="Q322" s="87"/>
      <c r="R322" s="87"/>
    </row>
    <row r="323" spans="1:24" ht="20.100000000000001" customHeight="1" x14ac:dyDescent="0.25">
      <c r="H323" s="160">
        <f>E284</f>
        <v>549.52380952380952</v>
      </c>
      <c r="I323" s="180"/>
      <c r="J323" s="180"/>
      <c r="K323" s="180"/>
    </row>
    <row r="324" spans="1:24" ht="20.100000000000001" customHeight="1" x14ac:dyDescent="0.25">
      <c r="I324" s="88"/>
    </row>
    <row r="325" spans="1:24" ht="20.100000000000001" customHeight="1" x14ac:dyDescent="0.25">
      <c r="A325" s="181">
        <f>E293</f>
        <v>502.59978103643965</v>
      </c>
      <c r="B325" s="182"/>
      <c r="C325" s="182"/>
      <c r="D325" s="178" t="s">
        <v>69</v>
      </c>
      <c r="E325" s="178"/>
      <c r="F325" s="178"/>
      <c r="G325" s="178"/>
      <c r="H325" s="178"/>
      <c r="I325" s="178"/>
      <c r="J325" s="178"/>
      <c r="K325" s="178"/>
      <c r="L325" s="178"/>
      <c r="M325" s="178"/>
      <c r="N325" s="178"/>
      <c r="O325" s="178"/>
      <c r="P325" s="183">
        <f>E294</f>
        <v>596.44783801117944</v>
      </c>
      <c r="Q325" s="184"/>
      <c r="R325" s="184"/>
    </row>
    <row r="326" spans="1:24" ht="20.100000000000001" customHeight="1" x14ac:dyDescent="0.25">
      <c r="A326" s="177" t="s">
        <v>95</v>
      </c>
      <c r="B326" s="177"/>
      <c r="C326" s="177"/>
      <c r="I326" s="88"/>
      <c r="P326" s="177" t="s">
        <v>96</v>
      </c>
      <c r="Q326" s="177"/>
      <c r="R326" s="177"/>
      <c r="T326" s="89"/>
      <c r="U326" s="89"/>
    </row>
    <row r="327" spans="1:24" ht="20.100000000000001" customHeight="1" x14ac:dyDescent="0.25">
      <c r="A327" s="181">
        <f>M313</f>
        <v>502.59978103643965</v>
      </c>
      <c r="B327" s="182"/>
      <c r="C327" s="182"/>
      <c r="D327" s="179" t="s">
        <v>109</v>
      </c>
      <c r="E327" s="179"/>
      <c r="F327" s="179"/>
      <c r="G327" s="179"/>
      <c r="H327" s="179"/>
      <c r="I327" s="179"/>
      <c r="J327" s="179"/>
      <c r="K327" s="179"/>
      <c r="L327" s="179"/>
      <c r="M327" s="179"/>
      <c r="N327" s="179"/>
      <c r="O327" s="179"/>
      <c r="P327" s="183">
        <f>M314</f>
        <v>596.44783801117944</v>
      </c>
      <c r="Q327" s="184"/>
      <c r="R327" s="184"/>
      <c r="T327" s="89"/>
      <c r="U327" s="89"/>
    </row>
    <row r="328" spans="1:24" ht="20.100000000000001" customHeight="1" x14ac:dyDescent="0.25">
      <c r="A328" s="177" t="s">
        <v>98</v>
      </c>
      <c r="B328" s="177"/>
      <c r="C328" s="177"/>
      <c r="P328" s="177" t="s">
        <v>97</v>
      </c>
      <c r="Q328" s="177"/>
      <c r="R328" s="177"/>
      <c r="T328" s="89"/>
      <c r="U328" s="89"/>
    </row>
    <row r="329" spans="1:24" ht="20.100000000000001" customHeight="1" x14ac:dyDescent="0.25">
      <c r="T329" s="89"/>
      <c r="U329" s="89"/>
      <c r="W329" s="82"/>
      <c r="X329" s="82"/>
    </row>
    <row r="330" spans="1:24" ht="20.100000000000001" customHeight="1" x14ac:dyDescent="0.25">
      <c r="T330" s="89"/>
      <c r="U330" s="89"/>
    </row>
    <row r="331" spans="1:24" ht="20.100000000000001" customHeight="1" x14ac:dyDescent="0.25">
      <c r="T331" s="89"/>
      <c r="U331" s="89"/>
      <c r="W331" s="61" t="s">
        <v>336</v>
      </c>
      <c r="X331" s="61" t="s">
        <v>337</v>
      </c>
    </row>
    <row r="332" spans="1:24" ht="20.100000000000001" customHeight="1" x14ac:dyDescent="0.25">
      <c r="T332" s="89"/>
      <c r="U332" s="89"/>
      <c r="W332" s="82">
        <f>O293</f>
        <v>93.848056974739791</v>
      </c>
      <c r="X332" s="82">
        <f>(M314-M313)</f>
        <v>93.848056974739791</v>
      </c>
    </row>
    <row r="333" spans="1:24" ht="20.100000000000001" customHeight="1" x14ac:dyDescent="0.25">
      <c r="T333" s="89"/>
      <c r="U333" s="89"/>
    </row>
    <row r="334" spans="1:24" ht="20.100000000000001" customHeight="1" x14ac:dyDescent="0.25">
      <c r="T334" s="89"/>
      <c r="U334" s="89"/>
    </row>
    <row r="335" spans="1:24" ht="20.100000000000001" customHeight="1" x14ac:dyDescent="0.25">
      <c r="T335" s="89"/>
      <c r="U335" s="89"/>
    </row>
    <row r="336" spans="1:24" ht="20.100000000000001" customHeight="1" x14ac:dyDescent="0.25">
      <c r="T336" s="89"/>
      <c r="U336" s="89"/>
    </row>
    <row r="337" spans="1:27" ht="20.100000000000001" customHeight="1" x14ac:dyDescent="0.25">
      <c r="T337" s="89"/>
      <c r="U337" s="89"/>
    </row>
    <row r="338" spans="1:27" ht="20.100000000000001" customHeight="1" x14ac:dyDescent="0.25">
      <c r="A338" s="125" t="s">
        <v>367</v>
      </c>
      <c r="B338" s="125"/>
      <c r="C338" s="125"/>
      <c r="D338" s="125"/>
      <c r="E338" s="125"/>
      <c r="F338" s="125"/>
      <c r="G338" s="125"/>
      <c r="H338" s="125"/>
      <c r="I338" s="125"/>
      <c r="J338" s="125"/>
      <c r="K338" s="125"/>
      <c r="L338" s="125"/>
      <c r="M338" s="125"/>
      <c r="N338" s="125"/>
      <c r="O338" s="125"/>
      <c r="P338" s="125"/>
      <c r="Q338" s="125"/>
      <c r="R338" s="125"/>
      <c r="T338" s="89"/>
      <c r="U338" s="89"/>
    </row>
    <row r="339" spans="1:27" ht="20.100000000000001" customHeight="1" x14ac:dyDescent="0.25">
      <c r="T339" s="89"/>
      <c r="U339" s="89"/>
      <c r="V339" s="90"/>
    </row>
    <row r="340" spans="1:27" ht="20.100000000000001" customHeight="1" x14ac:dyDescent="0.25">
      <c r="A340" s="119" t="s">
        <v>76</v>
      </c>
      <c r="B340" s="119"/>
      <c r="C340" s="119"/>
      <c r="D340" s="119"/>
      <c r="E340" s="119"/>
      <c r="F340" s="119"/>
      <c r="G340" s="119"/>
      <c r="H340" s="119"/>
      <c r="I340" s="119"/>
      <c r="J340" s="119"/>
      <c r="K340" s="119"/>
      <c r="L340" s="119"/>
      <c r="M340" s="131">
        <v>320</v>
      </c>
      <c r="N340" s="131"/>
      <c r="O340" s="131"/>
      <c r="P340" s="131"/>
      <c r="Q340" s="131"/>
      <c r="R340" s="131"/>
      <c r="T340" s="89"/>
      <c r="U340" s="89"/>
      <c r="V340" s="90"/>
    </row>
    <row r="341" spans="1:27" ht="20.100000000000001" customHeight="1" x14ac:dyDescent="0.25">
      <c r="A341" s="119" t="s">
        <v>77</v>
      </c>
      <c r="B341" s="119"/>
      <c r="C341" s="119"/>
      <c r="D341" s="119"/>
      <c r="E341" s="119"/>
      <c r="F341" s="119"/>
      <c r="G341" s="119"/>
      <c r="H341" s="119"/>
      <c r="I341" s="119"/>
      <c r="J341" s="119"/>
      <c r="K341" s="119"/>
      <c r="L341" s="119"/>
      <c r="M341" s="131">
        <f>E284</f>
        <v>549.52380952380952</v>
      </c>
      <c r="N341" s="131"/>
      <c r="O341" s="131"/>
      <c r="P341" s="131"/>
      <c r="Q341" s="131"/>
      <c r="R341" s="131"/>
      <c r="T341" s="89"/>
      <c r="U341" s="89"/>
    </row>
    <row r="342" spans="1:27" ht="20.100000000000001" customHeight="1" x14ac:dyDescent="0.25">
      <c r="A342" s="119" t="s">
        <v>102</v>
      </c>
      <c r="B342" s="119"/>
      <c r="C342" s="119"/>
      <c r="D342" s="119"/>
      <c r="E342" s="119"/>
      <c r="F342" s="119"/>
      <c r="G342" s="119"/>
      <c r="H342" s="119"/>
      <c r="I342" s="119"/>
      <c r="J342" s="119"/>
      <c r="K342" s="119"/>
      <c r="L342" s="119"/>
      <c r="M342" s="131">
        <f>M340*M341</f>
        <v>175847.61904761905</v>
      </c>
      <c r="N342" s="131"/>
      <c r="O342" s="131"/>
      <c r="P342" s="131"/>
      <c r="Q342" s="131"/>
      <c r="R342" s="131"/>
      <c r="AA342" s="90"/>
    </row>
    <row r="343" spans="1:27" ht="20.100000000000001" customHeight="1" x14ac:dyDescent="0.25">
      <c r="AA343" s="90"/>
    </row>
    <row r="344" spans="1:27" ht="20.100000000000001" customHeight="1" x14ac:dyDescent="0.25">
      <c r="A344" s="134" t="s">
        <v>79</v>
      </c>
      <c r="B344" s="134"/>
      <c r="C344" s="134"/>
      <c r="D344" s="134"/>
      <c r="E344" s="134"/>
      <c r="F344" s="134"/>
      <c r="G344" s="134"/>
      <c r="H344" s="134"/>
      <c r="I344" s="134"/>
      <c r="J344" s="134"/>
      <c r="K344" s="134"/>
      <c r="L344" s="134"/>
      <c r="M344" s="120"/>
      <c r="N344" s="120"/>
      <c r="O344" s="120"/>
      <c r="P344" s="120"/>
      <c r="Q344" s="120"/>
      <c r="R344" s="120"/>
    </row>
    <row r="345" spans="1:27" ht="20.100000000000001" customHeight="1" x14ac:dyDescent="0.25">
      <c r="A345" s="119" t="s">
        <v>80</v>
      </c>
      <c r="B345" s="119"/>
      <c r="C345" s="119"/>
      <c r="D345" s="119"/>
      <c r="E345" s="119"/>
      <c r="F345" s="119"/>
      <c r="G345" s="119"/>
      <c r="H345" s="119"/>
      <c r="I345" s="119"/>
      <c r="J345" s="119"/>
      <c r="K345" s="119"/>
      <c r="L345" s="119"/>
      <c r="M345" s="119">
        <v>3</v>
      </c>
      <c r="N345" s="119"/>
      <c r="O345" s="119"/>
      <c r="P345" s="119"/>
      <c r="Q345" s="119"/>
      <c r="R345" s="119"/>
      <c r="S345" s="176" t="str">
        <f>IF(M347&gt;0.01,"Reduzir o número de casas decimais","")</f>
        <v/>
      </c>
      <c r="T345" s="176"/>
    </row>
    <row r="346" spans="1:27" ht="20.100000000000001" customHeight="1" x14ac:dyDescent="0.25">
      <c r="A346" s="121" t="s">
        <v>81</v>
      </c>
      <c r="B346" s="121"/>
      <c r="C346" s="121"/>
      <c r="D346" s="121"/>
      <c r="E346" s="121"/>
      <c r="F346" s="121"/>
      <c r="G346" s="121"/>
      <c r="H346" s="121"/>
      <c r="I346" s="121"/>
      <c r="J346" s="121"/>
      <c r="K346" s="121"/>
      <c r="L346" s="121"/>
      <c r="M346" s="138">
        <f>M349-M342</f>
        <v>152.38095238094684</v>
      </c>
      <c r="N346" s="121"/>
      <c r="O346" s="121"/>
      <c r="P346" s="121"/>
      <c r="Q346" s="121"/>
      <c r="R346" s="121"/>
    </row>
    <row r="347" spans="1:27" ht="20.100000000000001" customHeight="1" x14ac:dyDescent="0.25">
      <c r="A347" s="121" t="s">
        <v>82</v>
      </c>
      <c r="B347" s="121"/>
      <c r="C347" s="121"/>
      <c r="D347" s="121"/>
      <c r="E347" s="121"/>
      <c r="F347" s="121"/>
      <c r="G347" s="121"/>
      <c r="H347" s="121"/>
      <c r="I347" s="121"/>
      <c r="J347" s="121"/>
      <c r="K347" s="121"/>
      <c r="L347" s="121"/>
      <c r="M347" s="150">
        <f>M346/M342</f>
        <v>8.6655112651643287E-4</v>
      </c>
      <c r="N347" s="150"/>
      <c r="O347" s="150"/>
      <c r="P347" s="150"/>
      <c r="Q347" s="150"/>
      <c r="R347" s="150"/>
    </row>
    <row r="349" spans="1:27" ht="20.100000000000001" customHeight="1" x14ac:dyDescent="0.25">
      <c r="A349" s="151" t="s">
        <v>78</v>
      </c>
      <c r="B349" s="151"/>
      <c r="C349" s="151"/>
      <c r="D349" s="151"/>
      <c r="E349" s="151"/>
      <c r="F349" s="151"/>
      <c r="G349" s="151"/>
      <c r="H349" s="151"/>
      <c r="I349" s="151"/>
      <c r="J349" s="151"/>
      <c r="K349" s="151"/>
      <c r="L349" s="151"/>
      <c r="M349" s="152">
        <f>ROUNDUP(M342,-M345)</f>
        <v>176000</v>
      </c>
      <c r="N349" s="152"/>
      <c r="O349" s="152"/>
      <c r="P349" s="152"/>
      <c r="Q349" s="152"/>
      <c r="R349" s="152"/>
    </row>
    <row r="352" spans="1:27" ht="20.100000000000001" customHeight="1" x14ac:dyDescent="0.25">
      <c r="A352" s="133"/>
      <c r="B352" s="133"/>
      <c r="C352" s="133"/>
      <c r="D352" s="133"/>
      <c r="E352" s="133"/>
      <c r="F352" s="133"/>
      <c r="G352" s="133"/>
      <c r="H352" s="133"/>
      <c r="I352" s="133"/>
      <c r="J352" s="133"/>
      <c r="K352" s="133"/>
      <c r="L352" s="133"/>
      <c r="M352" s="133"/>
      <c r="N352" s="133"/>
      <c r="O352" s="133"/>
      <c r="P352" s="133"/>
      <c r="Q352" s="133"/>
      <c r="R352" s="133"/>
    </row>
    <row r="353" spans="1:18" ht="20.100000000000001" customHeight="1" x14ac:dyDescent="0.25">
      <c r="A353" s="133" t="s">
        <v>86</v>
      </c>
      <c r="B353" s="133"/>
      <c r="C353" s="133"/>
      <c r="D353" s="133"/>
      <c r="E353" s="133"/>
      <c r="F353" s="133"/>
      <c r="G353" s="133"/>
      <c r="H353" s="133"/>
      <c r="I353" s="133"/>
      <c r="J353" s="133"/>
      <c r="K353" s="133"/>
      <c r="L353" s="133"/>
      <c r="M353" s="133"/>
      <c r="N353" s="133"/>
      <c r="O353" s="133"/>
      <c r="P353" s="133"/>
      <c r="Q353" s="133"/>
      <c r="R353" s="133"/>
    </row>
    <row r="354" spans="1:18" ht="20.100000000000001" customHeight="1" x14ac:dyDescent="0.25">
      <c r="A354" s="133" t="s">
        <v>85</v>
      </c>
      <c r="B354" s="133"/>
      <c r="C354" s="133"/>
      <c r="D354" s="133"/>
      <c r="E354" s="133"/>
      <c r="F354" s="133"/>
      <c r="G354" s="133"/>
      <c r="H354" s="133"/>
      <c r="I354" s="133"/>
      <c r="J354" s="133"/>
      <c r="K354" s="133"/>
      <c r="L354" s="133"/>
      <c r="M354" s="133"/>
      <c r="N354" s="133"/>
      <c r="O354" s="133"/>
      <c r="P354" s="133"/>
      <c r="Q354" s="133"/>
      <c r="R354" s="133"/>
    </row>
    <row r="356" spans="1:18" ht="20.100000000000001" customHeight="1" x14ac:dyDescent="0.25">
      <c r="A356" s="117" t="s">
        <v>83</v>
      </c>
      <c r="B356" s="117"/>
      <c r="C356" s="117"/>
      <c r="D356" s="117"/>
      <c r="E356" s="117"/>
      <c r="F356" s="117"/>
      <c r="G356" s="117"/>
      <c r="H356" s="117"/>
      <c r="I356" s="117"/>
      <c r="J356" s="117"/>
      <c r="K356" s="117"/>
      <c r="L356" s="117"/>
      <c r="M356" s="117"/>
      <c r="N356" s="117"/>
      <c r="O356" s="117"/>
      <c r="P356" s="117"/>
      <c r="Q356" s="117"/>
      <c r="R356" s="117"/>
    </row>
    <row r="357" spans="1:18" ht="20.100000000000001" customHeight="1" x14ac:dyDescent="0.25">
      <c r="A357" s="117" t="s">
        <v>322</v>
      </c>
      <c r="B357" s="117"/>
      <c r="C357" s="117"/>
      <c r="D357" s="117"/>
      <c r="E357" s="117"/>
      <c r="F357" s="117"/>
      <c r="G357" s="117"/>
      <c r="H357" s="117"/>
      <c r="I357" s="117"/>
      <c r="J357" s="117"/>
      <c r="K357" s="117"/>
      <c r="L357" s="117"/>
      <c r="M357" s="117"/>
      <c r="N357" s="117"/>
      <c r="O357" s="117"/>
      <c r="P357" s="117"/>
      <c r="Q357" s="117"/>
      <c r="R357" s="117"/>
    </row>
    <row r="358" spans="1:18" ht="20.100000000000001" customHeight="1" x14ac:dyDescent="0.25">
      <c r="A358" s="117" t="s">
        <v>110</v>
      </c>
      <c r="B358" s="117"/>
      <c r="C358" s="117"/>
      <c r="D358" s="117"/>
      <c r="E358" s="117"/>
      <c r="F358" s="117"/>
      <c r="G358" s="117"/>
      <c r="H358" s="117"/>
      <c r="I358" s="117"/>
      <c r="J358" s="117"/>
      <c r="K358" s="117"/>
      <c r="L358" s="117"/>
      <c r="M358" s="117"/>
      <c r="N358" s="117"/>
      <c r="O358" s="117"/>
      <c r="P358" s="117"/>
      <c r="Q358" s="117"/>
      <c r="R358" s="117"/>
    </row>
    <row r="359" spans="1:18" ht="20.100000000000001" customHeight="1" x14ac:dyDescent="0.25">
      <c r="A359" s="117"/>
      <c r="B359" s="117"/>
      <c r="C359" s="117"/>
      <c r="D359" s="117"/>
      <c r="E359" s="117"/>
      <c r="F359" s="117"/>
      <c r="G359" s="117"/>
      <c r="H359" s="117"/>
      <c r="I359" s="117"/>
      <c r="J359" s="117"/>
      <c r="K359" s="117"/>
      <c r="L359" s="117"/>
      <c r="M359" s="117"/>
      <c r="N359" s="117"/>
      <c r="O359" s="117"/>
      <c r="P359" s="117"/>
      <c r="Q359" s="117"/>
      <c r="R359" s="117"/>
    </row>
    <row r="360" spans="1:18" ht="20.100000000000001" customHeight="1" x14ac:dyDescent="0.25">
      <c r="A360" s="117" t="s">
        <v>251</v>
      </c>
      <c r="B360" s="117"/>
      <c r="C360" s="117"/>
      <c r="D360" s="117"/>
      <c r="E360" s="117"/>
      <c r="F360" s="117"/>
      <c r="G360" s="117"/>
      <c r="H360" s="117"/>
      <c r="I360" s="117"/>
      <c r="J360" s="117"/>
      <c r="K360" s="117"/>
      <c r="L360" s="117"/>
      <c r="M360" s="117"/>
      <c r="N360" s="117"/>
      <c r="O360" s="117"/>
      <c r="P360" s="117"/>
      <c r="Q360" s="117"/>
      <c r="R360" s="117"/>
    </row>
    <row r="361" spans="1:18" ht="20.100000000000001" customHeight="1" x14ac:dyDescent="0.25">
      <c r="A361" s="117" t="s">
        <v>252</v>
      </c>
      <c r="B361" s="117"/>
      <c r="C361" s="117"/>
      <c r="D361" s="117"/>
      <c r="E361" s="117"/>
      <c r="F361" s="117"/>
      <c r="G361" s="117"/>
      <c r="H361" s="117"/>
      <c r="I361" s="117"/>
      <c r="J361" s="117"/>
      <c r="K361" s="117"/>
      <c r="L361" s="117"/>
      <c r="M361" s="117"/>
      <c r="N361" s="117"/>
      <c r="O361" s="117"/>
      <c r="P361" s="117"/>
      <c r="Q361" s="117"/>
      <c r="R361" s="117"/>
    </row>
    <row r="362" spans="1:18" ht="20.100000000000001" customHeight="1" x14ac:dyDescent="0.25">
      <c r="A362" s="117" t="s">
        <v>253</v>
      </c>
      <c r="B362" s="117"/>
      <c r="C362" s="117"/>
      <c r="D362" s="117"/>
      <c r="E362" s="117"/>
      <c r="F362" s="117"/>
      <c r="G362" s="117"/>
      <c r="H362" s="117"/>
      <c r="I362" s="117"/>
      <c r="J362" s="117"/>
      <c r="K362" s="117"/>
      <c r="L362" s="117"/>
      <c r="M362" s="117"/>
      <c r="N362" s="117"/>
      <c r="O362" s="117"/>
      <c r="P362" s="117"/>
      <c r="Q362" s="117"/>
      <c r="R362" s="117"/>
    </row>
    <row r="363" spans="1:18" ht="20.100000000000001" customHeight="1" x14ac:dyDescent="0.25">
      <c r="A363" s="117" t="s">
        <v>254</v>
      </c>
      <c r="B363" s="117"/>
      <c r="C363" s="117"/>
      <c r="D363" s="117"/>
      <c r="E363" s="117"/>
      <c r="F363" s="117"/>
      <c r="G363" s="117"/>
      <c r="H363" s="117"/>
      <c r="I363" s="117"/>
      <c r="J363" s="117"/>
      <c r="K363" s="117"/>
      <c r="L363" s="117"/>
      <c r="M363" s="117"/>
      <c r="N363" s="117"/>
      <c r="O363" s="117"/>
      <c r="P363" s="117"/>
      <c r="Q363" s="117"/>
      <c r="R363" s="117"/>
    </row>
    <row r="364" spans="1:18" ht="20.100000000000001" customHeight="1" x14ac:dyDescent="0.25">
      <c r="A364" s="117"/>
      <c r="B364" s="117"/>
      <c r="C364" s="117"/>
      <c r="D364" s="117"/>
      <c r="E364" s="117"/>
      <c r="F364" s="117"/>
      <c r="G364" s="117"/>
      <c r="H364" s="117"/>
      <c r="I364" s="117"/>
      <c r="J364" s="117"/>
      <c r="K364" s="117"/>
      <c r="L364" s="117"/>
      <c r="M364" s="117"/>
      <c r="N364" s="117"/>
      <c r="O364" s="117"/>
      <c r="P364" s="117"/>
      <c r="Q364" s="117"/>
      <c r="R364" s="117"/>
    </row>
    <row r="365" spans="1:18" ht="20.100000000000001" customHeight="1" x14ac:dyDescent="0.25">
      <c r="A365" s="117" t="s">
        <v>255</v>
      </c>
      <c r="B365" s="117"/>
      <c r="C365" s="117"/>
      <c r="D365" s="117"/>
      <c r="E365" s="117"/>
      <c r="F365" s="117"/>
      <c r="G365" s="117"/>
      <c r="H365" s="117"/>
      <c r="I365" s="117"/>
      <c r="J365" s="117"/>
      <c r="K365" s="117"/>
      <c r="L365" s="117"/>
      <c r="M365" s="117"/>
      <c r="N365" s="117"/>
      <c r="O365" s="117"/>
      <c r="P365" s="117"/>
      <c r="Q365" s="117"/>
      <c r="R365" s="117"/>
    </row>
    <row r="366" spans="1:18" ht="20.100000000000001" customHeight="1" x14ac:dyDescent="0.25">
      <c r="A366" s="117" t="s">
        <v>111</v>
      </c>
      <c r="B366" s="117"/>
      <c r="C366" s="117"/>
      <c r="D366" s="117"/>
      <c r="E366" s="117"/>
      <c r="F366" s="117"/>
      <c r="G366" s="117"/>
      <c r="H366" s="117"/>
      <c r="I366" s="117"/>
      <c r="J366" s="117"/>
      <c r="K366" s="117"/>
      <c r="L366" s="117"/>
      <c r="M366" s="117"/>
      <c r="N366" s="117"/>
      <c r="O366" s="117"/>
      <c r="P366" s="117"/>
      <c r="Q366" s="117"/>
      <c r="R366" s="117"/>
    </row>
    <row r="367" spans="1:18" ht="20.100000000000001" customHeight="1" x14ac:dyDescent="0.25">
      <c r="A367" s="117" t="s">
        <v>256</v>
      </c>
      <c r="B367" s="117"/>
      <c r="C367" s="117"/>
      <c r="D367" s="117"/>
      <c r="E367" s="117"/>
      <c r="F367" s="117"/>
      <c r="G367" s="117"/>
      <c r="H367" s="117"/>
      <c r="I367" s="117"/>
      <c r="J367" s="117"/>
      <c r="K367" s="117"/>
      <c r="L367" s="117"/>
      <c r="M367" s="117"/>
      <c r="N367" s="117"/>
      <c r="O367" s="117"/>
      <c r="P367" s="117"/>
      <c r="Q367" s="117"/>
      <c r="R367" s="117"/>
    </row>
    <row r="368" spans="1:18" ht="20.100000000000001" customHeight="1" x14ac:dyDescent="0.25">
      <c r="A368" s="117"/>
      <c r="B368" s="117"/>
      <c r="C368" s="117"/>
      <c r="D368" s="117"/>
      <c r="E368" s="117"/>
      <c r="F368" s="117"/>
      <c r="G368" s="117"/>
      <c r="H368" s="117"/>
      <c r="I368" s="117"/>
      <c r="J368" s="117"/>
      <c r="K368" s="117"/>
      <c r="L368" s="117"/>
      <c r="M368" s="117"/>
      <c r="N368" s="117"/>
      <c r="O368" s="117"/>
      <c r="P368" s="117"/>
      <c r="Q368" s="117"/>
      <c r="R368" s="117"/>
    </row>
    <row r="369" spans="1:18" ht="20.100000000000001" customHeight="1" x14ac:dyDescent="0.25">
      <c r="A369" s="117" t="s">
        <v>257</v>
      </c>
      <c r="B369" s="117"/>
      <c r="C369" s="117"/>
      <c r="D369" s="117"/>
      <c r="E369" s="117"/>
      <c r="F369" s="117"/>
      <c r="G369" s="117"/>
      <c r="H369" s="117"/>
      <c r="I369" s="117"/>
      <c r="J369" s="117"/>
      <c r="K369" s="117"/>
      <c r="L369" s="117"/>
      <c r="M369" s="117"/>
      <c r="N369" s="117"/>
      <c r="O369" s="117"/>
      <c r="P369" s="117"/>
      <c r="Q369" s="117"/>
      <c r="R369" s="117"/>
    </row>
    <row r="370" spans="1:18" ht="20.100000000000001" customHeight="1" x14ac:dyDescent="0.25">
      <c r="A370" s="117"/>
      <c r="B370" s="117"/>
      <c r="C370" s="117"/>
      <c r="D370" s="117"/>
      <c r="E370" s="117"/>
      <c r="F370" s="117"/>
      <c r="G370" s="117"/>
      <c r="H370" s="117"/>
      <c r="I370" s="117"/>
      <c r="J370" s="117"/>
      <c r="K370" s="117"/>
      <c r="L370" s="117"/>
      <c r="M370" s="117"/>
      <c r="N370" s="117"/>
      <c r="O370" s="117"/>
      <c r="P370" s="117"/>
      <c r="Q370" s="117"/>
      <c r="R370" s="117"/>
    </row>
    <row r="371" spans="1:18" ht="20.100000000000001" customHeight="1" x14ac:dyDescent="0.25">
      <c r="A371" s="117" t="s">
        <v>323</v>
      </c>
      <c r="B371" s="117"/>
      <c r="C371" s="117"/>
      <c r="D371" s="117"/>
      <c r="E371" s="117"/>
      <c r="F371" s="117"/>
      <c r="G371" s="117"/>
      <c r="H371" s="117"/>
      <c r="I371" s="117"/>
      <c r="J371" s="117"/>
      <c r="K371" s="117"/>
      <c r="L371" s="117"/>
      <c r="M371" s="117"/>
      <c r="N371" s="117"/>
      <c r="O371" s="117"/>
      <c r="P371" s="117"/>
      <c r="Q371" s="117"/>
      <c r="R371" s="117"/>
    </row>
    <row r="372" spans="1:18" ht="20.100000000000001" customHeight="1" x14ac:dyDescent="0.25">
      <c r="A372" s="117"/>
      <c r="B372" s="117"/>
      <c r="C372" s="117"/>
      <c r="D372" s="117"/>
      <c r="E372" s="117"/>
      <c r="F372" s="117"/>
      <c r="G372" s="117"/>
      <c r="H372" s="117"/>
      <c r="I372" s="117"/>
      <c r="J372" s="117"/>
      <c r="K372" s="117"/>
      <c r="L372" s="117"/>
      <c r="M372" s="117"/>
      <c r="N372" s="117"/>
      <c r="O372" s="117"/>
      <c r="P372" s="117"/>
      <c r="Q372" s="117"/>
      <c r="R372" s="117"/>
    </row>
    <row r="373" spans="1:18" ht="20.100000000000001" customHeight="1" x14ac:dyDescent="0.25">
      <c r="A373" s="117" t="s">
        <v>258</v>
      </c>
      <c r="B373" s="117"/>
      <c r="C373" s="117"/>
      <c r="D373" s="117"/>
      <c r="E373" s="117"/>
      <c r="F373" s="117"/>
      <c r="G373" s="117"/>
      <c r="H373" s="117"/>
      <c r="I373" s="117"/>
      <c r="J373" s="117"/>
      <c r="K373" s="117"/>
      <c r="L373" s="117"/>
      <c r="M373" s="117"/>
      <c r="N373" s="117"/>
      <c r="O373" s="117"/>
      <c r="P373" s="117"/>
      <c r="Q373" s="117"/>
      <c r="R373" s="117"/>
    </row>
    <row r="374" spans="1:18" ht="20.100000000000001" customHeight="1" x14ac:dyDescent="0.25">
      <c r="A374" s="117"/>
      <c r="B374" s="117"/>
      <c r="C374" s="117"/>
      <c r="D374" s="117"/>
      <c r="E374" s="117"/>
      <c r="F374" s="117"/>
      <c r="G374" s="117"/>
      <c r="H374" s="117"/>
      <c r="I374" s="117"/>
      <c r="J374" s="117"/>
      <c r="K374" s="117"/>
      <c r="L374" s="117"/>
      <c r="M374" s="117"/>
      <c r="N374" s="117"/>
      <c r="O374" s="117"/>
      <c r="P374" s="117"/>
      <c r="Q374" s="117"/>
      <c r="R374" s="117"/>
    </row>
    <row r="375" spans="1:18" ht="20.100000000000001" customHeight="1" x14ac:dyDescent="0.25">
      <c r="A375" s="117" t="s">
        <v>324</v>
      </c>
      <c r="B375" s="117"/>
      <c r="C375" s="117"/>
      <c r="D375" s="117"/>
      <c r="E375" s="117"/>
      <c r="F375" s="117"/>
      <c r="G375" s="117"/>
      <c r="H375" s="117"/>
      <c r="I375" s="117"/>
      <c r="J375" s="117"/>
      <c r="K375" s="117"/>
      <c r="L375" s="117"/>
      <c r="M375" s="117"/>
      <c r="N375" s="117"/>
      <c r="O375" s="117"/>
      <c r="P375" s="117"/>
      <c r="Q375" s="117"/>
      <c r="R375" s="117"/>
    </row>
    <row r="376" spans="1:18" ht="20.100000000000001" customHeight="1" x14ac:dyDescent="0.25">
      <c r="A376" s="117"/>
      <c r="B376" s="117"/>
      <c r="C376" s="117"/>
      <c r="D376" s="117"/>
      <c r="E376" s="117"/>
      <c r="F376" s="117"/>
      <c r="G376" s="117"/>
      <c r="H376" s="117"/>
      <c r="I376" s="117"/>
      <c r="J376" s="117"/>
      <c r="K376" s="117"/>
      <c r="L376" s="117"/>
      <c r="M376" s="117"/>
      <c r="N376" s="117"/>
      <c r="O376" s="117"/>
      <c r="P376" s="117"/>
      <c r="Q376" s="117"/>
      <c r="R376" s="117"/>
    </row>
    <row r="377" spans="1:18" ht="20.100000000000001" customHeight="1" x14ac:dyDescent="0.25">
      <c r="A377" s="117" t="s">
        <v>259</v>
      </c>
      <c r="B377" s="117"/>
      <c r="C377" s="117"/>
      <c r="D377" s="117"/>
      <c r="E377" s="117"/>
      <c r="F377" s="117"/>
      <c r="G377" s="117"/>
      <c r="H377" s="117"/>
      <c r="I377" s="117"/>
      <c r="J377" s="117"/>
      <c r="K377" s="117"/>
      <c r="L377" s="117"/>
      <c r="M377" s="117"/>
      <c r="N377" s="117"/>
      <c r="O377" s="117"/>
      <c r="P377" s="117"/>
      <c r="Q377" s="117"/>
      <c r="R377" s="117"/>
    </row>
    <row r="378" spans="1:18" ht="20.100000000000001" customHeight="1" x14ac:dyDescent="0.25">
      <c r="A378" s="117"/>
      <c r="B378" s="117"/>
      <c r="C378" s="117"/>
      <c r="D378" s="117"/>
      <c r="E378" s="117"/>
      <c r="F378" s="117"/>
      <c r="G378" s="117"/>
      <c r="H378" s="117"/>
      <c r="I378" s="117"/>
      <c r="J378" s="117"/>
      <c r="K378" s="117"/>
      <c r="L378" s="117"/>
      <c r="M378" s="117"/>
      <c r="N378" s="117"/>
      <c r="O378" s="117"/>
      <c r="P378" s="117"/>
      <c r="Q378" s="117"/>
      <c r="R378" s="117"/>
    </row>
    <row r="379" spans="1:18" ht="20.100000000000001" customHeight="1" x14ac:dyDescent="0.25">
      <c r="A379" s="117" t="s">
        <v>260</v>
      </c>
      <c r="B379" s="117"/>
      <c r="C379" s="117"/>
      <c r="D379" s="117"/>
      <c r="E379" s="117"/>
      <c r="F379" s="117"/>
      <c r="G379" s="117"/>
      <c r="H379" s="117"/>
      <c r="I379" s="117"/>
      <c r="J379" s="117"/>
      <c r="K379" s="117"/>
      <c r="L379" s="117"/>
      <c r="M379" s="117"/>
      <c r="N379" s="117"/>
      <c r="O379" s="117"/>
      <c r="P379" s="117"/>
      <c r="Q379" s="117"/>
      <c r="R379" s="117"/>
    </row>
    <row r="380" spans="1:18" ht="20.100000000000001" customHeight="1" x14ac:dyDescent="0.25">
      <c r="A380" s="117" t="s">
        <v>261</v>
      </c>
      <c r="B380" s="117"/>
      <c r="C380" s="117"/>
      <c r="D380" s="117"/>
      <c r="E380" s="117"/>
      <c r="F380" s="117"/>
      <c r="G380" s="117"/>
      <c r="H380" s="117"/>
      <c r="I380" s="117"/>
      <c r="J380" s="117"/>
      <c r="K380" s="117"/>
      <c r="L380" s="117"/>
      <c r="M380" s="117"/>
      <c r="N380" s="117"/>
      <c r="O380" s="117"/>
      <c r="P380" s="117"/>
      <c r="Q380" s="117"/>
      <c r="R380" s="117"/>
    </row>
    <row r="381" spans="1:18" ht="20.100000000000001" customHeight="1" x14ac:dyDescent="0.25">
      <c r="A381" s="117" t="s">
        <v>262</v>
      </c>
      <c r="B381" s="117"/>
      <c r="C381" s="117"/>
      <c r="D381" s="117"/>
      <c r="E381" s="117"/>
      <c r="F381" s="117"/>
      <c r="G381" s="117"/>
      <c r="H381" s="117"/>
      <c r="I381" s="117"/>
      <c r="J381" s="117"/>
      <c r="K381" s="117"/>
      <c r="L381" s="117"/>
      <c r="M381" s="117"/>
      <c r="N381" s="117"/>
      <c r="O381" s="117"/>
      <c r="P381" s="117"/>
      <c r="Q381" s="117"/>
      <c r="R381" s="117"/>
    </row>
    <row r="382" spans="1:18" ht="20.100000000000001" customHeight="1" x14ac:dyDescent="0.25">
      <c r="A382" s="117"/>
      <c r="B382" s="117"/>
      <c r="C382" s="117"/>
      <c r="D382" s="117"/>
      <c r="E382" s="117"/>
      <c r="F382" s="117"/>
      <c r="G382" s="117"/>
      <c r="H382" s="117"/>
      <c r="I382" s="117"/>
      <c r="J382" s="117"/>
      <c r="K382" s="117"/>
      <c r="L382" s="117"/>
      <c r="M382" s="117"/>
      <c r="N382" s="117"/>
      <c r="O382" s="117"/>
      <c r="P382" s="117"/>
      <c r="Q382" s="117"/>
      <c r="R382" s="117"/>
    </row>
    <row r="383" spans="1:18" ht="20.100000000000001" customHeight="1" x14ac:dyDescent="0.25">
      <c r="A383" s="117" t="s">
        <v>325</v>
      </c>
      <c r="B383" s="117"/>
      <c r="C383" s="117"/>
      <c r="D383" s="117"/>
      <c r="E383" s="117"/>
      <c r="F383" s="117"/>
      <c r="G383" s="117"/>
      <c r="H383" s="117"/>
      <c r="I383" s="117"/>
      <c r="J383" s="117"/>
      <c r="K383" s="117"/>
      <c r="L383" s="117"/>
      <c r="M383" s="117"/>
      <c r="N383" s="117"/>
      <c r="O383" s="117"/>
      <c r="P383" s="117"/>
      <c r="Q383" s="117"/>
      <c r="R383" s="117"/>
    </row>
  </sheetData>
  <sheetProtection formatCells="0"/>
  <mergeCells count="409">
    <mergeCell ref="A356:R356"/>
    <mergeCell ref="S232:U232"/>
    <mergeCell ref="S196:U196"/>
    <mergeCell ref="A293:D293"/>
    <mergeCell ref="E293:H293"/>
    <mergeCell ref="K293:N293"/>
    <mergeCell ref="O293:R293"/>
    <mergeCell ref="K294:N294"/>
    <mergeCell ref="O294:R294"/>
    <mergeCell ref="K295:N295"/>
    <mergeCell ref="O295:R295"/>
    <mergeCell ref="A269:F269"/>
    <mergeCell ref="O271:R271"/>
    <mergeCell ref="O272:R272"/>
    <mergeCell ref="L205:O205"/>
    <mergeCell ref="P205:R205"/>
    <mergeCell ref="L232:P232"/>
    <mergeCell ref="Q232:R232"/>
    <mergeCell ref="B233:F233"/>
    <mergeCell ref="L233:P233"/>
    <mergeCell ref="Q233:R233"/>
    <mergeCell ref="B234:F234"/>
    <mergeCell ref="L234:P234"/>
    <mergeCell ref="Q234:R234"/>
    <mergeCell ref="L211:O211"/>
    <mergeCell ref="P211:R211"/>
    <mergeCell ref="A230:R230"/>
    <mergeCell ref="B232:F232"/>
    <mergeCell ref="L207:M207"/>
    <mergeCell ref="N207:O207"/>
    <mergeCell ref="P207:R207"/>
    <mergeCell ref="L202:O202"/>
    <mergeCell ref="P202:R202"/>
    <mergeCell ref="P203:R203"/>
    <mergeCell ref="L208:O208"/>
    <mergeCell ref="P208:R208"/>
    <mergeCell ref="L210:O210"/>
    <mergeCell ref="P210:R210"/>
    <mergeCell ref="L204:O204"/>
    <mergeCell ref="P204:R204"/>
    <mergeCell ref="L203:O203"/>
    <mergeCell ref="E294:H294"/>
    <mergeCell ref="A288:D288"/>
    <mergeCell ref="E288:H288"/>
    <mergeCell ref="A289:D289"/>
    <mergeCell ref="E289:H289"/>
    <mergeCell ref="A291:R291"/>
    <mergeCell ref="A294:D294"/>
    <mergeCell ref="I312:L312"/>
    <mergeCell ref="I313:L313"/>
    <mergeCell ref="A312:D312"/>
    <mergeCell ref="E312:H312"/>
    <mergeCell ref="M312:P312"/>
    <mergeCell ref="A313:D313"/>
    <mergeCell ref="A300:R301"/>
    <mergeCell ref="A302:R303"/>
    <mergeCell ref="G305:J305"/>
    <mergeCell ref="K305:N305"/>
    <mergeCell ref="O305:R305"/>
    <mergeCell ref="G306:J307"/>
    <mergeCell ref="K306:N307"/>
    <mergeCell ref="O306:R307"/>
    <mergeCell ref="A304:F305"/>
    <mergeCell ref="G304:R304"/>
    <mergeCell ref="A306:F307"/>
    <mergeCell ref="A310:R310"/>
    <mergeCell ref="A316:R321"/>
    <mergeCell ref="S345:T345"/>
    <mergeCell ref="A328:C328"/>
    <mergeCell ref="P328:R328"/>
    <mergeCell ref="D325:O325"/>
    <mergeCell ref="D327:O327"/>
    <mergeCell ref="H323:K323"/>
    <mergeCell ref="A325:C325"/>
    <mergeCell ref="P325:R325"/>
    <mergeCell ref="A327:C327"/>
    <mergeCell ref="P327:R327"/>
    <mergeCell ref="A326:C326"/>
    <mergeCell ref="P326:R326"/>
    <mergeCell ref="A345:L345"/>
    <mergeCell ref="M345:R345"/>
    <mergeCell ref="A314:D314"/>
    <mergeCell ref="E314:H314"/>
    <mergeCell ref="M314:P314"/>
    <mergeCell ref="I314:L314"/>
    <mergeCell ref="G269:J269"/>
    <mergeCell ref="A277:F277"/>
    <mergeCell ref="G277:L277"/>
    <mergeCell ref="A286:D286"/>
    <mergeCell ref="A287:D287"/>
    <mergeCell ref="E284:H284"/>
    <mergeCell ref="E285:H285"/>
    <mergeCell ref="E286:H286"/>
    <mergeCell ref="E287:H287"/>
    <mergeCell ref="A275:F275"/>
    <mergeCell ref="A276:F276"/>
    <mergeCell ref="A270:F270"/>
    <mergeCell ref="A271:F271"/>
    <mergeCell ref="T17:U17"/>
    <mergeCell ref="A280:R280"/>
    <mergeCell ref="A284:D284"/>
    <mergeCell ref="A285:D285"/>
    <mergeCell ref="B17:D17"/>
    <mergeCell ref="E17:G17"/>
    <mergeCell ref="J135:L135"/>
    <mergeCell ref="K17:M17"/>
    <mergeCell ref="K18:M18"/>
    <mergeCell ref="K19:M19"/>
    <mergeCell ref="K20:M20"/>
    <mergeCell ref="A127:H127"/>
    <mergeCell ref="P48:R48"/>
    <mergeCell ref="L49:O49"/>
    <mergeCell ref="P49:R49"/>
    <mergeCell ref="L50:O50"/>
    <mergeCell ref="P43:R43"/>
    <mergeCell ref="B44:D44"/>
    <mergeCell ref="N44:O44"/>
    <mergeCell ref="P44:R44"/>
    <mergeCell ref="P18:R18"/>
    <mergeCell ref="P19:R19"/>
    <mergeCell ref="P20:R20"/>
    <mergeCell ref="G270:J270"/>
    <mergeCell ref="A129:H129"/>
    <mergeCell ref="A7:R7"/>
    <mergeCell ref="A15:R15"/>
    <mergeCell ref="H17:J17"/>
    <mergeCell ref="E18:G18"/>
    <mergeCell ref="H18:J18"/>
    <mergeCell ref="E19:G19"/>
    <mergeCell ref="H19:J19"/>
    <mergeCell ref="E20:G20"/>
    <mergeCell ref="H20:J20"/>
    <mergeCell ref="B18:D18"/>
    <mergeCell ref="B19:D19"/>
    <mergeCell ref="B20:D20"/>
    <mergeCell ref="P17:R17"/>
    <mergeCell ref="P12:R12"/>
    <mergeCell ref="M12:O12"/>
    <mergeCell ref="J12:L12"/>
    <mergeCell ref="A10:B10"/>
    <mergeCell ref="C10:I10"/>
    <mergeCell ref="N17:O17"/>
    <mergeCell ref="N18:O18"/>
    <mergeCell ref="N19:O19"/>
    <mergeCell ref="C11:I12"/>
    <mergeCell ref="N20:O20"/>
    <mergeCell ref="H34:I34"/>
    <mergeCell ref="J34:N34"/>
    <mergeCell ref="O34:R34"/>
    <mergeCell ref="H35:I35"/>
    <mergeCell ref="J35:N35"/>
    <mergeCell ref="O35:R35"/>
    <mergeCell ref="H36:I36"/>
    <mergeCell ref="J36:N36"/>
    <mergeCell ref="O36:R36"/>
    <mergeCell ref="A33:G33"/>
    <mergeCell ref="H31:I31"/>
    <mergeCell ref="J31:N31"/>
    <mergeCell ref="O31:R31"/>
    <mergeCell ref="H32:I32"/>
    <mergeCell ref="J32:N32"/>
    <mergeCell ref="O32:R32"/>
    <mergeCell ref="H33:I33"/>
    <mergeCell ref="J33:N33"/>
    <mergeCell ref="O33:R33"/>
    <mergeCell ref="A124:R124"/>
    <mergeCell ref="P50:R50"/>
    <mergeCell ref="B146:D146"/>
    <mergeCell ref="B147:D147"/>
    <mergeCell ref="L45:M45"/>
    <mergeCell ref="L46:M46"/>
    <mergeCell ref="N46:O46"/>
    <mergeCell ref="P46:R46"/>
    <mergeCell ref="A53:R53"/>
    <mergeCell ref="A87:R87"/>
    <mergeCell ref="A105:R105"/>
    <mergeCell ref="B45:D45"/>
    <mergeCell ref="N45:O45"/>
    <mergeCell ref="P45:R45"/>
    <mergeCell ref="L48:O48"/>
    <mergeCell ref="A126:H126"/>
    <mergeCell ref="B46:D46"/>
    <mergeCell ref="J45:K45"/>
    <mergeCell ref="A136:O137"/>
    <mergeCell ref="P126:R126"/>
    <mergeCell ref="J46:K46"/>
    <mergeCell ref="A143:R144"/>
    <mergeCell ref="P127:R127"/>
    <mergeCell ref="P139:R140"/>
    <mergeCell ref="P128:R128"/>
    <mergeCell ref="P129:R129"/>
    <mergeCell ref="P130:R130"/>
    <mergeCell ref="P131:R131"/>
    <mergeCell ref="P132:R132"/>
    <mergeCell ref="M132:O132"/>
    <mergeCell ref="M133:O133"/>
    <mergeCell ref="B151:D151"/>
    <mergeCell ref="A135:I135"/>
    <mergeCell ref="M135:O135"/>
    <mergeCell ref="J132:L132"/>
    <mergeCell ref="J133:L133"/>
    <mergeCell ref="P141:R141"/>
    <mergeCell ref="B148:D148"/>
    <mergeCell ref="B149:D149"/>
    <mergeCell ref="E139:O139"/>
    <mergeCell ref="A139:D141"/>
    <mergeCell ref="A128:H128"/>
    <mergeCell ref="A130:H130"/>
    <mergeCell ref="A131:H131"/>
    <mergeCell ref="A132:H132"/>
    <mergeCell ref="A133:H133"/>
    <mergeCell ref="P133:R133"/>
    <mergeCell ref="P137:R137"/>
    <mergeCell ref="B152:D152"/>
    <mergeCell ref="B153:D153"/>
    <mergeCell ref="B154:D154"/>
    <mergeCell ref="K151:M151"/>
    <mergeCell ref="P146:R146"/>
    <mergeCell ref="P147:R147"/>
    <mergeCell ref="P148:R148"/>
    <mergeCell ref="P149:R149"/>
    <mergeCell ref="H151:J151"/>
    <mergeCell ref="E151:G151"/>
    <mergeCell ref="H152:J152"/>
    <mergeCell ref="E152:G152"/>
    <mergeCell ref="N151:R151"/>
    <mergeCell ref="N152:R152"/>
    <mergeCell ref="N153:R153"/>
    <mergeCell ref="N154:R154"/>
    <mergeCell ref="K152:M152"/>
    <mergeCell ref="H153:J153"/>
    <mergeCell ref="E153:G153"/>
    <mergeCell ref="K153:M153"/>
    <mergeCell ref="H154:J154"/>
    <mergeCell ref="E154:G154"/>
    <mergeCell ref="K154:M154"/>
    <mergeCell ref="B164:F164"/>
    <mergeCell ref="B165:F165"/>
    <mergeCell ref="B166:F166"/>
    <mergeCell ref="L156:O156"/>
    <mergeCell ref="P156:R156"/>
    <mergeCell ref="L157:O157"/>
    <mergeCell ref="P157:R157"/>
    <mergeCell ref="L158:O158"/>
    <mergeCell ref="P158:R158"/>
    <mergeCell ref="A161:R161"/>
    <mergeCell ref="B163:F163"/>
    <mergeCell ref="P165:R165"/>
    <mergeCell ref="L163:P163"/>
    <mergeCell ref="L165:O165"/>
    <mergeCell ref="L166:O166"/>
    <mergeCell ref="Q163:R163"/>
    <mergeCell ref="L172:O172"/>
    <mergeCell ref="P172:R172"/>
    <mergeCell ref="L174:O174"/>
    <mergeCell ref="L175:O175"/>
    <mergeCell ref="L197:P197"/>
    <mergeCell ref="P167:R167"/>
    <mergeCell ref="P170:R170"/>
    <mergeCell ref="P171:R171"/>
    <mergeCell ref="P166:R166"/>
    <mergeCell ref="Q196:R196"/>
    <mergeCell ref="B235:F235"/>
    <mergeCell ref="L167:O167"/>
    <mergeCell ref="L168:O168"/>
    <mergeCell ref="L169:O169"/>
    <mergeCell ref="B199:F199"/>
    <mergeCell ref="B197:F197"/>
    <mergeCell ref="B198:F198"/>
    <mergeCell ref="B196:F196"/>
    <mergeCell ref="P168:R168"/>
    <mergeCell ref="P169:R169"/>
    <mergeCell ref="P174:R174"/>
    <mergeCell ref="P175:R175"/>
    <mergeCell ref="L170:O170"/>
    <mergeCell ref="A194:R194"/>
    <mergeCell ref="L196:P196"/>
    <mergeCell ref="L199:O199"/>
    <mergeCell ref="P199:R199"/>
    <mergeCell ref="L200:O200"/>
    <mergeCell ref="P200:R200"/>
    <mergeCell ref="Q197:R197"/>
    <mergeCell ref="L171:M171"/>
    <mergeCell ref="N171:O171"/>
    <mergeCell ref="L235:P235"/>
    <mergeCell ref="Q235:R235"/>
    <mergeCell ref="A383:R383"/>
    <mergeCell ref="A367:R368"/>
    <mergeCell ref="A369:R370"/>
    <mergeCell ref="A371:R372"/>
    <mergeCell ref="A373:R374"/>
    <mergeCell ref="A282:R282"/>
    <mergeCell ref="L238:O238"/>
    <mergeCell ref="P238:R238"/>
    <mergeCell ref="L239:O239"/>
    <mergeCell ref="P239:R239"/>
    <mergeCell ref="A346:L346"/>
    <mergeCell ref="M346:R346"/>
    <mergeCell ref="A347:L347"/>
    <mergeCell ref="M347:R347"/>
    <mergeCell ref="A349:L349"/>
    <mergeCell ref="M349:R349"/>
    <mergeCell ref="A297:R298"/>
    <mergeCell ref="A290:D290"/>
    <mergeCell ref="E290:H290"/>
    <mergeCell ref="K270:N270"/>
    <mergeCell ref="K269:N269"/>
    <mergeCell ref="K272:N272"/>
    <mergeCell ref="G272:J272"/>
    <mergeCell ref="O270:R270"/>
    <mergeCell ref="L250:O250"/>
    <mergeCell ref="P250:R250"/>
    <mergeCell ref="P247:R247"/>
    <mergeCell ref="O269:R269"/>
    <mergeCell ref="L246:M246"/>
    <mergeCell ref="L247:O247"/>
    <mergeCell ref="L242:O242"/>
    <mergeCell ref="P242:R242"/>
    <mergeCell ref="L241:O241"/>
    <mergeCell ref="P241:R241"/>
    <mergeCell ref="L243:O243"/>
    <mergeCell ref="P243:R243"/>
    <mergeCell ref="L244:O244"/>
    <mergeCell ref="P244:R244"/>
    <mergeCell ref="N246:O246"/>
    <mergeCell ref="P246:R246"/>
    <mergeCell ref="S286:U286"/>
    <mergeCell ref="A5:R5"/>
    <mergeCell ref="A357:R357"/>
    <mergeCell ref="A360:R360"/>
    <mergeCell ref="A361:R361"/>
    <mergeCell ref="A365:R365"/>
    <mergeCell ref="A366:R366"/>
    <mergeCell ref="A379:R379"/>
    <mergeCell ref="A380:R380"/>
    <mergeCell ref="A272:F272"/>
    <mergeCell ref="G274:L274"/>
    <mergeCell ref="G275:L275"/>
    <mergeCell ref="G276:L276"/>
    <mergeCell ref="A274:F274"/>
    <mergeCell ref="G271:J271"/>
    <mergeCell ref="K271:N271"/>
    <mergeCell ref="L249:O249"/>
    <mergeCell ref="P249:R249"/>
    <mergeCell ref="J10:R10"/>
    <mergeCell ref="A9:R9"/>
    <mergeCell ref="A11:B12"/>
    <mergeCell ref="J11:L11"/>
    <mergeCell ref="M11:O11"/>
    <mergeCell ref="P11:R11"/>
    <mergeCell ref="W302:BN302"/>
    <mergeCell ref="W303:BN303"/>
    <mergeCell ref="W304:BN304"/>
    <mergeCell ref="W305:BN305"/>
    <mergeCell ref="A375:R376"/>
    <mergeCell ref="A377:R378"/>
    <mergeCell ref="A381:R382"/>
    <mergeCell ref="A362:R362"/>
    <mergeCell ref="A363:R364"/>
    <mergeCell ref="A358:R359"/>
    <mergeCell ref="E313:H313"/>
    <mergeCell ref="M313:P313"/>
    <mergeCell ref="A352:R352"/>
    <mergeCell ref="A353:R353"/>
    <mergeCell ref="A354:R354"/>
    <mergeCell ref="A338:R338"/>
    <mergeCell ref="A340:L340"/>
    <mergeCell ref="M340:R340"/>
    <mergeCell ref="A341:L341"/>
    <mergeCell ref="M341:R341"/>
    <mergeCell ref="A342:L342"/>
    <mergeCell ref="M342:R342"/>
    <mergeCell ref="A344:L344"/>
    <mergeCell ref="M344:R344"/>
    <mergeCell ref="J126:L126"/>
    <mergeCell ref="J127:L127"/>
    <mergeCell ref="J128:L128"/>
    <mergeCell ref="J129:L129"/>
    <mergeCell ref="J130:L130"/>
    <mergeCell ref="J131:L131"/>
    <mergeCell ref="M127:O127"/>
    <mergeCell ref="M128:O128"/>
    <mergeCell ref="M129:O129"/>
    <mergeCell ref="M130:O130"/>
    <mergeCell ref="M131:O131"/>
    <mergeCell ref="A29:R29"/>
    <mergeCell ref="A31:G31"/>
    <mergeCell ref="L22:O22"/>
    <mergeCell ref="L23:O23"/>
    <mergeCell ref="L24:O24"/>
    <mergeCell ref="P22:R22"/>
    <mergeCell ref="P23:R23"/>
    <mergeCell ref="P24:R24"/>
    <mergeCell ref="M126:O126"/>
    <mergeCell ref="L44:M44"/>
    <mergeCell ref="J44:K44"/>
    <mergeCell ref="A27:R27"/>
    <mergeCell ref="B43:D43"/>
    <mergeCell ref="N43:O43"/>
    <mergeCell ref="A34:G34"/>
    <mergeCell ref="A35:G35"/>
    <mergeCell ref="A36:G36"/>
    <mergeCell ref="E39:I39"/>
    <mergeCell ref="J41:K41"/>
    <mergeCell ref="A39:D40"/>
    <mergeCell ref="J39:K40"/>
    <mergeCell ref="J43:K43"/>
    <mergeCell ref="L43:M43"/>
    <mergeCell ref="A32:G32"/>
  </mergeCells>
  <conditionalFormatting sqref="M347:R347">
    <cfRule type="cellIs" dxfId="10" priority="6" operator="greaterThan">
      <formula>0.01</formula>
    </cfRule>
  </conditionalFormatting>
  <conditionalFormatting sqref="O295:R295">
    <cfRule type="cellIs" dxfId="9" priority="17" operator="greaterThan">
      <formula>0.5</formula>
    </cfRule>
  </conditionalFormatting>
  <conditionalFormatting sqref="P172:R172">
    <cfRule type="cellIs" dxfId="8" priority="14" operator="equal">
      <formula>"Encerrar"</formula>
    </cfRule>
    <cfRule type="cellIs" dxfId="7" priority="15" operator="equal">
      <formula>"Continuar"</formula>
    </cfRule>
  </conditionalFormatting>
  <conditionalFormatting sqref="P208:R208">
    <cfRule type="cellIs" dxfId="6" priority="3" operator="equal">
      <formula>"Encerrar"</formula>
    </cfRule>
    <cfRule type="cellIs" dxfId="5" priority="4" operator="equal">
      <formula>"Continuar"</formula>
    </cfRule>
  </conditionalFormatting>
  <conditionalFormatting sqref="P247:R247">
    <cfRule type="cellIs" dxfId="4" priority="1" operator="equal">
      <formula>"Encerrar"</formula>
    </cfRule>
    <cfRule type="cellIs" dxfId="3" priority="2" operator="equal">
      <formula>"Continuar"</formula>
    </cfRule>
  </conditionalFormatting>
  <conditionalFormatting sqref="S345 U345:W345">
    <cfRule type="containsText" dxfId="2" priority="5" operator="containsText" text="Reduzir o número de casas decimais">
      <formula>NOT(ISERROR(SEARCH("Reduzir o número de casas decimais",S345)))</formula>
    </cfRule>
  </conditionalFormatting>
  <dataValidations count="1">
    <dataValidation type="list" allowBlank="1" showInputMessage="1" showErrorMessage="1" sqref="K18:K20" xr:uid="{5C2DD489-0C83-42A1-A5AC-6D8E4F2B2F12}">
      <formula1>$T$19:$T$20</formula1>
    </dataValidation>
  </dataValidations>
  <printOptions horizontalCentered="1"/>
  <pageMargins left="0.25" right="0.25" top="0.75" bottom="0.75" header="0.3" footer="0.3"/>
  <pageSetup paperSize="9" scale="79" fitToHeight="0" orientation="portrait" r:id="rId1"/>
  <ignoredErrors>
    <ignoredError sqref="X239 X200" evalErro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93456-2EA5-4557-B569-6A9CEE664028}">
  <dimension ref="A1:AQ144"/>
  <sheetViews>
    <sheetView topLeftCell="A125" workbookViewId="0">
      <selection activeCell="BC134" sqref="BC134"/>
    </sheetView>
  </sheetViews>
  <sheetFormatPr defaultColWidth="3.625" defaultRowHeight="15" x14ac:dyDescent="0.25"/>
  <cols>
    <col min="1" max="41" width="3.625" style="5"/>
    <col min="42" max="43" width="3.625" style="1"/>
    <col min="44" max="16384" width="3.625" style="32"/>
  </cols>
  <sheetData>
    <row r="1" spans="1:39" s="1" customFormat="1" ht="20.100000000000001" customHeight="1" x14ac:dyDescent="0.25">
      <c r="A1" s="194" t="s">
        <v>345</v>
      </c>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row>
    <row r="2" spans="1:39" s="1" customFormat="1" ht="20.100000000000001" customHeight="1" x14ac:dyDescent="0.25">
      <c r="A2" s="194" t="s">
        <v>346</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row>
    <row r="3" spans="1:39" s="1" customFormat="1" ht="20.100000000000001" customHeight="1" x14ac:dyDescent="0.2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row>
    <row r="4" spans="1:39" s="1" customFormat="1" ht="20.100000000000001" customHeight="1" x14ac:dyDescent="0.25">
      <c r="A4" s="195" t="s">
        <v>112</v>
      </c>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195"/>
      <c r="AM4" s="195"/>
    </row>
    <row r="5" spans="1:39" s="1" customFormat="1" ht="20.100000000000001" customHeight="1" thickBot="1" x14ac:dyDescent="0.3">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row>
    <row r="6" spans="1:39" s="1" customFormat="1" ht="20.100000000000001" customHeight="1" x14ac:dyDescent="0.25">
      <c r="A6" s="196" t="s">
        <v>113</v>
      </c>
      <c r="B6" s="197"/>
      <c r="C6" s="197"/>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197"/>
      <c r="AK6" s="197"/>
      <c r="AL6" s="197"/>
      <c r="AM6" s="198"/>
    </row>
    <row r="7" spans="1:39" s="1" customFormat="1" ht="20.100000000000001" customHeight="1" x14ac:dyDescent="0.25">
      <c r="A7" s="4"/>
      <c r="B7" s="5"/>
      <c r="C7" s="5"/>
      <c r="D7" s="5"/>
      <c r="E7" s="5"/>
      <c r="F7" s="5"/>
      <c r="G7" s="5"/>
      <c r="H7" s="5"/>
      <c r="I7" s="5"/>
      <c r="J7" s="5"/>
      <c r="K7" s="6"/>
      <c r="L7" s="5"/>
      <c r="M7" s="5"/>
      <c r="N7" s="5"/>
      <c r="O7" s="5"/>
      <c r="P7" s="5"/>
      <c r="Q7" s="5"/>
      <c r="R7" s="5"/>
      <c r="S7" s="5"/>
      <c r="T7" s="5"/>
      <c r="U7" s="5"/>
      <c r="V7" s="5"/>
      <c r="W7" s="5"/>
      <c r="X7" s="5"/>
      <c r="Y7" s="5"/>
      <c r="Z7" s="5"/>
      <c r="AA7" s="5"/>
      <c r="AB7" s="5"/>
      <c r="AC7" s="5"/>
      <c r="AD7" s="5"/>
      <c r="AE7" s="5"/>
      <c r="AF7" s="5"/>
      <c r="AG7" s="5"/>
      <c r="AH7" s="5"/>
      <c r="AI7" s="5"/>
      <c r="AJ7" s="5"/>
      <c r="AK7" s="5"/>
      <c r="AL7" s="5"/>
      <c r="AM7" s="7"/>
    </row>
    <row r="8" spans="1:39" s="1" customFormat="1" ht="20.100000000000001" customHeight="1" x14ac:dyDescent="0.25">
      <c r="A8" s="4"/>
      <c r="B8" s="199" t="s">
        <v>235</v>
      </c>
      <c r="C8" s="199"/>
      <c r="D8" s="199"/>
      <c r="E8" s="199"/>
      <c r="F8" s="199"/>
      <c r="G8" s="199"/>
      <c r="H8" s="199"/>
      <c r="I8" s="199"/>
      <c r="J8" s="199"/>
      <c r="K8" s="199"/>
      <c r="L8" s="199"/>
      <c r="M8" s="199"/>
      <c r="N8" s="199"/>
      <c r="O8" s="199"/>
      <c r="P8" s="199"/>
      <c r="Q8" s="199"/>
      <c r="R8" s="199"/>
      <c r="S8" s="199"/>
      <c r="T8" s="199"/>
      <c r="U8" s="199"/>
      <c r="V8" s="199"/>
      <c r="W8" s="199"/>
      <c r="X8" s="199"/>
      <c r="Y8" s="199"/>
      <c r="Z8" s="199"/>
      <c r="AA8" s="199"/>
      <c r="AB8" s="199"/>
      <c r="AC8" s="199"/>
      <c r="AD8" s="199"/>
      <c r="AE8" s="199"/>
      <c r="AF8" s="199"/>
      <c r="AG8" s="199"/>
      <c r="AH8" s="199"/>
      <c r="AI8" s="199"/>
      <c r="AJ8" s="199"/>
      <c r="AK8" s="199"/>
      <c r="AL8" s="199"/>
      <c r="AM8" s="7"/>
    </row>
    <row r="9" spans="1:39" s="1" customFormat="1" ht="20.100000000000001" customHeight="1" x14ac:dyDescent="0.25">
      <c r="A9" s="4"/>
      <c r="B9" s="200" t="s">
        <v>114</v>
      </c>
      <c r="C9" s="201"/>
      <c r="D9" s="201"/>
      <c r="E9" s="201"/>
      <c r="F9" s="201"/>
      <c r="G9" s="201"/>
      <c r="H9" s="201"/>
      <c r="I9" s="201"/>
      <c r="J9" s="201"/>
      <c r="K9" s="202"/>
      <c r="L9" s="199"/>
      <c r="M9" s="199"/>
      <c r="N9" s="199"/>
      <c r="O9" s="199"/>
      <c r="P9" s="199"/>
      <c r="Q9" s="199"/>
      <c r="R9" s="199"/>
      <c r="S9" s="199"/>
      <c r="T9" s="199"/>
      <c r="U9" s="199"/>
      <c r="V9" s="199"/>
      <c r="W9" s="199"/>
      <c r="X9" s="199"/>
      <c r="Y9" s="199"/>
      <c r="Z9" s="199"/>
      <c r="AA9" s="199"/>
      <c r="AB9" s="199"/>
      <c r="AC9" s="199"/>
      <c r="AD9" s="199"/>
      <c r="AE9" s="199"/>
      <c r="AF9" s="199"/>
      <c r="AG9" s="199"/>
      <c r="AH9" s="199"/>
      <c r="AI9" s="199"/>
      <c r="AJ9" s="199"/>
      <c r="AK9" s="199"/>
      <c r="AL9" s="199"/>
      <c r="AM9" s="7"/>
    </row>
    <row r="10" spans="1:39" s="1" customFormat="1" ht="20.100000000000001" customHeight="1" x14ac:dyDescent="0.25">
      <c r="A10" s="4"/>
      <c r="B10" s="200" t="s">
        <v>115</v>
      </c>
      <c r="C10" s="201"/>
      <c r="D10" s="201"/>
      <c r="E10" s="201"/>
      <c r="F10" s="201"/>
      <c r="G10" s="201"/>
      <c r="H10" s="201"/>
      <c r="I10" s="201"/>
      <c r="J10" s="201"/>
      <c r="K10" s="202"/>
      <c r="L10" s="199"/>
      <c r="M10" s="199"/>
      <c r="N10" s="199"/>
      <c r="O10" s="199"/>
      <c r="P10" s="199"/>
      <c r="Q10" s="199"/>
      <c r="R10" s="199"/>
      <c r="S10" s="199"/>
      <c r="T10" s="199"/>
      <c r="U10" s="199"/>
      <c r="V10" s="199"/>
      <c r="W10" s="199"/>
      <c r="X10" s="199"/>
      <c r="Y10" s="199"/>
      <c r="Z10" s="199"/>
      <c r="AA10" s="199"/>
      <c r="AB10" s="199"/>
      <c r="AC10" s="199"/>
      <c r="AD10" s="199"/>
      <c r="AE10" s="199"/>
      <c r="AF10" s="199"/>
      <c r="AG10" s="199"/>
      <c r="AH10" s="199"/>
      <c r="AI10" s="199"/>
      <c r="AJ10" s="199"/>
      <c r="AK10" s="199"/>
      <c r="AL10" s="199"/>
      <c r="AM10" s="7"/>
    </row>
    <row r="11" spans="1:39" s="1" customFormat="1" ht="20.100000000000001" customHeight="1" x14ac:dyDescent="0.25">
      <c r="A11" s="4"/>
      <c r="B11" s="200" t="s">
        <v>116</v>
      </c>
      <c r="C11" s="201"/>
      <c r="D11" s="201"/>
      <c r="E11" s="201"/>
      <c r="F11" s="201"/>
      <c r="G11" s="201"/>
      <c r="H11" s="201"/>
      <c r="I11" s="201"/>
      <c r="J11" s="201"/>
      <c r="K11" s="202"/>
      <c r="L11" s="199"/>
      <c r="M11" s="199"/>
      <c r="N11" s="199"/>
      <c r="O11" s="199"/>
      <c r="P11" s="199"/>
      <c r="Q11" s="199"/>
      <c r="R11" s="199"/>
      <c r="S11" s="199"/>
      <c r="T11" s="199"/>
      <c r="U11" s="199"/>
      <c r="V11" s="199"/>
      <c r="W11" s="199"/>
      <c r="X11" s="199"/>
      <c r="Y11" s="199"/>
      <c r="Z11" s="199"/>
      <c r="AA11" s="199"/>
      <c r="AB11" s="199"/>
      <c r="AC11" s="199"/>
      <c r="AD11" s="199"/>
      <c r="AE11" s="199"/>
      <c r="AF11" s="199"/>
      <c r="AG11" s="199"/>
      <c r="AH11" s="199"/>
      <c r="AI11" s="199"/>
      <c r="AJ11" s="199"/>
      <c r="AK11" s="199"/>
      <c r="AL11" s="199"/>
      <c r="AM11" s="7"/>
    </row>
    <row r="12" spans="1:39" s="1" customFormat="1" ht="20.100000000000001" customHeight="1" x14ac:dyDescent="0.25">
      <c r="A12" s="4"/>
      <c r="B12" s="200" t="s">
        <v>236</v>
      </c>
      <c r="C12" s="201"/>
      <c r="D12" s="201"/>
      <c r="E12" s="201"/>
      <c r="F12" s="201"/>
      <c r="G12" s="201"/>
      <c r="H12" s="201"/>
      <c r="I12" s="201"/>
      <c r="J12" s="201"/>
      <c r="K12" s="202"/>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3"/>
      <c r="AL12" s="203"/>
      <c r="AM12" s="7"/>
    </row>
    <row r="13" spans="1:39" s="1" customFormat="1" ht="20.100000000000001" customHeight="1" x14ac:dyDescent="0.25">
      <c r="A13" s="4"/>
      <c r="B13" s="200" t="s">
        <v>237</v>
      </c>
      <c r="C13" s="201"/>
      <c r="D13" s="201"/>
      <c r="E13" s="201"/>
      <c r="F13" s="201"/>
      <c r="G13" s="201"/>
      <c r="H13" s="201"/>
      <c r="I13" s="201"/>
      <c r="J13" s="201"/>
      <c r="K13" s="202"/>
      <c r="L13" s="204"/>
      <c r="M13" s="204"/>
      <c r="N13" s="204"/>
      <c r="O13" s="204"/>
      <c r="P13" s="204"/>
      <c r="Q13" s="204"/>
      <c r="R13" s="204"/>
      <c r="S13" s="204"/>
      <c r="T13" s="204"/>
      <c r="U13" s="204"/>
      <c r="V13" s="204"/>
      <c r="W13" s="204"/>
      <c r="X13" s="204"/>
      <c r="Y13" s="204"/>
      <c r="Z13" s="204"/>
      <c r="AA13" s="204"/>
      <c r="AB13" s="204"/>
      <c r="AC13" s="204"/>
      <c r="AD13" s="204"/>
      <c r="AE13" s="204"/>
      <c r="AF13" s="204"/>
      <c r="AG13" s="204"/>
      <c r="AH13" s="204"/>
      <c r="AI13" s="204"/>
      <c r="AJ13" s="204"/>
      <c r="AK13" s="204"/>
      <c r="AL13" s="204"/>
      <c r="AM13" s="7"/>
    </row>
    <row r="14" spans="1:39" s="1" customFormat="1" ht="20.100000000000001" customHeight="1" x14ac:dyDescent="0.25">
      <c r="A14" s="4"/>
      <c r="B14" s="205" t="s">
        <v>117</v>
      </c>
      <c r="C14" s="206"/>
      <c r="D14" s="206"/>
      <c r="E14" s="206"/>
      <c r="F14" s="206"/>
      <c r="G14" s="206"/>
      <c r="H14" s="206"/>
      <c r="I14" s="206"/>
      <c r="J14" s="206"/>
      <c r="K14" s="207"/>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08"/>
      <c r="AL14" s="208"/>
      <c r="AM14" s="7"/>
    </row>
    <row r="15" spans="1:39" s="1" customFormat="1" ht="20.100000000000001" customHeight="1" x14ac:dyDescent="0.25">
      <c r="A15" s="4"/>
      <c r="B15" s="205" t="s">
        <v>118</v>
      </c>
      <c r="C15" s="206"/>
      <c r="D15" s="206"/>
      <c r="E15" s="206"/>
      <c r="F15" s="206"/>
      <c r="G15" s="206"/>
      <c r="H15" s="206"/>
      <c r="I15" s="206"/>
      <c r="J15" s="206"/>
      <c r="K15" s="207"/>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7"/>
    </row>
    <row r="16" spans="1:39" s="1" customFormat="1" ht="20.100000000000001" customHeight="1" x14ac:dyDescent="0.25">
      <c r="A16" s="4"/>
      <c r="B16" s="205" t="s">
        <v>238</v>
      </c>
      <c r="C16" s="206"/>
      <c r="D16" s="206"/>
      <c r="E16" s="206"/>
      <c r="F16" s="206"/>
      <c r="G16" s="206"/>
      <c r="H16" s="206"/>
      <c r="I16" s="206"/>
      <c r="J16" s="206"/>
      <c r="K16" s="207"/>
      <c r="L16" s="208"/>
      <c r="M16" s="208"/>
      <c r="N16" s="208"/>
      <c r="O16" s="208"/>
      <c r="P16" s="208"/>
      <c r="Q16" s="208"/>
      <c r="R16" s="208"/>
      <c r="S16" s="208"/>
      <c r="T16" s="208"/>
      <c r="U16" s="208"/>
      <c r="V16" s="208"/>
      <c r="W16" s="208"/>
      <c r="X16" s="208"/>
      <c r="Y16" s="208"/>
      <c r="Z16" s="208"/>
      <c r="AA16" s="208"/>
      <c r="AB16" s="208"/>
      <c r="AC16" s="208"/>
      <c r="AD16" s="208"/>
      <c r="AE16" s="208"/>
      <c r="AF16" s="208"/>
      <c r="AG16" s="208"/>
      <c r="AH16" s="208"/>
      <c r="AI16" s="208"/>
      <c r="AJ16" s="208"/>
      <c r="AK16" s="208"/>
      <c r="AL16" s="208"/>
      <c r="AM16" s="7"/>
    </row>
    <row r="17" spans="1:39" s="1" customFormat="1" ht="20.100000000000001" customHeight="1" thickBot="1" x14ac:dyDescent="0.3">
      <c r="A17" s="9"/>
      <c r="B17" s="3"/>
      <c r="C17" s="3"/>
      <c r="D17" s="3"/>
      <c r="E17" s="3"/>
      <c r="F17" s="3"/>
      <c r="G17" s="3"/>
      <c r="H17" s="3"/>
      <c r="I17" s="3"/>
      <c r="J17" s="3"/>
      <c r="K17" s="10"/>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11"/>
    </row>
    <row r="18" spans="1:39" s="1" customFormat="1" ht="20.100000000000001" customHeight="1" thickBot="1" x14ac:dyDescent="0.3">
      <c r="A18" s="12"/>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row>
    <row r="19" spans="1:39" s="1" customFormat="1" ht="20.100000000000001" customHeight="1" x14ac:dyDescent="0.25">
      <c r="A19" s="196" t="s">
        <v>233</v>
      </c>
      <c r="B19" s="197"/>
      <c r="C19" s="197"/>
      <c r="D19" s="197"/>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c r="AM19" s="198"/>
    </row>
    <row r="20" spans="1:39" s="1" customFormat="1" ht="20.100000000000001" customHeight="1" x14ac:dyDescent="0.25">
      <c r="A20" s="4"/>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7"/>
    </row>
    <row r="21" spans="1:39" s="1" customFormat="1" ht="20.100000000000001" customHeight="1" x14ac:dyDescent="0.25">
      <c r="A21" s="4"/>
      <c r="B21" s="208" t="s">
        <v>119</v>
      </c>
      <c r="C21" s="208"/>
      <c r="D21" s="208"/>
      <c r="E21" s="208"/>
      <c r="F21" s="208"/>
      <c r="G21" s="208"/>
      <c r="H21" s="208"/>
      <c r="I21" s="208"/>
      <c r="J21" s="208"/>
      <c r="K21" s="208"/>
      <c r="L21" s="208"/>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8"/>
      <c r="AL21" s="208"/>
      <c r="AM21" s="7"/>
    </row>
    <row r="22" spans="1:39" s="1" customFormat="1" ht="20.100000000000001" customHeight="1" x14ac:dyDescent="0.25">
      <c r="A22" s="4"/>
      <c r="B22" s="208" t="s">
        <v>120</v>
      </c>
      <c r="C22" s="208"/>
      <c r="D22" s="208"/>
      <c r="E22" s="208"/>
      <c r="F22" s="208"/>
      <c r="G22" s="208"/>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7"/>
    </row>
    <row r="23" spans="1:39" s="1" customFormat="1" ht="20.100000000000001" customHeight="1" x14ac:dyDescent="0.25">
      <c r="A23" s="4"/>
      <c r="B23" s="208" t="s">
        <v>121</v>
      </c>
      <c r="C23" s="208"/>
      <c r="D23" s="208"/>
      <c r="E23" s="208"/>
      <c r="F23" s="208"/>
      <c r="G23" s="208"/>
      <c r="H23" s="208"/>
      <c r="I23" s="208"/>
      <c r="J23" s="208"/>
      <c r="K23" s="208"/>
      <c r="L23" s="208"/>
      <c r="M23" s="208"/>
      <c r="N23" s="208"/>
      <c r="O23" s="208"/>
      <c r="P23" s="208"/>
      <c r="Q23" s="208"/>
      <c r="R23" s="208"/>
      <c r="S23" s="208"/>
      <c r="T23" s="208"/>
      <c r="U23" s="208"/>
      <c r="V23" s="208"/>
      <c r="W23" s="208"/>
      <c r="X23" s="208"/>
      <c r="Y23" s="208"/>
      <c r="Z23" s="208"/>
      <c r="AA23" s="208"/>
      <c r="AB23" s="208"/>
      <c r="AC23" s="208"/>
      <c r="AD23" s="208"/>
      <c r="AE23" s="208"/>
      <c r="AF23" s="208"/>
      <c r="AG23" s="208"/>
      <c r="AH23" s="208"/>
      <c r="AI23" s="208"/>
      <c r="AJ23" s="208"/>
      <c r="AK23" s="208"/>
      <c r="AL23" s="208"/>
      <c r="AM23" s="7"/>
    </row>
    <row r="24" spans="1:39" s="1" customFormat="1" ht="20.100000000000001" customHeight="1" thickBot="1" x14ac:dyDescent="0.3">
      <c r="A24" s="9"/>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11"/>
    </row>
    <row r="25" spans="1:39" s="1" customFormat="1" ht="20.100000000000001" customHeight="1" x14ac:dyDescent="0.25">
      <c r="A25" s="211" t="s">
        <v>122</v>
      </c>
      <c r="B25" s="212"/>
      <c r="C25" s="212"/>
      <c r="D25" s="212"/>
      <c r="E25" s="212"/>
      <c r="F25" s="212"/>
      <c r="G25" s="212"/>
      <c r="H25" s="212"/>
      <c r="I25" s="212"/>
      <c r="J25" s="212"/>
      <c r="K25" s="212"/>
      <c r="L25" s="212"/>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2"/>
      <c r="AJ25" s="212"/>
      <c r="AK25" s="212"/>
      <c r="AL25" s="212"/>
      <c r="AM25" s="213"/>
    </row>
    <row r="26" spans="1:39" s="1" customFormat="1" ht="20.100000000000001" customHeight="1" x14ac:dyDescent="0.25">
      <c r="A26" s="4"/>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7"/>
    </row>
    <row r="27" spans="1:39" s="1" customFormat="1" ht="20.100000000000001" customHeight="1" x14ac:dyDescent="0.25">
      <c r="A27" s="4"/>
      <c r="B27" s="209" t="s">
        <v>123</v>
      </c>
      <c r="C27" s="209"/>
      <c r="D27" s="209"/>
      <c r="E27" s="209"/>
      <c r="F27" s="209"/>
      <c r="G27" s="209"/>
      <c r="H27" s="209"/>
      <c r="I27" s="209"/>
      <c r="J27" s="209"/>
      <c r="K27" s="209"/>
      <c r="L27" s="209"/>
      <c r="M27" s="209"/>
      <c r="N27" s="209"/>
      <c r="O27" s="5"/>
      <c r="P27" s="5"/>
      <c r="Q27" s="5"/>
      <c r="R27" s="5"/>
      <c r="S27" s="5"/>
      <c r="T27" s="5"/>
      <c r="U27" s="5"/>
      <c r="V27" s="210" t="s">
        <v>124</v>
      </c>
      <c r="W27" s="210"/>
      <c r="X27" s="210"/>
      <c r="Y27" s="210"/>
      <c r="Z27" s="210"/>
      <c r="AA27" s="210"/>
      <c r="AB27" s="210"/>
      <c r="AC27" s="210"/>
      <c r="AD27" s="210"/>
      <c r="AE27" s="210"/>
      <c r="AF27" s="210"/>
      <c r="AG27" s="210"/>
      <c r="AH27" s="210"/>
      <c r="AI27" s="210"/>
      <c r="AJ27" s="210"/>
      <c r="AK27" s="210"/>
      <c r="AL27" s="210"/>
      <c r="AM27" s="14"/>
    </row>
    <row r="28" spans="1:39" s="1" customFormat="1" ht="20.100000000000001" customHeight="1" x14ac:dyDescent="0.25">
      <c r="A28" s="4"/>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7"/>
    </row>
    <row r="29" spans="1:39" s="1" customFormat="1" ht="20.100000000000001" customHeight="1" x14ac:dyDescent="0.25">
      <c r="A29" s="4"/>
      <c r="B29" s="8"/>
      <c r="C29" s="15" t="s">
        <v>125</v>
      </c>
      <c r="D29" s="5"/>
      <c r="E29" s="5"/>
      <c r="J29" s="8"/>
      <c r="K29" s="15" t="s">
        <v>126</v>
      </c>
      <c r="L29" s="5"/>
      <c r="M29" s="5"/>
      <c r="N29" s="5"/>
      <c r="O29" s="5"/>
      <c r="P29" s="5"/>
      <c r="Q29" s="5"/>
      <c r="R29" s="5"/>
      <c r="S29" s="5"/>
      <c r="T29" s="5"/>
      <c r="U29" s="5"/>
      <c r="V29" s="8"/>
      <c r="W29" s="16" t="s">
        <v>127</v>
      </c>
      <c r="X29" s="15"/>
      <c r="Y29" s="15"/>
      <c r="Z29" s="15"/>
      <c r="AA29" s="15"/>
      <c r="AB29" s="15"/>
      <c r="AC29" s="15"/>
      <c r="AD29" s="15"/>
      <c r="AE29" s="8"/>
      <c r="AF29" s="16" t="s">
        <v>64</v>
      </c>
      <c r="AH29" s="5"/>
      <c r="AI29" s="5"/>
      <c r="AJ29" s="15"/>
      <c r="AK29" s="15"/>
      <c r="AL29" s="15"/>
      <c r="AM29" s="17"/>
    </row>
    <row r="30" spans="1:39" s="1" customFormat="1" ht="20.100000000000001" customHeight="1" x14ac:dyDescent="0.25">
      <c r="A30" s="5"/>
      <c r="B30" s="5"/>
      <c r="C30" s="5"/>
      <c r="D30" s="5"/>
      <c r="E30" s="5"/>
      <c r="J30" s="5"/>
      <c r="K30" s="15"/>
      <c r="L30" s="5"/>
      <c r="M30" s="5"/>
      <c r="N30" s="5"/>
      <c r="O30" s="5"/>
      <c r="P30" s="5"/>
      <c r="Q30" s="5"/>
      <c r="R30" s="5"/>
      <c r="S30" s="5"/>
      <c r="T30" s="5"/>
      <c r="U30" s="5"/>
      <c r="V30" s="5"/>
      <c r="W30" s="5"/>
      <c r="X30" s="15"/>
      <c r="Y30" s="15"/>
      <c r="Z30" s="15"/>
      <c r="AA30" s="15"/>
      <c r="AB30" s="15"/>
      <c r="AC30" s="15"/>
      <c r="AD30" s="15"/>
      <c r="AE30" s="5"/>
      <c r="AF30" s="5"/>
      <c r="AH30" s="5"/>
      <c r="AI30" s="5"/>
      <c r="AJ30" s="15"/>
      <c r="AK30" s="15"/>
      <c r="AL30" s="15"/>
      <c r="AM30" s="17"/>
    </row>
    <row r="31" spans="1:39" s="1" customFormat="1" ht="20.100000000000001" customHeight="1" x14ac:dyDescent="0.25">
      <c r="A31" s="4"/>
      <c r="B31" s="8"/>
      <c r="C31" s="15" t="s">
        <v>128</v>
      </c>
      <c r="D31" s="5"/>
      <c r="E31" s="5"/>
      <c r="J31" s="8"/>
      <c r="K31" s="15" t="s">
        <v>129</v>
      </c>
      <c r="L31" s="5"/>
      <c r="M31" s="5"/>
      <c r="N31" s="5"/>
      <c r="O31" s="5"/>
      <c r="P31" s="5"/>
      <c r="Q31" s="5"/>
      <c r="R31" s="5"/>
      <c r="S31" s="5"/>
      <c r="T31" s="5"/>
      <c r="U31" s="5"/>
      <c r="V31" s="8"/>
      <c r="W31" s="16" t="s">
        <v>130</v>
      </c>
      <c r="X31" s="15"/>
      <c r="Y31" s="15"/>
      <c r="Z31" s="15"/>
      <c r="AA31" s="15"/>
      <c r="AB31" s="15"/>
      <c r="AC31" s="15"/>
      <c r="AD31" s="15"/>
      <c r="AE31" s="8"/>
      <c r="AF31" s="16" t="s">
        <v>131</v>
      </c>
      <c r="AG31" s="15"/>
      <c r="AH31" s="15"/>
      <c r="AI31" s="15"/>
      <c r="AJ31" s="15"/>
      <c r="AK31" s="15"/>
      <c r="AL31" s="15"/>
      <c r="AM31" s="7"/>
    </row>
    <row r="32" spans="1:39" s="1" customFormat="1" ht="20.100000000000001" customHeight="1" x14ac:dyDescent="0.25">
      <c r="A32" s="4"/>
      <c r="C32" s="15"/>
      <c r="D32" s="5"/>
      <c r="E32" s="5"/>
      <c r="K32" s="15"/>
      <c r="L32" s="5"/>
      <c r="M32" s="5"/>
      <c r="N32" s="5"/>
      <c r="O32" s="5"/>
      <c r="P32" s="5"/>
      <c r="Q32" s="5"/>
      <c r="R32" s="5"/>
      <c r="S32" s="5"/>
      <c r="T32" s="5"/>
      <c r="U32" s="5"/>
      <c r="V32" s="5"/>
      <c r="W32" s="5"/>
      <c r="X32" s="15"/>
      <c r="Y32" s="15"/>
      <c r="Z32" s="15"/>
      <c r="AA32" s="15"/>
      <c r="AB32" s="15"/>
      <c r="AC32" s="15"/>
      <c r="AD32" s="15"/>
      <c r="AF32" s="15"/>
      <c r="AG32" s="15"/>
      <c r="AH32" s="15"/>
      <c r="AI32" s="15"/>
      <c r="AJ32" s="15"/>
      <c r="AK32" s="15"/>
      <c r="AL32" s="15"/>
      <c r="AM32" s="7"/>
    </row>
    <row r="33" spans="1:39" s="1" customFormat="1" ht="20.100000000000001" customHeight="1" x14ac:dyDescent="0.25">
      <c r="A33" s="4"/>
      <c r="B33" s="5"/>
      <c r="C33" s="5"/>
      <c r="D33" s="5"/>
      <c r="E33" s="5"/>
      <c r="F33" s="5"/>
      <c r="G33" s="5"/>
      <c r="H33" s="5"/>
      <c r="I33" s="5"/>
      <c r="J33" s="5"/>
      <c r="K33" s="5"/>
      <c r="L33" s="5"/>
      <c r="M33" s="5"/>
      <c r="N33" s="5"/>
      <c r="O33" s="5"/>
      <c r="P33" s="5"/>
      <c r="Q33" s="5"/>
      <c r="R33" s="5"/>
      <c r="S33" s="5"/>
      <c r="T33" s="5"/>
      <c r="U33" s="5"/>
      <c r="V33" s="8"/>
      <c r="W33" s="16" t="s">
        <v>234</v>
      </c>
      <c r="X33" s="5"/>
      <c r="Y33" s="5"/>
      <c r="Z33" s="5"/>
      <c r="AA33" s="5"/>
      <c r="AB33" s="5"/>
      <c r="AC33" s="5"/>
      <c r="AD33" s="5"/>
      <c r="AE33" s="5"/>
      <c r="AF33" s="5"/>
      <c r="AG33" s="5"/>
      <c r="AH33" s="5"/>
      <c r="AI33" s="5"/>
      <c r="AJ33" s="5"/>
      <c r="AK33" s="5"/>
      <c r="AL33" s="5"/>
      <c r="AM33" s="7"/>
    </row>
    <row r="34" spans="1:39" s="1" customFormat="1" ht="20.100000000000001" customHeight="1" x14ac:dyDescent="0.25">
      <c r="A34" s="4"/>
      <c r="B34" s="5"/>
      <c r="C34" s="5"/>
      <c r="D34" s="5"/>
      <c r="E34" s="5"/>
      <c r="F34" s="5"/>
      <c r="G34" s="5"/>
      <c r="H34" s="5"/>
      <c r="J34" s="5"/>
      <c r="K34" s="5"/>
      <c r="L34" s="5"/>
      <c r="M34" s="5"/>
      <c r="N34" s="5"/>
      <c r="O34" s="5"/>
      <c r="P34" s="5"/>
      <c r="Q34" s="5"/>
      <c r="R34" s="5"/>
      <c r="S34" s="5"/>
      <c r="T34" s="5"/>
      <c r="U34" s="5"/>
      <c r="W34" s="15"/>
      <c r="X34" s="5"/>
      <c r="Y34" s="5"/>
      <c r="Z34" s="5"/>
      <c r="AA34" s="5"/>
      <c r="AB34" s="5"/>
      <c r="AC34" s="5"/>
      <c r="AD34" s="5"/>
      <c r="AE34" s="5"/>
      <c r="AF34" s="5"/>
      <c r="AG34" s="5"/>
      <c r="AH34" s="5"/>
      <c r="AI34" s="5"/>
      <c r="AJ34" s="5"/>
      <c r="AK34" s="5"/>
      <c r="AL34" s="5"/>
      <c r="AM34" s="7"/>
    </row>
    <row r="35" spans="1:39" s="1" customFormat="1" ht="20.100000000000001" customHeight="1" x14ac:dyDescent="0.25">
      <c r="A35" s="4"/>
      <c r="B35" s="214" t="s">
        <v>132</v>
      </c>
      <c r="C35" s="215"/>
      <c r="D35" s="215"/>
      <c r="E35" s="215"/>
      <c r="F35" s="215"/>
      <c r="G35" s="215"/>
      <c r="H35" s="216"/>
      <c r="J35" s="8"/>
      <c r="K35" s="15" t="s">
        <v>65</v>
      </c>
      <c r="L35" s="5"/>
      <c r="M35" s="5"/>
      <c r="O35" s="5"/>
      <c r="P35" s="5"/>
      <c r="Q35" s="5"/>
      <c r="R35" s="5"/>
      <c r="S35" s="5"/>
      <c r="T35" s="5"/>
      <c r="U35" s="5"/>
      <c r="V35" s="8"/>
      <c r="W35" s="15" t="s">
        <v>66</v>
      </c>
      <c r="X35" s="5"/>
      <c r="Y35" s="5"/>
      <c r="AC35" s="5"/>
      <c r="AD35" s="5"/>
      <c r="AE35" s="5"/>
      <c r="AF35" s="5"/>
      <c r="AG35" s="5"/>
      <c r="AH35" s="5"/>
      <c r="AI35" s="5"/>
      <c r="AJ35" s="5"/>
      <c r="AK35" s="5"/>
      <c r="AL35" s="5"/>
      <c r="AM35" s="7"/>
    </row>
    <row r="36" spans="1:39" s="1" customFormat="1" ht="20.100000000000001" customHeight="1" thickBot="1" x14ac:dyDescent="0.3">
      <c r="A36" s="9"/>
      <c r="B36" s="3"/>
      <c r="C36" s="3"/>
      <c r="D36" s="3"/>
      <c r="E36" s="3"/>
      <c r="F36" s="3"/>
      <c r="G36" s="3"/>
      <c r="H36" s="3"/>
      <c r="J36" s="3"/>
      <c r="K36" s="3"/>
      <c r="L36" s="3"/>
      <c r="M36" s="3"/>
      <c r="N36" s="3"/>
      <c r="O36" s="3"/>
      <c r="P36" s="3"/>
      <c r="Q36" s="3"/>
      <c r="R36" s="3"/>
      <c r="S36" s="3"/>
      <c r="T36" s="3"/>
      <c r="U36" s="3"/>
      <c r="V36" s="18"/>
      <c r="W36" s="19"/>
      <c r="X36" s="3"/>
      <c r="Y36" s="3"/>
      <c r="Z36" s="3"/>
      <c r="AA36" s="3"/>
      <c r="AB36" s="3"/>
      <c r="AC36" s="3"/>
      <c r="AD36" s="3"/>
      <c r="AE36" s="3"/>
      <c r="AF36" s="3"/>
      <c r="AG36" s="3"/>
      <c r="AH36" s="3"/>
      <c r="AI36" s="3"/>
      <c r="AJ36" s="3"/>
      <c r="AK36" s="3"/>
      <c r="AL36" s="3"/>
      <c r="AM36" s="11"/>
    </row>
    <row r="37" spans="1:39" s="1" customFormat="1" ht="20.100000000000001" customHeight="1" x14ac:dyDescent="0.25">
      <c r="A37" s="196" t="s">
        <v>133</v>
      </c>
      <c r="B37" s="197"/>
      <c r="C37" s="197"/>
      <c r="D37" s="197"/>
      <c r="E37" s="197"/>
      <c r="F37" s="197"/>
      <c r="G37" s="197"/>
      <c r="H37" s="197"/>
      <c r="I37" s="197"/>
      <c r="J37" s="197"/>
      <c r="K37" s="197"/>
      <c r="L37" s="197"/>
      <c r="M37" s="197"/>
      <c r="N37" s="197"/>
      <c r="O37" s="197"/>
      <c r="P37" s="197"/>
      <c r="Q37" s="197"/>
      <c r="R37" s="197"/>
      <c r="S37" s="197"/>
      <c r="T37" s="197"/>
      <c r="U37" s="197"/>
      <c r="V37" s="197"/>
      <c r="W37" s="197"/>
      <c r="X37" s="197"/>
      <c r="Y37" s="197"/>
      <c r="Z37" s="197"/>
      <c r="AA37" s="197"/>
      <c r="AB37" s="197"/>
      <c r="AC37" s="197"/>
      <c r="AD37" s="197"/>
      <c r="AE37" s="197"/>
      <c r="AF37" s="197"/>
      <c r="AG37" s="197"/>
      <c r="AH37" s="197"/>
      <c r="AI37" s="197"/>
      <c r="AJ37" s="197"/>
      <c r="AK37" s="197"/>
      <c r="AL37" s="197"/>
      <c r="AM37" s="198"/>
    </row>
    <row r="38" spans="1:39" s="1" customFormat="1" ht="20.100000000000001" customHeight="1" x14ac:dyDescent="0.25">
      <c r="A38" s="4"/>
      <c r="B38" s="20"/>
      <c r="C38" s="21"/>
      <c r="D38" s="21"/>
      <c r="E38" s="21"/>
      <c r="F38" s="21"/>
      <c r="G38" s="21"/>
      <c r="H38" s="21"/>
      <c r="I38" s="21"/>
      <c r="J38" s="22"/>
      <c r="K38" s="22"/>
      <c r="L38" s="22"/>
      <c r="M38" s="22"/>
      <c r="N38" s="22"/>
      <c r="O38" s="22"/>
      <c r="P38" s="22"/>
      <c r="Q38" s="22"/>
      <c r="R38" s="22"/>
      <c r="S38" s="22"/>
      <c r="T38" s="22"/>
      <c r="U38" s="22"/>
      <c r="V38" s="21"/>
      <c r="W38" s="21"/>
      <c r="X38" s="21"/>
      <c r="Y38" s="21"/>
      <c r="Z38" s="21"/>
      <c r="AA38" s="21"/>
      <c r="AB38" s="21"/>
      <c r="AC38" s="23"/>
      <c r="AD38" s="23"/>
      <c r="AE38" s="23"/>
      <c r="AF38" s="23"/>
      <c r="AG38" s="23"/>
      <c r="AH38" s="23"/>
      <c r="AI38" s="21"/>
      <c r="AJ38" s="21"/>
      <c r="AK38" s="21"/>
      <c r="AL38" s="21"/>
      <c r="AM38" s="24"/>
    </row>
    <row r="39" spans="1:39" s="1" customFormat="1" ht="20.100000000000001" customHeight="1" x14ac:dyDescent="0.25">
      <c r="A39" s="4"/>
      <c r="B39" s="25"/>
      <c r="C39" s="15" t="s">
        <v>134</v>
      </c>
      <c r="D39" s="21"/>
      <c r="E39" s="21"/>
      <c r="F39" s="21"/>
      <c r="G39" s="21"/>
      <c r="H39" s="21"/>
      <c r="I39" s="21"/>
      <c r="J39" s="13"/>
      <c r="K39" s="25"/>
      <c r="L39" s="15" t="s">
        <v>135</v>
      </c>
      <c r="M39" s="15"/>
      <c r="N39" s="15"/>
      <c r="O39" s="15"/>
      <c r="P39" s="15"/>
      <c r="Q39" s="5"/>
      <c r="R39" s="25"/>
      <c r="S39" s="15" t="s">
        <v>136</v>
      </c>
      <c r="V39" s="5"/>
      <c r="W39" s="5"/>
      <c r="X39" s="15"/>
      <c r="Y39" s="15"/>
      <c r="Z39" s="25"/>
      <c r="AA39" s="15" t="s">
        <v>137</v>
      </c>
      <c r="AD39" s="15"/>
      <c r="AE39" s="15"/>
      <c r="AG39" s="5"/>
      <c r="AH39" s="5"/>
      <c r="AI39" s="26"/>
      <c r="AL39" s="15"/>
      <c r="AM39" s="17"/>
    </row>
    <row r="40" spans="1:39" s="1" customFormat="1" ht="20.100000000000001" customHeight="1" x14ac:dyDescent="0.25">
      <c r="A40" s="4"/>
      <c r="B40" s="13"/>
      <c r="C40" s="15"/>
      <c r="D40" s="21"/>
      <c r="E40" s="21"/>
      <c r="F40" s="21"/>
      <c r="G40" s="21"/>
      <c r="H40" s="21"/>
      <c r="I40" s="21"/>
      <c r="J40" s="13"/>
      <c r="K40" s="15"/>
      <c r="L40" s="15"/>
      <c r="M40" s="15"/>
      <c r="N40" s="15"/>
      <c r="O40" s="15"/>
      <c r="P40" s="15"/>
      <c r="Q40" s="5"/>
      <c r="R40" s="15"/>
      <c r="S40" s="15"/>
      <c r="V40" s="5"/>
      <c r="W40" s="5"/>
      <c r="X40" s="15"/>
      <c r="Y40" s="15"/>
      <c r="Z40" s="15"/>
      <c r="AA40" s="15"/>
      <c r="AD40" s="15"/>
      <c r="AE40" s="15"/>
      <c r="AG40" s="5"/>
      <c r="AH40" s="5"/>
      <c r="AI40" s="15"/>
      <c r="AL40" s="15"/>
      <c r="AM40" s="17"/>
    </row>
    <row r="41" spans="1:39" s="1" customFormat="1" ht="20.100000000000001" customHeight="1" x14ac:dyDescent="0.25">
      <c r="A41" s="4"/>
      <c r="B41" s="25"/>
      <c r="C41" s="15" t="s">
        <v>138</v>
      </c>
      <c r="D41" s="21"/>
      <c r="E41" s="21"/>
      <c r="F41" s="21"/>
      <c r="G41" s="21"/>
      <c r="H41" s="21"/>
      <c r="I41" s="21"/>
      <c r="J41" s="13"/>
      <c r="K41" s="25"/>
      <c r="L41" s="15" t="s">
        <v>139</v>
      </c>
      <c r="M41" s="15"/>
      <c r="N41" s="15"/>
      <c r="O41" s="15"/>
      <c r="P41" s="15"/>
      <c r="Q41" s="5"/>
      <c r="R41" s="25"/>
      <c r="S41" s="15" t="s">
        <v>140</v>
      </c>
      <c r="V41" s="5"/>
      <c r="W41" s="5"/>
      <c r="X41" s="15"/>
      <c r="Y41" s="15"/>
      <c r="Z41" s="25"/>
      <c r="AA41" s="15" t="s">
        <v>141</v>
      </c>
      <c r="AD41" s="15"/>
      <c r="AE41" s="15"/>
      <c r="AG41" s="5"/>
      <c r="AH41" s="5"/>
      <c r="AI41" s="15"/>
      <c r="AL41" s="15"/>
      <c r="AM41" s="17"/>
    </row>
    <row r="42" spans="1:39" s="1" customFormat="1" ht="20.100000000000001" customHeight="1" thickBot="1" x14ac:dyDescent="0.3">
      <c r="A42" s="9"/>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11"/>
    </row>
    <row r="43" spans="1:39" s="1" customFormat="1" ht="20.100000000000001" customHeight="1" x14ac:dyDescent="0.25">
      <c r="A43" s="211" t="s">
        <v>142</v>
      </c>
      <c r="B43" s="212"/>
      <c r="C43" s="212"/>
      <c r="D43" s="212"/>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3"/>
    </row>
    <row r="44" spans="1:39" s="1" customFormat="1" ht="20.100000000000001" customHeight="1" x14ac:dyDescent="0.25">
      <c r="A44" s="4"/>
      <c r="B44" s="20"/>
      <c r="C44" s="21"/>
      <c r="D44" s="21"/>
      <c r="E44" s="21"/>
      <c r="F44" s="21"/>
      <c r="G44" s="21"/>
      <c r="H44" s="21"/>
      <c r="I44" s="21"/>
      <c r="J44" s="22"/>
      <c r="K44" s="22"/>
      <c r="L44" s="22"/>
      <c r="M44" s="22"/>
      <c r="N44" s="22"/>
      <c r="O44" s="22"/>
      <c r="P44" s="22"/>
      <c r="Q44" s="22"/>
      <c r="R44" s="22"/>
      <c r="S44" s="22"/>
      <c r="T44" s="22"/>
      <c r="U44" s="22"/>
      <c r="V44" s="21"/>
      <c r="W44" s="21"/>
      <c r="X44" s="21"/>
      <c r="Y44" s="21"/>
      <c r="Z44" s="21"/>
      <c r="AA44" s="21"/>
      <c r="AB44" s="21"/>
      <c r="AC44" s="23"/>
      <c r="AD44" s="23"/>
      <c r="AE44" s="23"/>
      <c r="AF44" s="23"/>
      <c r="AG44" s="23"/>
      <c r="AH44" s="23"/>
      <c r="AI44" s="21"/>
      <c r="AJ44" s="21"/>
      <c r="AK44" s="21"/>
      <c r="AL44" s="21"/>
      <c r="AM44" s="24"/>
    </row>
    <row r="45" spans="1:39" s="1" customFormat="1" ht="20.100000000000001" customHeight="1" x14ac:dyDescent="0.25">
      <c r="A45" s="4"/>
      <c r="B45" s="25"/>
      <c r="C45" s="15" t="s">
        <v>143</v>
      </c>
      <c r="D45" s="21"/>
      <c r="E45" s="21"/>
      <c r="F45" s="21"/>
      <c r="G45" s="21"/>
      <c r="H45" s="21"/>
      <c r="I45" s="21"/>
      <c r="J45" s="13"/>
      <c r="K45" s="25"/>
      <c r="L45" s="15" t="s">
        <v>144</v>
      </c>
      <c r="M45" s="15"/>
      <c r="N45" s="15"/>
      <c r="O45" s="15"/>
      <c r="P45" s="15"/>
      <c r="Q45" s="5"/>
      <c r="R45" s="25"/>
      <c r="S45" s="15" t="s">
        <v>145</v>
      </c>
      <c r="V45" s="5"/>
      <c r="W45" s="5"/>
      <c r="X45" s="15"/>
      <c r="Y45" s="15"/>
      <c r="Z45" s="25"/>
      <c r="AA45" s="15" t="s">
        <v>146</v>
      </c>
      <c r="AD45" s="15"/>
      <c r="AE45" s="15"/>
      <c r="AG45" s="5"/>
      <c r="AH45" s="5"/>
      <c r="AI45" s="26"/>
      <c r="AL45" s="15"/>
      <c r="AM45" s="17"/>
    </row>
    <row r="46" spans="1:39" s="1" customFormat="1" ht="20.100000000000001" customHeight="1" x14ac:dyDescent="0.25">
      <c r="A46" s="4"/>
      <c r="B46" s="13"/>
      <c r="C46" s="15"/>
      <c r="D46" s="21"/>
      <c r="E46" s="21"/>
      <c r="F46" s="21"/>
      <c r="G46" s="21"/>
      <c r="H46" s="21"/>
      <c r="I46" s="21"/>
      <c r="J46" s="13"/>
      <c r="K46" s="15"/>
      <c r="L46" s="15"/>
      <c r="M46" s="15"/>
      <c r="N46" s="15"/>
      <c r="O46" s="15"/>
      <c r="P46" s="15"/>
      <c r="Q46" s="5"/>
      <c r="R46" s="15"/>
      <c r="S46" s="15"/>
      <c r="V46" s="5"/>
      <c r="W46" s="5"/>
      <c r="X46" s="15"/>
      <c r="Y46" s="15"/>
      <c r="Z46" s="15"/>
      <c r="AA46" s="15"/>
      <c r="AD46" s="15"/>
      <c r="AE46" s="15"/>
      <c r="AG46" s="5"/>
      <c r="AH46" s="5"/>
      <c r="AI46" s="15"/>
      <c r="AL46" s="15"/>
      <c r="AM46" s="17"/>
    </row>
    <row r="47" spans="1:39" s="1" customFormat="1" ht="20.100000000000001" customHeight="1" x14ac:dyDescent="0.25">
      <c r="A47" s="4"/>
      <c r="B47" s="25"/>
      <c r="C47" s="15" t="s">
        <v>147</v>
      </c>
      <c r="D47" s="21"/>
      <c r="E47" s="21"/>
      <c r="F47" s="21"/>
      <c r="G47" s="21"/>
      <c r="H47" s="21"/>
      <c r="I47" s="21"/>
      <c r="J47" s="13"/>
      <c r="K47" s="25"/>
      <c r="L47" s="15" t="s">
        <v>148</v>
      </c>
      <c r="M47" s="15"/>
      <c r="N47" s="15"/>
      <c r="O47" s="15"/>
      <c r="P47" s="15"/>
      <c r="Q47" s="5"/>
      <c r="R47" s="25"/>
      <c r="S47" s="15" t="s">
        <v>149</v>
      </c>
      <c r="V47" s="5"/>
      <c r="W47" s="5"/>
      <c r="X47" s="15"/>
      <c r="Y47" s="15"/>
      <c r="Z47" s="25"/>
      <c r="AA47" s="15" t="s">
        <v>150</v>
      </c>
      <c r="AD47" s="15"/>
      <c r="AE47" s="15"/>
      <c r="AG47" s="5"/>
      <c r="AH47" s="5"/>
      <c r="AI47" s="15"/>
      <c r="AL47" s="15"/>
      <c r="AM47" s="17"/>
    </row>
    <row r="48" spans="1:39" s="1" customFormat="1" ht="20.100000000000001" customHeight="1" thickBot="1" x14ac:dyDescent="0.3">
      <c r="A48" s="9"/>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11"/>
    </row>
    <row r="49" spans="1:39" s="1" customFormat="1" ht="20.100000000000001" customHeight="1" x14ac:dyDescent="0.25">
      <c r="A49" s="196" t="s">
        <v>151</v>
      </c>
      <c r="B49" s="197"/>
      <c r="C49" s="197"/>
      <c r="D49" s="197"/>
      <c r="E49" s="197"/>
      <c r="F49" s="197"/>
      <c r="G49" s="197"/>
      <c r="H49" s="197"/>
      <c r="I49" s="197"/>
      <c r="J49" s="197"/>
      <c r="K49" s="197"/>
      <c r="L49" s="197"/>
      <c r="M49" s="197"/>
      <c r="N49" s="197"/>
      <c r="O49" s="197"/>
      <c r="P49" s="197"/>
      <c r="Q49" s="197"/>
      <c r="R49" s="197"/>
      <c r="S49" s="197"/>
      <c r="T49" s="197"/>
      <c r="U49" s="197"/>
      <c r="V49" s="197"/>
      <c r="W49" s="197"/>
      <c r="X49" s="197"/>
      <c r="Y49" s="197"/>
      <c r="Z49" s="197"/>
      <c r="AA49" s="197"/>
      <c r="AB49" s="197"/>
      <c r="AC49" s="197"/>
      <c r="AD49" s="197"/>
      <c r="AE49" s="197"/>
      <c r="AF49" s="197"/>
      <c r="AG49" s="197"/>
      <c r="AH49" s="197"/>
      <c r="AI49" s="197"/>
      <c r="AJ49" s="197"/>
      <c r="AK49" s="197"/>
      <c r="AL49" s="197"/>
      <c r="AM49" s="198"/>
    </row>
    <row r="50" spans="1:39" s="1" customFormat="1" ht="20.100000000000001" customHeight="1" x14ac:dyDescent="0.25">
      <c r="A50" s="4"/>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7"/>
    </row>
    <row r="51" spans="1:39" s="1" customFormat="1" ht="20.100000000000001" customHeight="1" x14ac:dyDescent="0.25">
      <c r="A51" s="4"/>
      <c r="B51" s="217" t="s">
        <v>239</v>
      </c>
      <c r="C51" s="218"/>
      <c r="D51" s="218"/>
      <c r="E51" s="218"/>
      <c r="F51" s="218"/>
      <c r="G51" s="218"/>
      <c r="H51" s="218"/>
      <c r="I51" s="218"/>
      <c r="J51" s="218"/>
      <c r="K51" s="199"/>
      <c r="L51" s="199"/>
      <c r="M51" s="199"/>
      <c r="N51" s="199"/>
      <c r="O51" s="199"/>
      <c r="P51" s="5"/>
      <c r="Q51" s="217" t="s">
        <v>240</v>
      </c>
      <c r="R51" s="218"/>
      <c r="S51" s="218"/>
      <c r="T51" s="218"/>
      <c r="U51" s="218"/>
      <c r="V51" s="218"/>
      <c r="W51" s="218"/>
      <c r="X51" s="219"/>
      <c r="Y51" s="219"/>
      <c r="Z51" s="219"/>
      <c r="AA51" s="219"/>
      <c r="AB51" s="5"/>
      <c r="AC51" s="217" t="s">
        <v>5</v>
      </c>
      <c r="AD51" s="218"/>
      <c r="AE51" s="218"/>
      <c r="AF51" s="218"/>
      <c r="AG51" s="218"/>
      <c r="AH51" s="218"/>
      <c r="AI51" s="218"/>
      <c r="AJ51" s="219"/>
      <c r="AK51" s="219"/>
      <c r="AL51" s="219"/>
      <c r="AM51" s="7"/>
    </row>
    <row r="52" spans="1:39" s="1" customFormat="1" ht="20.100000000000001" customHeight="1" x14ac:dyDescent="0.25">
      <c r="A52" s="4"/>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7"/>
    </row>
    <row r="53" spans="1:39" s="1" customFormat="1" ht="20.100000000000001" customHeight="1" x14ac:dyDescent="0.25">
      <c r="A53" s="4"/>
      <c r="B53" s="219" t="s">
        <v>3</v>
      </c>
      <c r="C53" s="219"/>
      <c r="D53" s="219"/>
      <c r="E53" s="219"/>
      <c r="F53" s="219"/>
      <c r="G53" s="219"/>
      <c r="H53" s="219"/>
      <c r="I53" s="219"/>
      <c r="J53" s="219"/>
      <c r="K53" s="5"/>
      <c r="L53" s="8"/>
      <c r="M53" s="15" t="s">
        <v>152</v>
      </c>
      <c r="N53" s="5"/>
      <c r="O53" s="5"/>
      <c r="P53" s="5"/>
      <c r="Q53" s="8"/>
      <c r="R53" s="15" t="s">
        <v>153</v>
      </c>
      <c r="S53" s="5"/>
      <c r="T53" s="5"/>
      <c r="U53" s="5"/>
      <c r="V53" s="5"/>
      <c r="W53" s="8"/>
      <c r="X53" s="15" t="s">
        <v>154</v>
      </c>
      <c r="Y53" s="5"/>
      <c r="Z53" s="5"/>
      <c r="AA53" s="5"/>
      <c r="AB53" s="5"/>
      <c r="AE53" s="5"/>
      <c r="AF53" s="5"/>
      <c r="AG53" s="5"/>
      <c r="AH53" s="5"/>
      <c r="AI53" s="5"/>
      <c r="AJ53" s="5"/>
      <c r="AK53" s="5"/>
      <c r="AL53" s="5"/>
      <c r="AM53" s="7"/>
    </row>
    <row r="54" spans="1:39" s="1" customFormat="1" ht="20.100000000000001" customHeight="1" x14ac:dyDescent="0.25">
      <c r="A54" s="4"/>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7"/>
    </row>
    <row r="55" spans="1:39" s="1" customFormat="1" ht="20.100000000000001" customHeight="1" x14ac:dyDescent="0.25">
      <c r="A55" s="4"/>
      <c r="B55" s="219" t="s">
        <v>4</v>
      </c>
      <c r="C55" s="219"/>
      <c r="D55" s="219"/>
      <c r="E55" s="219"/>
      <c r="F55" s="219"/>
      <c r="G55" s="219"/>
      <c r="H55" s="219"/>
      <c r="I55" s="219"/>
      <c r="J55" s="219"/>
      <c r="K55" s="5"/>
      <c r="L55" s="8"/>
      <c r="M55" s="15" t="s">
        <v>67</v>
      </c>
      <c r="N55" s="5"/>
      <c r="O55" s="5"/>
      <c r="P55" s="5"/>
      <c r="Q55" s="8"/>
      <c r="R55" s="15" t="s">
        <v>155</v>
      </c>
      <c r="S55" s="5"/>
      <c r="T55" s="5"/>
      <c r="U55" s="5"/>
      <c r="V55" s="5"/>
      <c r="W55" s="5"/>
      <c r="X55" s="5"/>
      <c r="Y55" s="5"/>
      <c r="Z55" s="5"/>
      <c r="AA55" s="5"/>
      <c r="AB55" s="5"/>
      <c r="AC55" s="5"/>
      <c r="AD55" s="5"/>
      <c r="AE55" s="5"/>
      <c r="AF55" s="5"/>
      <c r="AG55" s="5"/>
      <c r="AH55" s="5"/>
      <c r="AI55" s="5"/>
      <c r="AJ55" s="5"/>
      <c r="AK55" s="5"/>
      <c r="AL55" s="5"/>
      <c r="AM55" s="7"/>
    </row>
    <row r="56" spans="1:39" s="1" customFormat="1" ht="20.100000000000001" customHeight="1" x14ac:dyDescent="0.25">
      <c r="A56" s="4"/>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7"/>
    </row>
    <row r="57" spans="1:39" s="1" customFormat="1" ht="20.100000000000001" customHeight="1" x14ac:dyDescent="0.25">
      <c r="A57" s="4"/>
      <c r="B57" s="219" t="s">
        <v>0</v>
      </c>
      <c r="C57" s="219"/>
      <c r="D57" s="219"/>
      <c r="E57" s="219"/>
      <c r="F57" s="219"/>
      <c r="G57" s="219"/>
      <c r="H57" s="219"/>
      <c r="I57" s="219"/>
      <c r="J57" s="219"/>
      <c r="K57" s="5"/>
      <c r="L57" s="8"/>
      <c r="M57" s="15" t="s">
        <v>156</v>
      </c>
      <c r="N57" s="5"/>
      <c r="O57" s="5"/>
      <c r="P57" s="5"/>
      <c r="Q57" s="8"/>
      <c r="R57" s="15" t="s">
        <v>241</v>
      </c>
      <c r="S57" s="5"/>
      <c r="T57" s="5"/>
      <c r="U57" s="5"/>
      <c r="V57" s="5"/>
      <c r="W57" s="8"/>
      <c r="X57" s="15" t="s">
        <v>242</v>
      </c>
      <c r="Y57" s="5"/>
      <c r="Z57" s="5"/>
      <c r="AA57" s="5"/>
      <c r="AB57" s="5"/>
      <c r="AC57" s="5"/>
      <c r="AD57" s="5"/>
      <c r="AE57" s="5"/>
      <c r="AF57" s="5"/>
      <c r="AG57" s="5"/>
      <c r="AH57" s="5"/>
      <c r="AI57" s="5"/>
      <c r="AJ57" s="5"/>
      <c r="AK57" s="5"/>
      <c r="AL57" s="5"/>
      <c r="AM57" s="7"/>
    </row>
    <row r="58" spans="1:39" s="1" customFormat="1" ht="20.100000000000001" customHeight="1" x14ac:dyDescent="0.25">
      <c r="A58" s="4"/>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7"/>
    </row>
    <row r="59" spans="1:39" s="1" customFormat="1" ht="20.100000000000001" customHeight="1" x14ac:dyDescent="0.25">
      <c r="A59" s="4"/>
      <c r="B59" s="219" t="s">
        <v>157</v>
      </c>
      <c r="C59" s="219"/>
      <c r="D59" s="219"/>
      <c r="E59" s="219"/>
      <c r="F59" s="219"/>
      <c r="G59" s="219"/>
      <c r="H59" s="219"/>
      <c r="I59" s="219"/>
      <c r="J59" s="219"/>
      <c r="K59" s="5"/>
      <c r="L59" s="8"/>
      <c r="M59" s="15" t="s">
        <v>158</v>
      </c>
      <c r="N59" s="5"/>
      <c r="O59" s="5"/>
      <c r="P59" s="5"/>
      <c r="Q59" s="8"/>
      <c r="R59" s="15" t="s">
        <v>159</v>
      </c>
      <c r="S59" s="5"/>
      <c r="T59" s="5"/>
      <c r="U59" s="5"/>
      <c r="V59" s="5"/>
      <c r="W59" s="8"/>
      <c r="X59" s="15" t="s">
        <v>160</v>
      </c>
      <c r="Y59" s="5"/>
      <c r="Z59" s="5"/>
      <c r="AA59" s="5"/>
      <c r="AB59" s="5"/>
      <c r="AC59" s="8"/>
      <c r="AD59" s="15" t="s">
        <v>161</v>
      </c>
      <c r="AE59" s="5"/>
      <c r="AF59" s="5"/>
      <c r="AG59" s="5"/>
      <c r="AH59" s="5"/>
      <c r="AI59" s="5"/>
      <c r="AJ59" s="5"/>
      <c r="AK59" s="5"/>
      <c r="AL59" s="5"/>
      <c r="AM59" s="7"/>
    </row>
    <row r="60" spans="1:39" s="1" customFormat="1" ht="20.100000000000001" customHeight="1" x14ac:dyDescent="0.25">
      <c r="A60" s="4"/>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7"/>
    </row>
    <row r="61" spans="1:39" s="1" customFormat="1" ht="20.100000000000001" customHeight="1" x14ac:dyDescent="0.25">
      <c r="A61" s="4"/>
      <c r="B61" s="219" t="s">
        <v>6</v>
      </c>
      <c r="C61" s="219"/>
      <c r="D61" s="219"/>
      <c r="E61" s="219"/>
      <c r="F61" s="219"/>
      <c r="G61" s="219"/>
      <c r="H61" s="219"/>
      <c r="I61" s="219"/>
      <c r="J61" s="219"/>
      <c r="K61" s="5"/>
      <c r="L61" s="8"/>
      <c r="M61" s="15" t="s">
        <v>162</v>
      </c>
      <c r="N61" s="5"/>
      <c r="O61" s="5"/>
      <c r="P61" s="5"/>
      <c r="Q61" s="8"/>
      <c r="R61" s="15" t="s">
        <v>163</v>
      </c>
      <c r="S61" s="5"/>
      <c r="T61" s="5"/>
      <c r="U61" s="5"/>
      <c r="V61" s="5"/>
      <c r="W61" s="5"/>
      <c r="X61" s="5"/>
      <c r="Y61" s="5"/>
      <c r="Z61" s="5"/>
      <c r="AA61" s="5"/>
      <c r="AB61" s="5"/>
      <c r="AC61" s="5"/>
      <c r="AD61" s="5"/>
      <c r="AE61" s="5"/>
      <c r="AF61" s="5"/>
      <c r="AG61" s="5"/>
      <c r="AH61" s="5"/>
      <c r="AI61" s="5"/>
      <c r="AJ61" s="5"/>
      <c r="AK61" s="5"/>
      <c r="AL61" s="5"/>
      <c r="AM61" s="7"/>
    </row>
    <row r="62" spans="1:39" s="1" customFormat="1" ht="20.100000000000001" customHeight="1" x14ac:dyDescent="0.25">
      <c r="A62" s="4"/>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7"/>
    </row>
    <row r="63" spans="1:39" s="1" customFormat="1" ht="20.100000000000001" customHeight="1" x14ac:dyDescent="0.25">
      <c r="A63" s="4"/>
      <c r="B63" s="219" t="s">
        <v>243</v>
      </c>
      <c r="C63" s="219"/>
      <c r="D63" s="219"/>
      <c r="E63" s="219"/>
      <c r="F63" s="219"/>
      <c r="G63" s="219"/>
      <c r="H63" s="219"/>
      <c r="I63" s="219"/>
      <c r="J63" s="219"/>
      <c r="K63" s="5"/>
      <c r="L63" s="8"/>
      <c r="M63" s="15" t="s">
        <v>164</v>
      </c>
      <c r="N63" s="5"/>
      <c r="O63" s="5"/>
      <c r="P63" s="5"/>
      <c r="Q63" s="8"/>
      <c r="R63" s="15" t="s">
        <v>165</v>
      </c>
      <c r="S63" s="5"/>
      <c r="T63" s="5"/>
      <c r="U63" s="5"/>
      <c r="V63" s="5"/>
      <c r="W63" s="8"/>
      <c r="X63" s="15" t="s">
        <v>166</v>
      </c>
      <c r="Y63" s="5"/>
      <c r="Z63" s="5"/>
      <c r="AA63" s="5"/>
      <c r="AB63" s="5"/>
      <c r="AD63" s="15"/>
      <c r="AE63" s="5"/>
      <c r="AF63" s="5"/>
      <c r="AG63" s="5"/>
      <c r="AH63" s="5"/>
      <c r="AI63" s="5"/>
      <c r="AJ63" s="5"/>
      <c r="AK63" s="5"/>
      <c r="AL63" s="5"/>
      <c r="AM63" s="7"/>
    </row>
    <row r="64" spans="1:39" s="1" customFormat="1" ht="20.100000000000001" customHeight="1" thickBot="1" x14ac:dyDescent="0.3">
      <c r="A64" s="9"/>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11"/>
    </row>
    <row r="65" spans="1:39" s="1" customFormat="1" ht="20.100000000000001" customHeight="1" x14ac:dyDescent="0.25">
      <c r="A65" s="196" t="s">
        <v>167</v>
      </c>
      <c r="B65" s="197"/>
      <c r="C65" s="197"/>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198"/>
    </row>
    <row r="66" spans="1:39" s="1" customFormat="1" ht="20.100000000000001" customHeight="1" x14ac:dyDescent="0.25">
      <c r="A66" s="4"/>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7"/>
    </row>
    <row r="67" spans="1:39" s="1" customFormat="1" ht="20.100000000000001" customHeight="1" x14ac:dyDescent="0.25">
      <c r="A67" s="4"/>
      <c r="B67" s="219" t="s">
        <v>168</v>
      </c>
      <c r="C67" s="219"/>
      <c r="D67" s="219"/>
      <c r="E67" s="219"/>
      <c r="F67" s="219"/>
      <c r="G67" s="219"/>
      <c r="H67" s="219"/>
      <c r="I67" s="219"/>
      <c r="J67" s="219"/>
      <c r="K67" s="5"/>
      <c r="L67" s="8"/>
      <c r="M67" s="15" t="s">
        <v>169</v>
      </c>
      <c r="N67" s="5"/>
      <c r="O67" s="5"/>
      <c r="P67" s="5"/>
      <c r="Q67" s="8"/>
      <c r="R67" s="15" t="s">
        <v>170</v>
      </c>
      <c r="S67" s="5"/>
      <c r="T67" s="5"/>
      <c r="U67" s="5"/>
      <c r="V67" s="5"/>
      <c r="W67" s="8"/>
      <c r="X67" s="15" t="s">
        <v>67</v>
      </c>
      <c r="Y67" s="5"/>
      <c r="Z67" s="5"/>
      <c r="AA67" s="5"/>
      <c r="AB67" s="5"/>
      <c r="AC67" s="8"/>
      <c r="AD67" s="15" t="s">
        <v>171</v>
      </c>
      <c r="AE67" s="5"/>
      <c r="AF67" s="5"/>
      <c r="AG67" s="5"/>
      <c r="AH67" s="5"/>
      <c r="AI67" s="5"/>
      <c r="AJ67" s="5"/>
      <c r="AK67" s="5"/>
      <c r="AL67" s="5"/>
      <c r="AM67" s="7"/>
    </row>
    <row r="68" spans="1:39" s="1" customFormat="1" ht="20.100000000000001" customHeight="1" x14ac:dyDescent="0.25">
      <c r="A68" s="4"/>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7"/>
    </row>
    <row r="69" spans="1:39" s="1" customFormat="1" ht="20.100000000000001" customHeight="1" x14ac:dyDescent="0.25">
      <c r="A69" s="4"/>
      <c r="B69" s="219" t="s">
        <v>8</v>
      </c>
      <c r="C69" s="219"/>
      <c r="D69" s="219"/>
      <c r="E69" s="219"/>
      <c r="F69" s="219"/>
      <c r="G69" s="219"/>
      <c r="H69" s="219"/>
      <c r="I69" s="219"/>
      <c r="J69" s="219"/>
      <c r="K69" s="5"/>
      <c r="L69" s="8"/>
      <c r="M69" s="15" t="s">
        <v>172</v>
      </c>
      <c r="N69" s="5"/>
      <c r="O69" s="5"/>
      <c r="P69" s="5"/>
      <c r="Q69" s="8"/>
      <c r="R69" s="15" t="s">
        <v>173</v>
      </c>
      <c r="S69" s="5"/>
      <c r="T69" s="5"/>
      <c r="U69" s="5"/>
      <c r="V69" s="5"/>
      <c r="W69" s="8"/>
      <c r="X69" s="15" t="s">
        <v>174</v>
      </c>
      <c r="Y69" s="5"/>
      <c r="Z69" s="5"/>
      <c r="AA69" s="5"/>
      <c r="AB69" s="5"/>
      <c r="AC69" s="8"/>
      <c r="AD69" s="15" t="s">
        <v>175</v>
      </c>
      <c r="AE69" s="5"/>
      <c r="AF69" s="5"/>
      <c r="AG69" s="5"/>
      <c r="AH69" s="5"/>
      <c r="AI69" s="5"/>
      <c r="AJ69" s="5"/>
      <c r="AK69" s="5"/>
      <c r="AL69" s="5"/>
      <c r="AM69" s="7"/>
    </row>
    <row r="70" spans="1:39" s="1" customFormat="1" ht="20.100000000000001" customHeight="1" x14ac:dyDescent="0.25">
      <c r="A70" s="4"/>
      <c r="B70" s="21"/>
      <c r="C70" s="21"/>
      <c r="D70" s="21"/>
      <c r="E70" s="21"/>
      <c r="F70" s="21"/>
      <c r="G70" s="21"/>
      <c r="H70" s="21"/>
      <c r="I70" s="21"/>
      <c r="J70" s="21"/>
      <c r="K70" s="5"/>
      <c r="M70" s="15"/>
      <c r="N70" s="5"/>
      <c r="O70" s="5"/>
      <c r="P70" s="5"/>
      <c r="R70" s="15"/>
      <c r="S70" s="5"/>
      <c r="T70" s="5"/>
      <c r="U70" s="5"/>
      <c r="V70" s="5"/>
      <c r="X70" s="15"/>
      <c r="Y70" s="5"/>
      <c r="Z70" s="5"/>
      <c r="AA70" s="5"/>
      <c r="AB70" s="5"/>
      <c r="AD70" s="15"/>
      <c r="AE70" s="5"/>
      <c r="AF70" s="5"/>
      <c r="AG70" s="5"/>
      <c r="AH70" s="5"/>
      <c r="AI70" s="5"/>
      <c r="AJ70" s="5"/>
      <c r="AK70" s="5"/>
      <c r="AL70" s="5"/>
      <c r="AM70" s="7"/>
    </row>
    <row r="71" spans="1:39" s="1" customFormat="1" ht="20.100000000000001" customHeight="1" x14ac:dyDescent="0.25">
      <c r="A71" s="4"/>
      <c r="B71" s="21"/>
      <c r="C71" s="21"/>
      <c r="D71" s="21"/>
      <c r="E71" s="21"/>
      <c r="F71" s="21"/>
      <c r="G71" s="21"/>
      <c r="H71" s="21"/>
      <c r="I71" s="21"/>
      <c r="J71" s="21"/>
      <c r="K71" s="5"/>
      <c r="L71" s="8"/>
      <c r="M71" s="15" t="s">
        <v>176</v>
      </c>
      <c r="N71" s="5"/>
      <c r="O71" s="5"/>
      <c r="P71" s="5"/>
      <c r="Q71" s="8"/>
      <c r="R71" s="15" t="s">
        <v>177</v>
      </c>
      <c r="S71" s="5"/>
      <c r="T71" s="5"/>
      <c r="U71" s="5"/>
      <c r="V71" s="5"/>
      <c r="W71" s="8"/>
      <c r="X71" s="15" t="s">
        <v>178</v>
      </c>
      <c r="Y71" s="5"/>
      <c r="Z71" s="5"/>
      <c r="AA71" s="5"/>
      <c r="AB71" s="5"/>
      <c r="AD71" s="15"/>
      <c r="AE71" s="5"/>
      <c r="AF71" s="5"/>
      <c r="AG71" s="5"/>
      <c r="AH71" s="5"/>
      <c r="AI71" s="5"/>
      <c r="AJ71" s="5"/>
      <c r="AK71" s="5"/>
      <c r="AL71" s="5"/>
      <c r="AM71" s="7"/>
    </row>
    <row r="72" spans="1:39" s="1" customFormat="1" ht="20.100000000000001" customHeight="1" thickBot="1" x14ac:dyDescent="0.3">
      <c r="A72" s="9"/>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11"/>
    </row>
    <row r="73" spans="1:39" s="1" customFormat="1" ht="20.100000000000001" customHeight="1" x14ac:dyDescent="0.25">
      <c r="A73" s="196" t="s">
        <v>179</v>
      </c>
      <c r="B73" s="197"/>
      <c r="C73" s="197"/>
      <c r="D73" s="197"/>
      <c r="E73" s="197"/>
      <c r="F73" s="197"/>
      <c r="G73" s="197"/>
      <c r="H73" s="197"/>
      <c r="I73" s="197"/>
      <c r="J73" s="197"/>
      <c r="K73" s="197"/>
      <c r="L73" s="197"/>
      <c r="M73" s="197"/>
      <c r="N73" s="197"/>
      <c r="O73" s="197"/>
      <c r="P73" s="197"/>
      <c r="Q73" s="197"/>
      <c r="R73" s="197"/>
      <c r="S73" s="197"/>
      <c r="T73" s="197"/>
      <c r="U73" s="197"/>
      <c r="V73" s="197"/>
      <c r="W73" s="197"/>
      <c r="X73" s="197"/>
      <c r="Y73" s="197"/>
      <c r="Z73" s="197"/>
      <c r="AA73" s="197"/>
      <c r="AB73" s="197"/>
      <c r="AC73" s="197"/>
      <c r="AD73" s="197"/>
      <c r="AE73" s="197"/>
      <c r="AF73" s="197"/>
      <c r="AG73" s="197"/>
      <c r="AH73" s="197"/>
      <c r="AI73" s="197"/>
      <c r="AJ73" s="197"/>
      <c r="AK73" s="197"/>
      <c r="AL73" s="197"/>
      <c r="AM73" s="198"/>
    </row>
    <row r="74" spans="1:39" s="1" customFormat="1" ht="20.100000000000001" customHeight="1" x14ac:dyDescent="0.25">
      <c r="A74" s="4"/>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7"/>
    </row>
    <row r="75" spans="1:39" s="1" customFormat="1" ht="20.100000000000001" customHeight="1" x14ac:dyDescent="0.25">
      <c r="A75" s="4"/>
      <c r="B75" s="219" t="s">
        <v>180</v>
      </c>
      <c r="C75" s="219"/>
      <c r="D75" s="219"/>
      <c r="E75" s="219"/>
      <c r="F75" s="219"/>
      <c r="G75" s="219"/>
      <c r="H75" s="219"/>
      <c r="I75" s="219"/>
      <c r="J75" s="219"/>
      <c r="K75" s="5"/>
      <c r="L75" s="8"/>
      <c r="M75" s="15" t="s">
        <v>181</v>
      </c>
      <c r="N75" s="5"/>
      <c r="O75" s="5"/>
      <c r="P75" s="5"/>
      <c r="Q75" s="5"/>
      <c r="R75" s="8"/>
      <c r="S75" s="15" t="s">
        <v>182</v>
      </c>
      <c r="T75" s="5"/>
      <c r="U75" s="5"/>
      <c r="V75" s="5"/>
      <c r="W75" s="8"/>
      <c r="X75" s="15" t="s">
        <v>183</v>
      </c>
      <c r="AA75" s="5"/>
      <c r="AB75" s="5"/>
      <c r="AC75" s="5"/>
      <c r="AD75" s="5"/>
      <c r="AF75" s="5"/>
      <c r="AG75" s="5"/>
      <c r="AH75" s="5"/>
      <c r="AI75" s="5"/>
      <c r="AJ75" s="5"/>
      <c r="AK75" s="5"/>
      <c r="AL75" s="5"/>
      <c r="AM75" s="7"/>
    </row>
    <row r="76" spans="1:39" s="1" customFormat="1" ht="20.100000000000001" customHeight="1" x14ac:dyDescent="0.25">
      <c r="A76" s="4"/>
      <c r="B76" s="5"/>
      <c r="C76" s="5"/>
      <c r="D76" s="5"/>
      <c r="E76" s="5"/>
      <c r="F76" s="5"/>
      <c r="G76" s="5"/>
      <c r="H76" s="5"/>
      <c r="I76" s="5"/>
      <c r="J76" s="5"/>
      <c r="K76" s="5"/>
      <c r="L76" s="5"/>
      <c r="M76" s="5"/>
      <c r="N76" s="5"/>
      <c r="O76" s="5"/>
      <c r="P76" s="5"/>
      <c r="Q76" s="5"/>
      <c r="R76" s="5"/>
      <c r="S76" s="5"/>
      <c r="T76" s="5"/>
      <c r="U76" s="5"/>
      <c r="V76" s="5"/>
      <c r="W76" s="5"/>
      <c r="X76" s="5"/>
      <c r="AA76" s="5"/>
      <c r="AB76" s="5"/>
      <c r="AC76" s="5"/>
      <c r="AD76" s="5"/>
      <c r="AE76" s="5"/>
      <c r="AF76" s="5"/>
      <c r="AG76" s="5"/>
      <c r="AH76" s="5"/>
      <c r="AI76" s="5"/>
      <c r="AJ76" s="5"/>
      <c r="AK76" s="5"/>
      <c r="AL76" s="5"/>
      <c r="AM76" s="7"/>
    </row>
    <row r="77" spans="1:39" s="1" customFormat="1" ht="20.100000000000001" customHeight="1" x14ac:dyDescent="0.25">
      <c r="A77" s="4"/>
      <c r="B77" s="219" t="s">
        <v>184</v>
      </c>
      <c r="C77" s="219"/>
      <c r="D77" s="219"/>
      <c r="E77" s="219"/>
      <c r="F77" s="219"/>
      <c r="G77" s="219"/>
      <c r="H77" s="219"/>
      <c r="I77" s="219"/>
      <c r="J77" s="219"/>
      <c r="K77" s="5"/>
      <c r="L77" s="8"/>
      <c r="M77" s="15" t="s">
        <v>181</v>
      </c>
      <c r="N77" s="5"/>
      <c r="O77" s="5"/>
      <c r="P77" s="5"/>
      <c r="Q77" s="5"/>
      <c r="R77" s="8"/>
      <c r="S77" s="15" t="s">
        <v>139</v>
      </c>
      <c r="T77" s="5"/>
      <c r="U77" s="5"/>
      <c r="V77" s="5"/>
      <c r="W77" s="8"/>
      <c r="X77" s="15" t="s">
        <v>185</v>
      </c>
      <c r="AA77" s="5"/>
      <c r="AC77" s="15"/>
      <c r="AD77" s="5"/>
      <c r="AE77" s="5"/>
      <c r="AF77" s="5"/>
      <c r="AG77" s="5"/>
      <c r="AH77" s="5"/>
      <c r="AI77" s="5"/>
      <c r="AJ77" s="5"/>
      <c r="AK77" s="5"/>
      <c r="AL77" s="5"/>
      <c r="AM77" s="7"/>
    </row>
    <row r="78" spans="1:39" s="1" customFormat="1" ht="20.100000000000001" customHeight="1" thickBot="1" x14ac:dyDescent="0.3">
      <c r="A78" s="27"/>
      <c r="B78" s="28"/>
      <c r="C78" s="28"/>
      <c r="D78" s="28"/>
      <c r="E78" s="28"/>
      <c r="F78" s="28"/>
      <c r="G78" s="28"/>
      <c r="H78" s="28"/>
      <c r="I78" s="28"/>
      <c r="J78" s="3"/>
      <c r="K78" s="18"/>
      <c r="L78" s="19"/>
      <c r="M78" s="3"/>
      <c r="N78" s="3"/>
      <c r="O78" s="3"/>
      <c r="P78" s="18"/>
      <c r="Q78" s="19"/>
      <c r="R78" s="3"/>
      <c r="S78" s="3"/>
      <c r="T78" s="3"/>
      <c r="U78" s="3"/>
      <c r="V78" s="18"/>
      <c r="W78" s="19"/>
      <c r="X78" s="3"/>
      <c r="Y78" s="3"/>
      <c r="Z78" s="3"/>
      <c r="AA78" s="3"/>
      <c r="AB78" s="18"/>
      <c r="AC78" s="19"/>
      <c r="AD78" s="3"/>
      <c r="AE78" s="3"/>
      <c r="AF78" s="3"/>
      <c r="AG78" s="3"/>
      <c r="AH78" s="3"/>
      <c r="AI78" s="3"/>
      <c r="AJ78" s="3"/>
      <c r="AK78" s="3"/>
      <c r="AL78" s="3"/>
      <c r="AM78" s="11"/>
    </row>
    <row r="79" spans="1:39" s="1" customFormat="1" ht="20.100000000000001" customHeight="1" x14ac:dyDescent="0.25">
      <c r="A79" s="196" t="s">
        <v>186</v>
      </c>
      <c r="B79" s="197"/>
      <c r="C79" s="197"/>
      <c r="D79" s="197"/>
      <c r="E79" s="197"/>
      <c r="F79" s="197"/>
      <c r="G79" s="197"/>
      <c r="H79" s="197"/>
      <c r="I79" s="197"/>
      <c r="J79" s="197"/>
      <c r="K79" s="197"/>
      <c r="L79" s="197"/>
      <c r="M79" s="197"/>
      <c r="N79" s="197"/>
      <c r="O79" s="197"/>
      <c r="P79" s="197"/>
      <c r="Q79" s="197"/>
      <c r="R79" s="197"/>
      <c r="S79" s="197"/>
      <c r="T79" s="197"/>
      <c r="U79" s="197"/>
      <c r="V79" s="197"/>
      <c r="W79" s="197"/>
      <c r="X79" s="197"/>
      <c r="Y79" s="197"/>
      <c r="Z79" s="197"/>
      <c r="AA79" s="197"/>
      <c r="AB79" s="197"/>
      <c r="AC79" s="197"/>
      <c r="AD79" s="197"/>
      <c r="AE79" s="197"/>
      <c r="AF79" s="197"/>
      <c r="AG79" s="197"/>
      <c r="AH79" s="197"/>
      <c r="AI79" s="197"/>
      <c r="AJ79" s="197"/>
      <c r="AK79" s="197"/>
      <c r="AL79" s="197"/>
      <c r="AM79" s="198"/>
    </row>
    <row r="80" spans="1:39" s="1" customFormat="1" ht="20.100000000000001" customHeight="1" x14ac:dyDescent="0.25">
      <c r="A80" s="4"/>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7"/>
    </row>
    <row r="81" spans="1:39" s="1" customFormat="1" ht="20.100000000000001" customHeight="1" x14ac:dyDescent="0.25">
      <c r="A81" s="4"/>
      <c r="B81" s="21"/>
      <c r="C81" s="25"/>
      <c r="D81" s="15" t="s">
        <v>187</v>
      </c>
      <c r="E81" s="21"/>
      <c r="F81" s="21"/>
      <c r="G81" s="21"/>
      <c r="H81" s="21"/>
      <c r="K81" s="5"/>
      <c r="L81" s="25"/>
      <c r="M81" s="15" t="s">
        <v>188</v>
      </c>
      <c r="N81" s="5"/>
      <c r="Q81" s="5"/>
      <c r="R81" s="25"/>
      <c r="S81" s="15" t="s">
        <v>189</v>
      </c>
      <c r="T81" s="5"/>
      <c r="U81" s="5"/>
      <c r="V81" s="5"/>
      <c r="Y81" s="25"/>
      <c r="Z81" s="15" t="s">
        <v>190</v>
      </c>
      <c r="AA81" s="5"/>
      <c r="AB81" s="5"/>
      <c r="AG81" s="5"/>
      <c r="AH81" s="5"/>
      <c r="AI81" s="5"/>
      <c r="AJ81" s="5"/>
      <c r="AK81" s="5"/>
      <c r="AL81" s="5"/>
      <c r="AM81" s="7"/>
    </row>
    <row r="82" spans="1:39" s="1" customFormat="1" ht="20.100000000000001" customHeight="1" x14ac:dyDescent="0.25">
      <c r="A82" s="4"/>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7"/>
    </row>
    <row r="83" spans="1:39" s="1" customFormat="1" ht="20.100000000000001" customHeight="1" x14ac:dyDescent="0.25">
      <c r="A83" s="4"/>
      <c r="B83" s="21"/>
      <c r="C83" s="25"/>
      <c r="D83" s="15" t="s">
        <v>192</v>
      </c>
      <c r="E83" s="21"/>
      <c r="F83" s="21"/>
      <c r="G83" s="21"/>
      <c r="H83" s="21"/>
      <c r="K83" s="5"/>
      <c r="L83" s="25"/>
      <c r="M83" s="15" t="s">
        <v>193</v>
      </c>
      <c r="Q83" s="5"/>
      <c r="R83" s="25"/>
      <c r="S83" s="15" t="s">
        <v>191</v>
      </c>
      <c r="T83" s="5"/>
      <c r="U83" s="5"/>
      <c r="V83" s="5"/>
      <c r="W83" s="5"/>
      <c r="X83" s="5"/>
      <c r="Z83" s="15"/>
      <c r="AA83" s="5"/>
      <c r="AC83" s="15"/>
      <c r="AD83" s="5"/>
      <c r="AE83" s="5"/>
      <c r="AF83" s="5"/>
      <c r="AG83" s="5"/>
      <c r="AH83" s="5"/>
      <c r="AI83" s="5"/>
      <c r="AJ83" s="5"/>
      <c r="AK83" s="5"/>
      <c r="AL83" s="5"/>
      <c r="AM83" s="7"/>
    </row>
    <row r="84" spans="1:39" s="1" customFormat="1" ht="20.100000000000001" customHeight="1" thickBot="1" x14ac:dyDescent="0.3">
      <c r="A84" s="27"/>
      <c r="B84" s="28"/>
      <c r="C84" s="28"/>
      <c r="D84" s="28"/>
      <c r="E84" s="28"/>
      <c r="F84" s="28"/>
      <c r="G84" s="28"/>
      <c r="H84" s="28"/>
      <c r="I84" s="28"/>
      <c r="J84" s="3"/>
      <c r="K84" s="18"/>
      <c r="L84" s="19"/>
      <c r="M84" s="3"/>
      <c r="N84" s="3"/>
      <c r="O84" s="3"/>
      <c r="P84" s="18"/>
      <c r="Q84" s="19"/>
      <c r="R84" s="3"/>
      <c r="S84" s="3"/>
      <c r="T84" s="3"/>
      <c r="U84" s="3"/>
      <c r="V84" s="18"/>
      <c r="W84" s="19"/>
      <c r="X84" s="3"/>
      <c r="Y84" s="3"/>
      <c r="Z84" s="3"/>
      <c r="AA84" s="3"/>
      <c r="AB84" s="18"/>
      <c r="AC84" s="19"/>
      <c r="AD84" s="3"/>
      <c r="AE84" s="3"/>
      <c r="AF84" s="3"/>
      <c r="AG84" s="3"/>
      <c r="AH84" s="3"/>
      <c r="AI84" s="3"/>
      <c r="AJ84" s="3"/>
      <c r="AK84" s="3"/>
      <c r="AL84" s="3"/>
      <c r="AM84" s="11"/>
    </row>
    <row r="85" spans="1:39" s="1" customFormat="1" ht="20.100000000000001" customHeight="1" x14ac:dyDescent="0.25">
      <c r="A85" s="196" t="s">
        <v>230</v>
      </c>
      <c r="B85" s="197"/>
      <c r="C85" s="197"/>
      <c r="D85" s="197"/>
      <c r="E85" s="197"/>
      <c r="F85" s="197"/>
      <c r="G85" s="197"/>
      <c r="H85" s="197"/>
      <c r="I85" s="197"/>
      <c r="J85" s="197"/>
      <c r="K85" s="197"/>
      <c r="L85" s="197"/>
      <c r="M85" s="197"/>
      <c r="N85" s="197"/>
      <c r="O85" s="197"/>
      <c r="P85" s="197"/>
      <c r="Q85" s="197"/>
      <c r="R85" s="197"/>
      <c r="S85" s="197"/>
      <c r="T85" s="197"/>
      <c r="U85" s="197"/>
      <c r="V85" s="197"/>
      <c r="W85" s="197"/>
      <c r="X85" s="197"/>
      <c r="Y85" s="197"/>
      <c r="Z85" s="197"/>
      <c r="AA85" s="197"/>
      <c r="AB85" s="197"/>
      <c r="AC85" s="197"/>
      <c r="AD85" s="197"/>
      <c r="AE85" s="197"/>
      <c r="AF85" s="197"/>
      <c r="AG85" s="197"/>
      <c r="AH85" s="197"/>
      <c r="AI85" s="197"/>
      <c r="AJ85" s="197"/>
      <c r="AK85" s="197"/>
      <c r="AL85" s="197"/>
      <c r="AM85" s="198"/>
    </row>
    <row r="86" spans="1:39" s="1" customFormat="1" ht="20.100000000000001" customHeight="1" x14ac:dyDescent="0.25">
      <c r="A86" s="4"/>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7"/>
    </row>
    <row r="87" spans="1:39" s="1" customFormat="1" ht="20.100000000000001" customHeight="1" x14ac:dyDescent="0.25">
      <c r="A87" s="4"/>
      <c r="B87" s="219" t="s">
        <v>194</v>
      </c>
      <c r="C87" s="219"/>
      <c r="D87" s="219"/>
      <c r="E87" s="219"/>
      <c r="F87" s="219"/>
      <c r="G87" s="219"/>
      <c r="H87" s="219"/>
      <c r="I87" s="219"/>
      <c r="J87" s="219"/>
      <c r="K87" s="219"/>
      <c r="L87" s="219"/>
      <c r="M87" s="219"/>
      <c r="N87" s="219"/>
      <c r="O87" s="219"/>
      <c r="P87" s="219"/>
      <c r="Q87" s="21"/>
      <c r="R87" s="21"/>
      <c r="S87" s="21"/>
      <c r="T87" s="219" t="s">
        <v>195</v>
      </c>
      <c r="U87" s="219"/>
      <c r="V87" s="219"/>
      <c r="W87" s="219"/>
      <c r="X87" s="219"/>
      <c r="Y87" s="219"/>
      <c r="Z87" s="219"/>
      <c r="AA87" s="219"/>
      <c r="AB87" s="219"/>
      <c r="AC87" s="219"/>
      <c r="AD87" s="219"/>
      <c r="AE87" s="219"/>
      <c r="AF87" s="219"/>
      <c r="AG87" s="219"/>
      <c r="AH87" s="219"/>
      <c r="AI87" s="21"/>
      <c r="AJ87" s="21"/>
      <c r="AK87" s="21"/>
      <c r="AL87" s="21"/>
      <c r="AM87" s="7"/>
    </row>
    <row r="88" spans="1:39" s="1" customFormat="1" ht="20.100000000000001" customHeight="1" x14ac:dyDescent="0.25">
      <c r="A88" s="4"/>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7"/>
    </row>
    <row r="89" spans="1:39" s="1" customFormat="1" ht="20.100000000000001" customHeight="1" x14ac:dyDescent="0.25">
      <c r="A89" s="4"/>
      <c r="B89" s="219" t="s">
        <v>196</v>
      </c>
      <c r="C89" s="219"/>
      <c r="D89" s="219"/>
      <c r="E89" s="219"/>
      <c r="F89" s="219"/>
      <c r="G89" s="219"/>
      <c r="H89" s="219"/>
      <c r="I89" s="219"/>
      <c r="J89" s="219"/>
      <c r="K89" s="5"/>
      <c r="L89" s="199"/>
      <c r="M89" s="199"/>
      <c r="N89" s="199"/>
      <c r="O89" s="199"/>
      <c r="P89" s="199"/>
      <c r="R89" s="15"/>
      <c r="S89" s="5"/>
      <c r="T89" s="219" t="s">
        <v>196</v>
      </c>
      <c r="U89" s="219"/>
      <c r="V89" s="219"/>
      <c r="W89" s="219"/>
      <c r="X89" s="219"/>
      <c r="Y89" s="219"/>
      <c r="Z89" s="219"/>
      <c r="AA89" s="219"/>
      <c r="AB89" s="219"/>
      <c r="AC89" s="5"/>
      <c r="AD89" s="199"/>
      <c r="AE89" s="199"/>
      <c r="AF89" s="199"/>
      <c r="AG89" s="199"/>
      <c r="AH89" s="199"/>
      <c r="AI89" s="5"/>
      <c r="AJ89" s="5"/>
      <c r="AK89" s="5"/>
      <c r="AL89" s="5"/>
      <c r="AM89" s="7"/>
    </row>
    <row r="90" spans="1:39" s="1" customFormat="1" ht="20.100000000000001" customHeight="1" x14ac:dyDescent="0.25">
      <c r="A90" s="4"/>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7"/>
    </row>
    <row r="91" spans="1:39" s="1" customFormat="1" ht="20.100000000000001" customHeight="1" x14ac:dyDescent="0.25">
      <c r="A91" s="4"/>
      <c r="B91" s="219" t="s">
        <v>197</v>
      </c>
      <c r="C91" s="219"/>
      <c r="D91" s="219"/>
      <c r="E91" s="219"/>
      <c r="F91" s="219"/>
      <c r="G91" s="219"/>
      <c r="H91" s="219"/>
      <c r="I91" s="219"/>
      <c r="J91" s="219"/>
      <c r="K91" s="5"/>
      <c r="L91" s="199"/>
      <c r="M91" s="199"/>
      <c r="N91" s="199"/>
      <c r="O91" s="199"/>
      <c r="P91" s="199"/>
      <c r="R91" s="15"/>
      <c r="S91" s="5"/>
      <c r="T91" s="219" t="s">
        <v>231</v>
      </c>
      <c r="U91" s="219"/>
      <c r="V91" s="219"/>
      <c r="W91" s="219"/>
      <c r="X91" s="219"/>
      <c r="Y91" s="219"/>
      <c r="Z91" s="219"/>
      <c r="AA91" s="219"/>
      <c r="AB91" s="219"/>
      <c r="AC91" s="21"/>
      <c r="AD91" s="219"/>
      <c r="AE91" s="219"/>
      <c r="AF91" s="219"/>
      <c r="AG91" s="219"/>
      <c r="AH91" s="219"/>
      <c r="AI91" s="5"/>
      <c r="AJ91" s="5"/>
      <c r="AK91" s="5"/>
      <c r="AL91" s="5"/>
      <c r="AM91" s="7"/>
    </row>
    <row r="92" spans="1:39" s="1" customFormat="1" ht="20.100000000000001" customHeight="1" x14ac:dyDescent="0.25">
      <c r="A92" s="4"/>
      <c r="B92" s="5"/>
      <c r="C92" s="5"/>
      <c r="D92" s="5"/>
      <c r="E92" s="5"/>
      <c r="F92" s="5"/>
      <c r="G92" s="5"/>
      <c r="H92" s="5"/>
      <c r="I92" s="5"/>
      <c r="J92" s="5"/>
      <c r="K92" s="5"/>
      <c r="L92" s="5"/>
      <c r="M92" s="5"/>
      <c r="N92" s="5"/>
      <c r="O92" s="5"/>
      <c r="P92" s="5"/>
      <c r="Q92" s="5"/>
      <c r="R92" s="5"/>
      <c r="S92" s="5"/>
      <c r="T92" s="219"/>
      <c r="U92" s="219"/>
      <c r="V92" s="219"/>
      <c r="W92" s="219"/>
      <c r="X92" s="219"/>
      <c r="Y92" s="219"/>
      <c r="Z92" s="219"/>
      <c r="AA92" s="219"/>
      <c r="AB92" s="219"/>
      <c r="AC92" s="5"/>
      <c r="AD92" s="219"/>
      <c r="AE92" s="219"/>
      <c r="AF92" s="219"/>
      <c r="AG92" s="219"/>
      <c r="AH92" s="219"/>
      <c r="AI92" s="5"/>
      <c r="AJ92" s="5"/>
      <c r="AK92" s="5"/>
      <c r="AL92" s="5"/>
      <c r="AM92" s="7"/>
    </row>
    <row r="93" spans="1:39" s="1" customFormat="1" ht="20.100000000000001" customHeight="1" x14ac:dyDescent="0.25">
      <c r="A93" s="4"/>
      <c r="B93" s="219" t="s">
        <v>198</v>
      </c>
      <c r="C93" s="219"/>
      <c r="D93" s="219"/>
      <c r="E93" s="219"/>
      <c r="F93" s="219"/>
      <c r="G93" s="219"/>
      <c r="H93" s="219"/>
      <c r="I93" s="219"/>
      <c r="J93" s="219"/>
      <c r="K93" s="5"/>
      <c r="L93" s="199"/>
      <c r="M93" s="199"/>
      <c r="N93" s="199"/>
      <c r="O93" s="199"/>
      <c r="P93" s="199"/>
      <c r="R93" s="15"/>
      <c r="S93" s="5"/>
      <c r="T93" s="219"/>
      <c r="U93" s="219"/>
      <c r="V93" s="219"/>
      <c r="W93" s="219"/>
      <c r="X93" s="219"/>
      <c r="Y93" s="219"/>
      <c r="Z93" s="219"/>
      <c r="AA93" s="219"/>
      <c r="AB93" s="219"/>
      <c r="AC93" s="5"/>
      <c r="AD93" s="219"/>
      <c r="AE93" s="219"/>
      <c r="AF93" s="219"/>
      <c r="AG93" s="219"/>
      <c r="AH93" s="219"/>
      <c r="AI93" s="5"/>
      <c r="AJ93" s="5"/>
      <c r="AK93" s="5"/>
      <c r="AL93" s="5"/>
      <c r="AM93" s="7"/>
    </row>
    <row r="94" spans="1:39" s="1" customFormat="1" ht="20.100000000000001" customHeight="1" thickBot="1" x14ac:dyDescent="0.3">
      <c r="A94" s="9"/>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11"/>
    </row>
    <row r="95" spans="1:39" s="1" customFormat="1" ht="20.100000000000001" customHeight="1" x14ac:dyDescent="0.25">
      <c r="A95" s="196" t="s">
        <v>201</v>
      </c>
      <c r="B95" s="197"/>
      <c r="C95" s="197"/>
      <c r="D95" s="197"/>
      <c r="E95" s="197"/>
      <c r="F95" s="197"/>
      <c r="G95" s="197"/>
      <c r="H95" s="197"/>
      <c r="I95" s="197"/>
      <c r="J95" s="197"/>
      <c r="K95" s="197"/>
      <c r="L95" s="197"/>
      <c r="M95" s="197"/>
      <c r="N95" s="197"/>
      <c r="O95" s="197"/>
      <c r="P95" s="197"/>
      <c r="Q95" s="197"/>
      <c r="R95" s="197"/>
      <c r="S95" s="197"/>
      <c r="T95" s="197"/>
      <c r="U95" s="197"/>
      <c r="V95" s="197"/>
      <c r="W95" s="197"/>
      <c r="X95" s="197"/>
      <c r="Y95" s="197"/>
      <c r="Z95" s="197"/>
      <c r="AA95" s="197"/>
      <c r="AB95" s="197"/>
      <c r="AC95" s="197"/>
      <c r="AD95" s="197"/>
      <c r="AE95" s="197"/>
      <c r="AF95" s="197"/>
      <c r="AG95" s="197"/>
      <c r="AH95" s="197"/>
      <c r="AI95" s="197"/>
      <c r="AJ95" s="197"/>
      <c r="AK95" s="197"/>
      <c r="AL95" s="197"/>
      <c r="AM95" s="198"/>
    </row>
    <row r="96" spans="1:39" s="1" customFormat="1" ht="20.100000000000001" customHeight="1" x14ac:dyDescent="0.25">
      <c r="A96" s="4"/>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7"/>
    </row>
    <row r="97" spans="1:39" s="1" customFormat="1" ht="20.100000000000001" customHeight="1" x14ac:dyDescent="0.25">
      <c r="A97" s="4"/>
      <c r="B97" s="219" t="s">
        <v>202</v>
      </c>
      <c r="C97" s="219"/>
      <c r="D97" s="219"/>
      <c r="E97" s="219"/>
      <c r="F97" s="219"/>
      <c r="G97" s="219"/>
      <c r="H97" s="219"/>
      <c r="I97" s="219"/>
      <c r="J97" s="219"/>
      <c r="K97" s="5"/>
      <c r="L97" s="8"/>
      <c r="M97" s="15" t="s">
        <v>68</v>
      </c>
      <c r="Q97" s="8"/>
      <c r="R97" s="15" t="s">
        <v>7</v>
      </c>
      <c r="T97" s="29"/>
      <c r="U97" s="29"/>
      <c r="V97" s="29"/>
      <c r="W97" s="8"/>
      <c r="X97" s="5" t="s">
        <v>199</v>
      </c>
      <c r="Y97" s="29"/>
      <c r="Z97" s="29"/>
      <c r="AA97" s="29"/>
      <c r="AB97" s="5"/>
      <c r="AC97" s="8"/>
      <c r="AD97" s="5" t="s">
        <v>203</v>
      </c>
      <c r="AE97" s="5"/>
      <c r="AF97" s="5"/>
      <c r="AG97" s="5"/>
      <c r="AH97" s="5"/>
      <c r="AI97" s="5"/>
      <c r="AJ97" s="5"/>
      <c r="AK97" s="5"/>
      <c r="AL97" s="5"/>
      <c r="AM97" s="7"/>
    </row>
    <row r="98" spans="1:39" s="1" customFormat="1" ht="20.100000000000001" customHeight="1" x14ac:dyDescent="0.25">
      <c r="A98" s="4"/>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7"/>
    </row>
    <row r="99" spans="1:39" s="1" customFormat="1" ht="20.100000000000001" customHeight="1" x14ac:dyDescent="0.25">
      <c r="A99" s="4"/>
      <c r="B99" s="219" t="s">
        <v>204</v>
      </c>
      <c r="C99" s="219"/>
      <c r="D99" s="219"/>
      <c r="E99" s="219"/>
      <c r="F99" s="219"/>
      <c r="G99" s="219"/>
      <c r="H99" s="219"/>
      <c r="I99" s="219"/>
      <c r="J99" s="219"/>
      <c r="K99" s="5"/>
      <c r="P99" s="5"/>
      <c r="R99" s="15"/>
      <c r="S99" s="5"/>
      <c r="T99" s="5"/>
      <c r="U99" s="5"/>
      <c r="V99" s="5"/>
      <c r="X99" s="15"/>
      <c r="Y99" s="5"/>
      <c r="Z99" s="5"/>
      <c r="AA99" s="5"/>
      <c r="AB99" s="5"/>
      <c r="AC99" s="5"/>
      <c r="AE99" s="5"/>
      <c r="AF99" s="5"/>
      <c r="AG99" s="5"/>
      <c r="AH99" s="5"/>
      <c r="AI99" s="5"/>
      <c r="AJ99" s="5"/>
      <c r="AK99" s="5"/>
      <c r="AL99" s="5"/>
      <c r="AM99" s="7"/>
    </row>
    <row r="100" spans="1:39" s="1" customFormat="1" ht="20.100000000000001" customHeight="1" x14ac:dyDescent="0.25">
      <c r="A100" s="4"/>
      <c r="B100" s="219"/>
      <c r="C100" s="219"/>
      <c r="D100" s="219"/>
      <c r="E100" s="219"/>
      <c r="F100" s="219"/>
      <c r="G100" s="219"/>
      <c r="H100" s="219"/>
      <c r="I100" s="219"/>
      <c r="J100" s="219"/>
      <c r="K100" s="5"/>
      <c r="L100" s="8"/>
      <c r="M100" s="15" t="s">
        <v>9</v>
      </c>
      <c r="Q100" s="8"/>
      <c r="R100" s="15" t="s">
        <v>205</v>
      </c>
      <c r="T100" s="29"/>
      <c r="U100" s="29"/>
      <c r="V100" s="29"/>
      <c r="W100" s="8"/>
      <c r="X100" s="15" t="s">
        <v>11</v>
      </c>
      <c r="Y100" s="29"/>
      <c r="Z100" s="29"/>
      <c r="AA100" s="29"/>
      <c r="AB100" s="5"/>
      <c r="AC100" s="8"/>
      <c r="AD100" s="1" t="s">
        <v>200</v>
      </c>
      <c r="AE100" s="5"/>
      <c r="AF100" s="5"/>
      <c r="AG100" s="5"/>
      <c r="AH100" s="5"/>
      <c r="AI100" s="5"/>
      <c r="AJ100" s="5"/>
      <c r="AK100" s="5"/>
      <c r="AL100" s="5"/>
      <c r="AM100" s="7"/>
    </row>
    <row r="101" spans="1:39" s="1" customFormat="1" ht="20.100000000000001" customHeight="1" x14ac:dyDescent="0.25">
      <c r="A101" s="4"/>
      <c r="B101" s="219"/>
      <c r="C101" s="219"/>
      <c r="D101" s="219"/>
      <c r="E101" s="219"/>
      <c r="F101" s="219"/>
      <c r="G101" s="219"/>
      <c r="H101" s="219"/>
      <c r="I101" s="219"/>
      <c r="J101" s="219"/>
      <c r="K101" s="5"/>
      <c r="P101" s="5"/>
      <c r="R101" s="15"/>
      <c r="S101" s="5"/>
      <c r="T101" s="5"/>
      <c r="U101" s="5"/>
      <c r="V101" s="5"/>
      <c r="X101" s="15"/>
      <c r="Y101" s="5"/>
      <c r="Z101" s="5"/>
      <c r="AA101" s="5"/>
      <c r="AB101" s="5"/>
      <c r="AC101" s="5"/>
      <c r="AE101" s="5"/>
      <c r="AF101" s="5"/>
      <c r="AG101" s="5"/>
      <c r="AH101" s="5"/>
      <c r="AI101" s="5"/>
      <c r="AJ101" s="5"/>
      <c r="AK101" s="5"/>
      <c r="AL101" s="5"/>
      <c r="AM101" s="7"/>
    </row>
    <row r="102" spans="1:39" s="1" customFormat="1" ht="20.100000000000001" customHeight="1" x14ac:dyDescent="0.25">
      <c r="A102" s="4"/>
      <c r="B102" s="219"/>
      <c r="C102" s="219"/>
      <c r="D102" s="219"/>
      <c r="E102" s="219"/>
      <c r="F102" s="219"/>
      <c r="G102" s="219"/>
      <c r="H102" s="219"/>
      <c r="I102" s="219"/>
      <c r="J102" s="219"/>
      <c r="K102" s="5"/>
      <c r="L102" s="8"/>
      <c r="M102" s="15" t="s">
        <v>12</v>
      </c>
      <c r="Q102" s="8"/>
      <c r="R102" s="15" t="s">
        <v>10</v>
      </c>
      <c r="T102" s="29"/>
      <c r="U102" s="29"/>
      <c r="V102" s="29"/>
      <c r="W102" s="8"/>
      <c r="X102" s="15" t="s">
        <v>13</v>
      </c>
      <c r="Y102" s="29"/>
      <c r="Z102" s="29"/>
      <c r="AA102" s="29"/>
      <c r="AB102" s="5"/>
      <c r="AC102" s="8"/>
      <c r="AD102" s="1" t="s">
        <v>206</v>
      </c>
      <c r="AE102" s="5"/>
      <c r="AF102" s="5"/>
      <c r="AG102" s="5"/>
      <c r="AH102" s="5"/>
      <c r="AI102" s="5"/>
      <c r="AJ102" s="5"/>
      <c r="AK102" s="5"/>
      <c r="AL102" s="5"/>
      <c r="AM102" s="7"/>
    </row>
    <row r="103" spans="1:39" s="1" customFormat="1" ht="20.100000000000001" customHeight="1" x14ac:dyDescent="0.25">
      <c r="A103" s="4"/>
      <c r="B103" s="219"/>
      <c r="C103" s="219"/>
      <c r="D103" s="219"/>
      <c r="E103" s="219"/>
      <c r="F103" s="219"/>
      <c r="G103" s="219"/>
      <c r="H103" s="219"/>
      <c r="I103" s="219"/>
      <c r="J103" s="219"/>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7"/>
    </row>
    <row r="104" spans="1:39" s="1" customFormat="1" ht="20.100000000000001" customHeight="1" x14ac:dyDescent="0.25">
      <c r="A104" s="4"/>
      <c r="B104" s="219"/>
      <c r="C104" s="219"/>
      <c r="D104" s="219"/>
      <c r="E104" s="219"/>
      <c r="F104" s="219"/>
      <c r="G104" s="219"/>
      <c r="H104" s="219"/>
      <c r="I104" s="219"/>
      <c r="J104" s="219"/>
      <c r="K104" s="5"/>
      <c r="L104" s="8"/>
      <c r="M104" s="15" t="s">
        <v>207</v>
      </c>
      <c r="R104" s="15"/>
      <c r="T104" s="29"/>
      <c r="U104" s="29"/>
      <c r="V104" s="29"/>
      <c r="W104" s="8"/>
      <c r="X104" s="15" t="s">
        <v>208</v>
      </c>
      <c r="Y104" s="29"/>
      <c r="Z104" s="29"/>
      <c r="AA104" s="29"/>
      <c r="AB104" s="5"/>
      <c r="AC104" s="8"/>
      <c r="AD104" s="15" t="s">
        <v>209</v>
      </c>
      <c r="AE104" s="5"/>
      <c r="AF104" s="5"/>
      <c r="AG104" s="5"/>
      <c r="AH104" s="5"/>
      <c r="AI104" s="5"/>
      <c r="AJ104" s="5"/>
      <c r="AK104" s="5"/>
      <c r="AL104" s="5"/>
      <c r="AM104" s="7"/>
    </row>
    <row r="105" spans="1:39" s="1" customFormat="1" ht="20.100000000000001" customHeight="1" x14ac:dyDescent="0.25">
      <c r="A105" s="4"/>
      <c r="B105" s="219"/>
      <c r="C105" s="219"/>
      <c r="D105" s="219"/>
      <c r="E105" s="219"/>
      <c r="F105" s="219"/>
      <c r="G105" s="219"/>
      <c r="H105" s="219"/>
      <c r="I105" s="219"/>
      <c r="J105" s="219"/>
      <c r="K105" s="5"/>
      <c r="M105" s="15"/>
      <c r="R105" s="15"/>
      <c r="T105" s="29"/>
      <c r="U105" s="29"/>
      <c r="V105" s="29"/>
      <c r="X105" s="15"/>
      <c r="Y105" s="29"/>
      <c r="Z105" s="29"/>
      <c r="AA105" s="29"/>
      <c r="AB105" s="5"/>
      <c r="AD105" s="5"/>
      <c r="AE105" s="5"/>
      <c r="AF105" s="5"/>
      <c r="AG105" s="5"/>
      <c r="AH105" s="5"/>
      <c r="AI105" s="5"/>
      <c r="AJ105" s="5"/>
      <c r="AK105" s="5"/>
      <c r="AL105" s="5"/>
      <c r="AM105" s="7"/>
    </row>
    <row r="106" spans="1:39" s="1" customFormat="1" ht="20.100000000000001" customHeight="1" x14ac:dyDescent="0.25">
      <c r="A106" s="4"/>
      <c r="B106" s="219"/>
      <c r="C106" s="219"/>
      <c r="D106" s="219"/>
      <c r="E106" s="219"/>
      <c r="F106" s="219"/>
      <c r="G106" s="219"/>
      <c r="H106" s="219"/>
      <c r="I106" s="219"/>
      <c r="J106" s="219"/>
      <c r="K106" s="5"/>
      <c r="L106" s="8"/>
      <c r="M106" s="15" t="s">
        <v>210</v>
      </c>
      <c r="P106" s="5"/>
      <c r="R106" s="15"/>
      <c r="S106" s="5"/>
      <c r="T106" s="5"/>
      <c r="U106" s="5"/>
      <c r="V106" s="5"/>
      <c r="X106" s="15"/>
      <c r="Y106" s="5"/>
      <c r="Z106" s="5"/>
      <c r="AA106" s="5"/>
      <c r="AB106" s="5"/>
      <c r="AD106" s="15"/>
      <c r="AE106" s="5"/>
      <c r="AF106" s="5"/>
      <c r="AG106" s="5"/>
      <c r="AH106" s="5"/>
      <c r="AI106" s="5"/>
      <c r="AJ106" s="5"/>
      <c r="AK106" s="5"/>
      <c r="AL106" s="5"/>
      <c r="AM106" s="7"/>
    </row>
    <row r="107" spans="1:39" s="1" customFormat="1" ht="20.100000000000001" customHeight="1" thickBot="1" x14ac:dyDescent="0.3">
      <c r="A107" s="9"/>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11"/>
    </row>
    <row r="108" spans="1:39" s="1" customFormat="1" ht="20.100000000000001" customHeight="1" x14ac:dyDescent="0.25">
      <c r="A108" s="196" t="s">
        <v>232</v>
      </c>
      <c r="B108" s="197"/>
      <c r="C108" s="197"/>
      <c r="D108" s="197"/>
      <c r="E108" s="197"/>
      <c r="F108" s="197"/>
      <c r="G108" s="197"/>
      <c r="H108" s="197"/>
      <c r="I108" s="197"/>
      <c r="J108" s="197"/>
      <c r="K108" s="197"/>
      <c r="L108" s="197"/>
      <c r="M108" s="197"/>
      <c r="N108" s="197"/>
      <c r="O108" s="197"/>
      <c r="P108" s="197"/>
      <c r="Q108" s="197"/>
      <c r="R108" s="197"/>
      <c r="S108" s="197"/>
      <c r="T108" s="197"/>
      <c r="U108" s="197"/>
      <c r="V108" s="197"/>
      <c r="W108" s="197"/>
      <c r="X108" s="197"/>
      <c r="Y108" s="197"/>
      <c r="Z108" s="197"/>
      <c r="AA108" s="197"/>
      <c r="AB108" s="197"/>
      <c r="AC108" s="197"/>
      <c r="AD108" s="197"/>
      <c r="AE108" s="197"/>
      <c r="AF108" s="197"/>
      <c r="AG108" s="197"/>
      <c r="AH108" s="197"/>
      <c r="AI108" s="197"/>
      <c r="AJ108" s="197"/>
      <c r="AK108" s="197"/>
      <c r="AL108" s="197"/>
      <c r="AM108" s="198"/>
    </row>
    <row r="109" spans="1:39" s="1" customFormat="1" ht="20.100000000000001" customHeight="1" x14ac:dyDescent="0.25">
      <c r="A109" s="4"/>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7"/>
    </row>
    <row r="110" spans="1:39" s="1" customFormat="1" ht="20.100000000000001" customHeight="1" x14ac:dyDescent="0.25">
      <c r="A110" s="4"/>
      <c r="B110" s="5"/>
      <c r="C110" s="25"/>
      <c r="D110" s="30" t="s">
        <v>211</v>
      </c>
      <c r="E110" s="13"/>
      <c r="F110" s="13"/>
      <c r="G110" s="13"/>
      <c r="H110" s="25"/>
      <c r="I110" s="15" t="s">
        <v>212</v>
      </c>
      <c r="J110" s="13"/>
      <c r="K110" s="13"/>
      <c r="L110" s="13"/>
      <c r="M110" s="13"/>
      <c r="N110" s="13"/>
      <c r="O110" s="13"/>
      <c r="P110" s="31"/>
      <c r="Q110" s="15" t="s">
        <v>213</v>
      </c>
      <c r="R110" s="13"/>
      <c r="S110" s="15"/>
      <c r="T110" s="15"/>
      <c r="U110" s="15"/>
      <c r="V110" s="15"/>
      <c r="W110" s="5"/>
      <c r="X110" s="5"/>
      <c r="Y110" s="5"/>
      <c r="Z110" s="5"/>
      <c r="AA110" s="5"/>
      <c r="AB110" s="5"/>
      <c r="AC110" s="5"/>
      <c r="AD110" s="5"/>
      <c r="AE110" s="5"/>
      <c r="AF110" s="5"/>
      <c r="AG110" s="5"/>
      <c r="AH110" s="5"/>
      <c r="AI110" s="5"/>
      <c r="AJ110" s="5"/>
      <c r="AK110" s="5"/>
      <c r="AL110" s="5"/>
      <c r="AM110" s="7"/>
    </row>
    <row r="111" spans="1:39" s="1" customFormat="1" ht="20.100000000000001" customHeight="1" x14ac:dyDescent="0.25">
      <c r="A111" s="4"/>
      <c r="B111" s="5"/>
      <c r="C111" s="29"/>
      <c r="D111" s="13"/>
      <c r="E111" s="13"/>
      <c r="F111" s="13"/>
      <c r="G111" s="13"/>
      <c r="H111" s="13"/>
      <c r="I111" s="13"/>
      <c r="J111" s="13"/>
      <c r="K111" s="13"/>
      <c r="L111" s="13"/>
      <c r="M111" s="13"/>
      <c r="N111" s="13"/>
      <c r="O111" s="13"/>
      <c r="P111" s="13"/>
      <c r="Q111" s="13"/>
      <c r="R111" s="13"/>
      <c r="S111" s="15"/>
      <c r="T111" s="15"/>
      <c r="U111" s="15"/>
      <c r="V111" s="15"/>
      <c r="W111" s="5"/>
      <c r="X111" s="5"/>
      <c r="Y111" s="5"/>
      <c r="Z111" s="5"/>
      <c r="AA111" s="5"/>
      <c r="AB111" s="5"/>
      <c r="AC111" s="5"/>
      <c r="AD111" s="5"/>
      <c r="AE111" s="5"/>
      <c r="AF111" s="5"/>
      <c r="AG111" s="5"/>
      <c r="AH111" s="5"/>
      <c r="AI111" s="5"/>
      <c r="AJ111" s="5"/>
      <c r="AK111" s="5"/>
      <c r="AL111" s="5"/>
      <c r="AM111" s="7"/>
    </row>
    <row r="112" spans="1:39" s="1" customFormat="1" ht="20.100000000000001" customHeight="1" x14ac:dyDescent="0.25">
      <c r="A112" s="4"/>
      <c r="B112" s="5"/>
      <c r="C112" s="8"/>
      <c r="D112" s="15" t="s">
        <v>214</v>
      </c>
      <c r="I112" s="15"/>
      <c r="J112" s="15"/>
      <c r="K112" s="15"/>
      <c r="L112" s="15"/>
      <c r="P112" s="8"/>
      <c r="Q112" s="15" t="s">
        <v>2</v>
      </c>
      <c r="R112" s="15"/>
      <c r="T112" s="15"/>
      <c r="U112" s="5"/>
      <c r="V112" s="5"/>
      <c r="W112" s="5"/>
      <c r="X112" s="5"/>
      <c r="Y112" s="5"/>
      <c r="Z112" s="5"/>
      <c r="AA112" s="5"/>
      <c r="AB112" s="5"/>
      <c r="AC112" s="5"/>
      <c r="AD112" s="5"/>
      <c r="AE112" s="5"/>
      <c r="AF112" s="5"/>
      <c r="AG112" s="5"/>
      <c r="AH112" s="5"/>
      <c r="AI112" s="5"/>
      <c r="AJ112" s="5"/>
      <c r="AK112" s="5"/>
      <c r="AL112" s="5"/>
      <c r="AM112" s="7"/>
    </row>
    <row r="113" spans="1:39" s="1" customFormat="1" ht="20.100000000000001" customHeight="1" x14ac:dyDescent="0.25">
      <c r="A113" s="4"/>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7"/>
    </row>
    <row r="114" spans="1:39" s="1" customFormat="1" ht="20.100000000000001" customHeight="1" x14ac:dyDescent="0.25">
      <c r="A114" s="4"/>
      <c r="B114" s="5"/>
      <c r="C114" s="8"/>
      <c r="D114" s="15" t="s">
        <v>215</v>
      </c>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7"/>
    </row>
    <row r="115" spans="1:39" s="1" customFormat="1" ht="20.100000000000001" customHeight="1" thickBot="1" x14ac:dyDescent="0.3">
      <c r="A115" s="9"/>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11"/>
    </row>
    <row r="116" spans="1:39" s="1" customFormat="1" ht="20.100000000000001" customHeight="1" x14ac:dyDescent="0.25">
      <c r="A116" s="196" t="s">
        <v>364</v>
      </c>
      <c r="B116" s="197"/>
      <c r="C116" s="197"/>
      <c r="D116" s="197"/>
      <c r="E116" s="197"/>
      <c r="F116" s="197"/>
      <c r="G116" s="197"/>
      <c r="H116" s="197"/>
      <c r="I116" s="197"/>
      <c r="J116" s="197"/>
      <c r="K116" s="197"/>
      <c r="L116" s="197"/>
      <c r="M116" s="197"/>
      <c r="N116" s="197"/>
      <c r="O116" s="197"/>
      <c r="P116" s="197"/>
      <c r="Q116" s="197"/>
      <c r="R116" s="197"/>
      <c r="S116" s="197"/>
      <c r="T116" s="197"/>
      <c r="U116" s="197"/>
      <c r="V116" s="197"/>
      <c r="W116" s="197"/>
      <c r="X116" s="197"/>
      <c r="Y116" s="197"/>
      <c r="Z116" s="197"/>
      <c r="AA116" s="197"/>
      <c r="AB116" s="197"/>
      <c r="AC116" s="197"/>
      <c r="AD116" s="197"/>
      <c r="AE116" s="197"/>
      <c r="AF116" s="197"/>
      <c r="AG116" s="197"/>
      <c r="AH116" s="197"/>
      <c r="AI116" s="197"/>
      <c r="AJ116" s="197"/>
      <c r="AK116" s="197"/>
      <c r="AL116" s="197"/>
      <c r="AM116" s="198"/>
    </row>
    <row r="117" spans="1:39" s="1" customFormat="1" ht="20.100000000000001" customHeight="1" x14ac:dyDescent="0.25">
      <c r="A117" s="4"/>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7"/>
    </row>
    <row r="118" spans="1:39" s="1" customFormat="1" ht="20.100000000000001" customHeight="1" x14ac:dyDescent="0.25">
      <c r="A118" s="4"/>
      <c r="B118" s="5"/>
      <c r="C118" s="25"/>
      <c r="D118" s="30" t="s">
        <v>211</v>
      </c>
      <c r="E118" s="13"/>
      <c r="F118" s="13"/>
      <c r="G118" s="13"/>
      <c r="H118" s="25"/>
      <c r="I118" s="15" t="s">
        <v>216</v>
      </c>
      <c r="J118" s="13"/>
      <c r="K118" s="13"/>
      <c r="L118" s="13"/>
      <c r="M118" s="13"/>
      <c r="N118" s="13"/>
      <c r="O118" s="13"/>
      <c r="P118" s="31"/>
      <c r="Q118" s="15" t="s">
        <v>217</v>
      </c>
      <c r="R118" s="13"/>
      <c r="S118" s="15"/>
      <c r="T118" s="15"/>
      <c r="U118" s="15"/>
      <c r="V118" s="15"/>
      <c r="W118" s="8"/>
      <c r="X118" s="15" t="s">
        <v>218</v>
      </c>
      <c r="Y118" s="5"/>
      <c r="Z118" s="5"/>
      <c r="AA118" s="5"/>
      <c r="AB118" s="5"/>
      <c r="AC118" s="8"/>
      <c r="AD118" s="15" t="s">
        <v>219</v>
      </c>
      <c r="AE118" s="5"/>
      <c r="AF118" s="5"/>
      <c r="AG118" s="5"/>
      <c r="AH118" s="5"/>
      <c r="AI118" s="5"/>
      <c r="AJ118" s="5"/>
      <c r="AK118" s="5"/>
      <c r="AL118" s="5"/>
      <c r="AM118" s="7"/>
    </row>
    <row r="119" spans="1:39" s="1" customFormat="1" ht="20.100000000000001" customHeight="1" x14ac:dyDescent="0.25">
      <c r="A119" s="4"/>
      <c r="B119" s="5"/>
      <c r="C119" s="29"/>
      <c r="D119" s="13"/>
      <c r="E119" s="13"/>
      <c r="F119" s="13"/>
      <c r="G119" s="13"/>
      <c r="H119" s="13"/>
      <c r="I119" s="13"/>
      <c r="J119" s="13"/>
      <c r="K119" s="13"/>
      <c r="L119" s="13"/>
      <c r="M119" s="13"/>
      <c r="N119" s="13"/>
      <c r="O119" s="13"/>
      <c r="P119" s="13"/>
      <c r="Q119" s="13"/>
      <c r="R119" s="13"/>
      <c r="S119" s="15"/>
      <c r="T119" s="15"/>
      <c r="U119" s="15"/>
      <c r="V119" s="15"/>
      <c r="W119" s="5"/>
      <c r="X119" s="5"/>
      <c r="Y119" s="5"/>
      <c r="Z119" s="5"/>
      <c r="AA119" s="5"/>
      <c r="AB119" s="5"/>
      <c r="AC119" s="5"/>
      <c r="AD119" s="5"/>
      <c r="AE119" s="5"/>
      <c r="AF119" s="5"/>
      <c r="AG119" s="5"/>
      <c r="AH119" s="5"/>
      <c r="AI119" s="5"/>
      <c r="AJ119" s="5"/>
      <c r="AK119" s="5"/>
      <c r="AL119" s="5"/>
      <c r="AM119" s="7"/>
    </row>
    <row r="120" spans="1:39" s="1" customFormat="1" ht="20.100000000000001" customHeight="1" x14ac:dyDescent="0.25">
      <c r="A120" s="4"/>
      <c r="B120" s="5"/>
      <c r="C120" s="8"/>
      <c r="D120" s="15" t="s">
        <v>220</v>
      </c>
      <c r="H120" s="8"/>
      <c r="I120" s="15" t="s">
        <v>215</v>
      </c>
      <c r="J120" s="15"/>
      <c r="K120" s="15"/>
      <c r="L120" s="15"/>
      <c r="P120" s="5"/>
      <c r="Q120" s="5"/>
      <c r="R120" s="5"/>
      <c r="T120" s="15"/>
      <c r="U120" s="5"/>
      <c r="V120" s="5"/>
      <c r="W120" s="5"/>
      <c r="X120" s="5"/>
      <c r="Y120" s="5"/>
      <c r="Z120" s="5"/>
      <c r="AA120" s="5"/>
      <c r="AB120" s="5"/>
      <c r="AC120" s="5"/>
      <c r="AD120" s="5"/>
      <c r="AE120" s="5"/>
      <c r="AF120" s="5"/>
      <c r="AG120" s="5"/>
      <c r="AH120" s="5"/>
      <c r="AI120" s="5"/>
      <c r="AJ120" s="5"/>
      <c r="AK120" s="5"/>
      <c r="AL120" s="5"/>
      <c r="AM120" s="7"/>
    </row>
    <row r="121" spans="1:39" s="1" customFormat="1" ht="20.100000000000001" customHeight="1" thickBot="1" x14ac:dyDescent="0.3">
      <c r="A121" s="9"/>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11"/>
    </row>
    <row r="122" spans="1:39" s="1" customFormat="1" ht="20.100000000000001" customHeight="1" x14ac:dyDescent="0.25">
      <c r="A122" s="196" t="s">
        <v>244</v>
      </c>
      <c r="B122" s="197"/>
      <c r="C122" s="197"/>
      <c r="D122" s="197"/>
      <c r="E122" s="197"/>
      <c r="F122" s="197"/>
      <c r="G122" s="197"/>
      <c r="H122" s="197"/>
      <c r="I122" s="197"/>
      <c r="J122" s="197"/>
      <c r="K122" s="197"/>
      <c r="L122" s="197"/>
      <c r="M122" s="197"/>
      <c r="N122" s="197"/>
      <c r="O122" s="197"/>
      <c r="P122" s="197"/>
      <c r="Q122" s="197"/>
      <c r="R122" s="197"/>
      <c r="S122" s="197"/>
      <c r="T122" s="197"/>
      <c r="U122" s="197"/>
      <c r="V122" s="197"/>
      <c r="W122" s="197"/>
      <c r="X122" s="197"/>
      <c r="Y122" s="197"/>
      <c r="Z122" s="197"/>
      <c r="AA122" s="197"/>
      <c r="AB122" s="197"/>
      <c r="AC122" s="197"/>
      <c r="AD122" s="197"/>
      <c r="AE122" s="197"/>
      <c r="AF122" s="197"/>
      <c r="AG122" s="197"/>
      <c r="AH122" s="197"/>
      <c r="AI122" s="197"/>
      <c r="AJ122" s="197"/>
      <c r="AK122" s="197"/>
      <c r="AL122" s="197"/>
      <c r="AM122" s="198"/>
    </row>
    <row r="123" spans="1:39" s="1" customFormat="1" ht="20.100000000000001" customHeight="1" x14ac:dyDescent="0.25">
      <c r="A123" s="4"/>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7"/>
    </row>
    <row r="124" spans="1:39" s="1" customFormat="1" ht="20.100000000000001" customHeight="1" x14ac:dyDescent="0.25">
      <c r="A124" s="4"/>
      <c r="B124" s="120" t="s">
        <v>221</v>
      </c>
      <c r="C124" s="120"/>
      <c r="D124" s="120"/>
      <c r="E124" s="120"/>
      <c r="F124" s="120"/>
      <c r="G124" s="120"/>
      <c r="H124" s="120"/>
      <c r="I124" s="120"/>
      <c r="J124" s="120"/>
      <c r="K124" s="120"/>
      <c r="L124" s="120"/>
      <c r="M124" s="120"/>
      <c r="N124" s="120"/>
      <c r="O124" s="120"/>
      <c r="P124" s="120"/>
      <c r="Q124" s="120"/>
      <c r="R124" s="120"/>
      <c r="S124" s="120"/>
      <c r="T124" s="120"/>
      <c r="U124" s="120"/>
      <c r="V124" s="120"/>
      <c r="W124" s="120"/>
      <c r="X124" s="120"/>
      <c r="Y124" s="120"/>
      <c r="Z124" s="120"/>
      <c r="AA124" s="120"/>
      <c r="AB124" s="120"/>
      <c r="AC124" s="120"/>
      <c r="AD124" s="120"/>
      <c r="AE124" s="120"/>
      <c r="AF124" s="5"/>
      <c r="AG124" s="25"/>
      <c r="AH124" s="15" t="s">
        <v>222</v>
      </c>
      <c r="AI124" s="5"/>
      <c r="AJ124" s="25"/>
      <c r="AK124" s="15" t="s">
        <v>223</v>
      </c>
      <c r="AL124" s="5"/>
      <c r="AM124" s="7"/>
    </row>
    <row r="125" spans="1:39" s="1" customFormat="1" ht="20.100000000000001" customHeight="1" x14ac:dyDescent="0.25">
      <c r="A125" s="4"/>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5"/>
      <c r="AD125" s="5"/>
      <c r="AE125" s="5"/>
      <c r="AF125" s="5"/>
      <c r="AG125" s="29"/>
      <c r="AH125" s="29"/>
      <c r="AI125" s="5"/>
      <c r="AJ125" s="29"/>
      <c r="AK125" s="29"/>
      <c r="AL125" s="5"/>
      <c r="AM125" s="7"/>
    </row>
    <row r="126" spans="1:39" s="5" customFormat="1" ht="20.100000000000001" customHeight="1" x14ac:dyDescent="0.25">
      <c r="A126" s="4"/>
      <c r="B126" s="220" t="s">
        <v>224</v>
      </c>
      <c r="C126" s="220"/>
      <c r="D126" s="220"/>
      <c r="E126" s="220"/>
      <c r="F126" s="220"/>
      <c r="G126" s="220"/>
      <c r="H126" s="220"/>
      <c r="I126" s="220"/>
      <c r="J126" s="220"/>
      <c r="K126" s="220"/>
      <c r="L126" s="220"/>
      <c r="M126" s="220"/>
      <c r="N126" s="220"/>
      <c r="O126" s="220"/>
      <c r="P126" s="220"/>
      <c r="Q126" s="220"/>
      <c r="R126" s="220"/>
      <c r="S126" s="220"/>
      <c r="T126" s="220"/>
      <c r="U126" s="220"/>
      <c r="V126" s="220"/>
      <c r="W126" s="220"/>
      <c r="X126" s="220"/>
      <c r="Y126" s="220"/>
      <c r="Z126" s="220"/>
      <c r="AA126" s="220"/>
      <c r="AB126" s="220"/>
      <c r="AG126" s="25"/>
      <c r="AH126" s="15" t="s">
        <v>222</v>
      </c>
      <c r="AJ126" s="25"/>
      <c r="AK126" s="15" t="s">
        <v>223</v>
      </c>
      <c r="AM126" s="7"/>
    </row>
    <row r="127" spans="1:39" s="5" customFormat="1" ht="20.100000000000001" customHeight="1" x14ac:dyDescent="0.25">
      <c r="A127" s="4"/>
      <c r="B127" s="220"/>
      <c r="C127" s="220"/>
      <c r="D127" s="220"/>
      <c r="E127" s="220"/>
      <c r="F127" s="15"/>
      <c r="G127" s="29"/>
      <c r="H127" s="29"/>
      <c r="I127" s="29"/>
      <c r="J127" s="29"/>
      <c r="K127" s="29"/>
      <c r="L127" s="29"/>
      <c r="M127" s="29"/>
      <c r="N127" s="29"/>
      <c r="O127" s="29"/>
      <c r="P127" s="29"/>
      <c r="Q127" s="29"/>
      <c r="R127" s="29"/>
      <c r="S127" s="29"/>
      <c r="T127" s="29"/>
      <c r="U127" s="29"/>
      <c r="V127" s="29"/>
      <c r="W127" s="29"/>
      <c r="X127" s="29"/>
      <c r="Y127" s="29"/>
      <c r="Z127" s="29"/>
      <c r="AA127" s="29"/>
      <c r="AB127" s="29"/>
      <c r="AG127" s="29"/>
      <c r="AH127" s="29"/>
      <c r="AJ127" s="29"/>
      <c r="AK127" s="29"/>
      <c r="AM127" s="7"/>
    </row>
    <row r="128" spans="1:39" s="5" customFormat="1" ht="20.100000000000001" customHeight="1" x14ac:dyDescent="0.25">
      <c r="A128" s="4"/>
      <c r="B128" s="220" t="s">
        <v>225</v>
      </c>
      <c r="C128" s="220"/>
      <c r="D128" s="220"/>
      <c r="E128" s="220"/>
      <c r="F128" s="220"/>
      <c r="G128" s="220"/>
      <c r="H128" s="220"/>
      <c r="I128" s="220"/>
      <c r="J128" s="220"/>
      <c r="K128" s="220"/>
      <c r="L128" s="220"/>
      <c r="M128" s="220"/>
      <c r="N128" s="220"/>
      <c r="O128" s="220"/>
      <c r="P128" s="220"/>
      <c r="Q128" s="220"/>
      <c r="R128" s="220"/>
      <c r="S128" s="220"/>
      <c r="T128" s="220"/>
      <c r="U128" s="220"/>
      <c r="V128" s="220"/>
      <c r="W128" s="220"/>
      <c r="X128" s="220"/>
      <c r="Y128" s="220"/>
      <c r="Z128" s="220"/>
      <c r="AA128" s="220"/>
      <c r="AB128" s="220"/>
      <c r="AG128" s="25"/>
      <c r="AH128" s="15" t="s">
        <v>222</v>
      </c>
      <c r="AJ128" s="25"/>
      <c r="AK128" s="15" t="s">
        <v>223</v>
      </c>
      <c r="AM128" s="7"/>
    </row>
    <row r="129" spans="1:39" s="5" customFormat="1" ht="20.100000000000001" customHeight="1" x14ac:dyDescent="0.25">
      <c r="A129" s="4"/>
      <c r="B129" s="220"/>
      <c r="C129" s="220"/>
      <c r="D129" s="220"/>
      <c r="E129" s="220"/>
      <c r="F129" s="15"/>
      <c r="G129" s="29"/>
      <c r="H129" s="29"/>
      <c r="I129" s="29"/>
      <c r="J129" s="29"/>
      <c r="K129" s="29"/>
      <c r="L129" s="29"/>
      <c r="M129" s="29"/>
      <c r="N129" s="29"/>
      <c r="O129" s="29"/>
      <c r="P129" s="29"/>
      <c r="Q129" s="29"/>
      <c r="R129" s="29"/>
      <c r="S129" s="29"/>
      <c r="T129" s="29"/>
      <c r="U129" s="29"/>
      <c r="V129" s="29"/>
      <c r="W129" s="29"/>
      <c r="X129" s="29"/>
      <c r="Y129" s="29"/>
      <c r="Z129" s="29"/>
      <c r="AA129" s="29"/>
      <c r="AB129" s="29"/>
      <c r="AG129" s="29"/>
      <c r="AH129" s="29"/>
      <c r="AJ129" s="29"/>
      <c r="AK129" s="29"/>
      <c r="AM129" s="7"/>
    </row>
    <row r="130" spans="1:39" s="5" customFormat="1" ht="20.100000000000001" customHeight="1" x14ac:dyDescent="0.25">
      <c r="A130" s="4"/>
      <c r="B130" s="220" t="s">
        <v>226</v>
      </c>
      <c r="C130" s="220"/>
      <c r="D130" s="220"/>
      <c r="E130" s="220"/>
      <c r="F130" s="220"/>
      <c r="G130" s="220"/>
      <c r="H130" s="220"/>
      <c r="I130" s="220"/>
      <c r="J130" s="220"/>
      <c r="K130" s="220"/>
      <c r="L130" s="220"/>
      <c r="M130" s="220"/>
      <c r="N130" s="220"/>
      <c r="O130" s="220"/>
      <c r="P130" s="220"/>
      <c r="Q130" s="220"/>
      <c r="R130" s="220"/>
      <c r="S130" s="220"/>
      <c r="T130" s="220"/>
      <c r="U130" s="220"/>
      <c r="V130" s="220"/>
      <c r="W130" s="220"/>
      <c r="X130" s="220"/>
      <c r="Y130" s="220"/>
      <c r="Z130" s="220"/>
      <c r="AA130" s="220"/>
      <c r="AB130" s="220"/>
      <c r="AG130" s="25"/>
      <c r="AH130" s="15" t="s">
        <v>222</v>
      </c>
      <c r="AJ130" s="25"/>
      <c r="AK130" s="15" t="s">
        <v>223</v>
      </c>
      <c r="AM130" s="7"/>
    </row>
    <row r="131" spans="1:39" s="5" customFormat="1" ht="20.100000000000001" customHeight="1" x14ac:dyDescent="0.25">
      <c r="A131" s="4"/>
      <c r="B131" s="220"/>
      <c r="C131" s="220"/>
      <c r="D131" s="220"/>
      <c r="E131" s="220"/>
      <c r="F131" s="15"/>
      <c r="G131" s="29"/>
      <c r="H131" s="29"/>
      <c r="I131" s="29"/>
      <c r="J131" s="29"/>
      <c r="K131" s="29"/>
      <c r="L131" s="29"/>
      <c r="M131" s="29"/>
      <c r="N131" s="29"/>
      <c r="O131" s="29"/>
      <c r="P131" s="29"/>
      <c r="Q131" s="29"/>
      <c r="R131" s="29"/>
      <c r="S131" s="29"/>
      <c r="T131" s="29"/>
      <c r="U131" s="29"/>
      <c r="V131" s="29"/>
      <c r="W131" s="29"/>
      <c r="X131" s="29"/>
      <c r="Y131" s="29"/>
      <c r="Z131" s="29"/>
      <c r="AA131" s="29"/>
      <c r="AB131" s="29"/>
      <c r="AG131" s="29"/>
      <c r="AH131" s="29"/>
      <c r="AJ131" s="29"/>
      <c r="AK131" s="29"/>
      <c r="AM131" s="7"/>
    </row>
    <row r="132" spans="1:39" s="5" customFormat="1" ht="20.100000000000001" customHeight="1" x14ac:dyDescent="0.25">
      <c r="A132" s="4"/>
      <c r="B132" s="120" t="s">
        <v>227</v>
      </c>
      <c r="C132" s="120"/>
      <c r="D132" s="120"/>
      <c r="E132" s="120"/>
      <c r="F132" s="120"/>
      <c r="G132" s="120"/>
      <c r="H132" s="120"/>
      <c r="I132" s="120"/>
      <c r="J132" s="120"/>
      <c r="K132" s="120"/>
      <c r="L132" s="120"/>
      <c r="M132" s="120"/>
      <c r="N132" s="120"/>
      <c r="O132" s="120"/>
      <c r="P132" s="120"/>
      <c r="Q132" s="120"/>
      <c r="R132" s="120"/>
      <c r="S132" s="120"/>
      <c r="T132" s="120"/>
      <c r="U132" s="120"/>
      <c r="V132" s="120"/>
      <c r="W132" s="120"/>
      <c r="X132" s="120"/>
      <c r="Y132" s="120"/>
      <c r="Z132" s="120"/>
      <c r="AA132" s="120"/>
      <c r="AB132" s="120"/>
      <c r="AC132" s="120"/>
      <c r="AD132" s="120"/>
      <c r="AE132" s="120"/>
      <c r="AG132" s="25"/>
      <c r="AH132" s="15" t="s">
        <v>222</v>
      </c>
      <c r="AJ132" s="25"/>
      <c r="AK132" s="15" t="s">
        <v>223</v>
      </c>
      <c r="AM132" s="7"/>
    </row>
    <row r="133" spans="1:39" s="5" customFormat="1" ht="20.100000000000001" customHeight="1" x14ac:dyDescent="0.25">
      <c r="A133" s="4"/>
      <c r="AM133" s="7"/>
    </row>
    <row r="134" spans="1:39" s="5" customFormat="1" ht="20.100000000000001" customHeight="1" x14ac:dyDescent="0.25">
      <c r="A134" s="4"/>
      <c r="B134" s="120" t="s">
        <v>228</v>
      </c>
      <c r="C134" s="120"/>
      <c r="D134" s="120"/>
      <c r="E134" s="120"/>
      <c r="F134" s="120"/>
      <c r="G134" s="120"/>
      <c r="H134" s="120"/>
      <c r="I134" s="120"/>
      <c r="J134" s="120"/>
      <c r="K134" s="120"/>
      <c r="L134" s="120"/>
      <c r="M134" s="120"/>
      <c r="N134" s="120"/>
      <c r="O134" s="120"/>
      <c r="P134" s="120"/>
      <c r="Q134" s="120"/>
      <c r="R134" s="120"/>
      <c r="S134" s="120"/>
      <c r="T134" s="120"/>
      <c r="U134" s="120"/>
      <c r="V134" s="120"/>
      <c r="W134" s="120"/>
      <c r="X134" s="120"/>
      <c r="Y134" s="120"/>
      <c r="Z134" s="120"/>
      <c r="AA134" s="120"/>
      <c r="AB134" s="120"/>
      <c r="AC134" s="120"/>
      <c r="AD134" s="120"/>
      <c r="AE134" s="120"/>
      <c r="AM134" s="7"/>
    </row>
    <row r="135" spans="1:39" s="5" customFormat="1" ht="20.100000000000001" customHeight="1" x14ac:dyDescent="0.25">
      <c r="A135" s="4"/>
      <c r="B135" s="227"/>
      <c r="C135" s="227"/>
      <c r="D135" s="227"/>
      <c r="E135" s="227"/>
      <c r="F135" s="227"/>
      <c r="G135" s="227"/>
      <c r="H135" s="227"/>
      <c r="I135" s="227"/>
      <c r="J135" s="227"/>
      <c r="K135" s="227"/>
      <c r="L135" s="227"/>
      <c r="M135" s="227"/>
      <c r="N135" s="227"/>
      <c r="O135" s="227"/>
      <c r="P135" s="227"/>
      <c r="Q135" s="227"/>
      <c r="R135" s="227"/>
      <c r="S135" s="227"/>
      <c r="T135" s="227"/>
      <c r="U135" s="227"/>
      <c r="V135" s="227"/>
      <c r="W135" s="227"/>
      <c r="X135" s="227"/>
      <c r="Y135" s="227"/>
      <c r="Z135" s="227"/>
      <c r="AA135" s="227"/>
      <c r="AB135" s="227"/>
      <c r="AC135" s="227"/>
      <c r="AD135" s="227"/>
      <c r="AE135" s="227"/>
      <c r="AF135" s="227"/>
      <c r="AG135" s="227"/>
      <c r="AH135" s="227"/>
      <c r="AI135" s="227"/>
      <c r="AJ135" s="227"/>
      <c r="AK135" s="227"/>
      <c r="AM135" s="7"/>
    </row>
    <row r="136" spans="1:39" s="5" customFormat="1" ht="20.100000000000001" customHeight="1" x14ac:dyDescent="0.25">
      <c r="A136" s="4"/>
      <c r="B136" s="227"/>
      <c r="C136" s="227"/>
      <c r="D136" s="227"/>
      <c r="E136" s="227"/>
      <c r="F136" s="227"/>
      <c r="G136" s="227"/>
      <c r="H136" s="227"/>
      <c r="I136" s="227"/>
      <c r="J136" s="227"/>
      <c r="K136" s="227"/>
      <c r="L136" s="227"/>
      <c r="M136" s="227"/>
      <c r="N136" s="227"/>
      <c r="O136" s="227"/>
      <c r="P136" s="227"/>
      <c r="Q136" s="227"/>
      <c r="R136" s="227"/>
      <c r="S136" s="227"/>
      <c r="T136" s="227"/>
      <c r="U136" s="227"/>
      <c r="V136" s="227"/>
      <c r="W136" s="227"/>
      <c r="X136" s="227"/>
      <c r="Y136" s="227"/>
      <c r="Z136" s="227"/>
      <c r="AA136" s="227"/>
      <c r="AB136" s="227"/>
      <c r="AC136" s="227"/>
      <c r="AD136" s="227"/>
      <c r="AE136" s="227"/>
      <c r="AF136" s="227"/>
      <c r="AG136" s="227"/>
      <c r="AH136" s="227"/>
      <c r="AI136" s="227"/>
      <c r="AJ136" s="227"/>
      <c r="AK136" s="227"/>
      <c r="AM136" s="7"/>
    </row>
    <row r="137" spans="1:39" s="1" customFormat="1" ht="20.100000000000001" customHeight="1" x14ac:dyDescent="0.25">
      <c r="A137" s="4"/>
      <c r="B137" s="228"/>
      <c r="C137" s="228"/>
      <c r="D137" s="228"/>
      <c r="E137" s="228"/>
      <c r="F137" s="228"/>
      <c r="G137" s="228"/>
      <c r="H137" s="228"/>
      <c r="I137" s="228"/>
      <c r="J137" s="228"/>
      <c r="K137" s="228"/>
      <c r="L137" s="228"/>
      <c r="M137" s="228"/>
      <c r="N137" s="228"/>
      <c r="O137" s="228"/>
      <c r="P137" s="228"/>
      <c r="Q137" s="228"/>
      <c r="R137" s="228"/>
      <c r="S137" s="228"/>
      <c r="T137" s="228"/>
      <c r="U137" s="228"/>
      <c r="V137" s="228"/>
      <c r="W137" s="228"/>
      <c r="X137" s="228"/>
      <c r="Y137" s="228"/>
      <c r="Z137" s="228"/>
      <c r="AA137" s="228"/>
      <c r="AB137" s="228"/>
      <c r="AC137" s="228"/>
      <c r="AD137" s="228"/>
      <c r="AE137" s="228"/>
      <c r="AF137" s="228"/>
      <c r="AG137" s="228"/>
      <c r="AH137" s="228"/>
      <c r="AI137" s="228"/>
      <c r="AJ137" s="228"/>
      <c r="AK137" s="228"/>
      <c r="AL137" s="5"/>
      <c r="AM137" s="7"/>
    </row>
    <row r="138" spans="1:39" s="1" customFormat="1" ht="20.100000000000001" customHeight="1" thickBot="1" x14ac:dyDescent="0.3">
      <c r="A138" s="9"/>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11"/>
    </row>
    <row r="139" spans="1:39" s="1" customFormat="1" ht="20.100000000000001" customHeight="1" thickBot="1" x14ac:dyDescent="0.3">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row>
    <row r="140" spans="1:39" s="1" customFormat="1" ht="20.100000000000001" customHeight="1" thickBot="1" x14ac:dyDescent="0.3">
      <c r="A140" s="229" t="s">
        <v>229</v>
      </c>
      <c r="B140" s="230"/>
      <c r="C140" s="230"/>
      <c r="D140" s="230"/>
      <c r="E140" s="230"/>
      <c r="F140" s="230"/>
      <c r="G140" s="230"/>
      <c r="H140" s="230"/>
      <c r="I140" s="230"/>
      <c r="J140" s="230"/>
      <c r="K140" s="231"/>
      <c r="L140" s="232"/>
      <c r="M140" s="233"/>
      <c r="N140" s="233"/>
      <c r="O140" s="233"/>
      <c r="P140" s="233"/>
      <c r="Q140" s="233"/>
      <c r="R140" s="233"/>
      <c r="S140" s="233"/>
      <c r="T140" s="233"/>
      <c r="U140" s="233"/>
      <c r="V140" s="233"/>
      <c r="W140" s="233"/>
      <c r="X140" s="233"/>
      <c r="Y140" s="233"/>
      <c r="Z140" s="233"/>
      <c r="AA140" s="233"/>
      <c r="AB140" s="233"/>
      <c r="AC140" s="233"/>
      <c r="AD140" s="233"/>
      <c r="AE140" s="233"/>
      <c r="AF140" s="233"/>
      <c r="AG140" s="233"/>
      <c r="AH140" s="233"/>
      <c r="AI140" s="233"/>
      <c r="AJ140" s="233"/>
      <c r="AK140" s="233"/>
      <c r="AL140" s="233"/>
      <c r="AM140" s="234"/>
    </row>
    <row r="141" spans="1:39" s="1" customFormat="1" ht="20.100000000000001" customHeight="1" thickBot="1" x14ac:dyDescent="0.3">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row>
    <row r="142" spans="1:39" s="1" customFormat="1" ht="20.100000000000001" customHeight="1" thickBot="1" x14ac:dyDescent="0.3">
      <c r="A142" s="221" t="s">
        <v>245</v>
      </c>
      <c r="B142" s="222"/>
      <c r="C142" s="222"/>
      <c r="D142" s="222"/>
      <c r="E142" s="222"/>
      <c r="F142" s="222"/>
      <c r="G142" s="222"/>
      <c r="H142" s="222"/>
      <c r="I142" s="222"/>
      <c r="J142" s="222"/>
      <c r="K142" s="222"/>
      <c r="L142" s="222"/>
      <c r="M142" s="222"/>
      <c r="N142" s="222"/>
      <c r="O142" s="222"/>
      <c r="P142" s="222"/>
      <c r="Q142" s="223"/>
      <c r="R142" s="224" t="s">
        <v>246</v>
      </c>
      <c r="S142" s="225"/>
      <c r="T142" s="225"/>
      <c r="U142" s="225"/>
      <c r="V142" s="225"/>
      <c r="W142" s="225"/>
      <c r="X142" s="225"/>
      <c r="Y142" s="225"/>
      <c r="Z142" s="225"/>
      <c r="AA142" s="225"/>
      <c r="AB142" s="225"/>
      <c r="AC142" s="225"/>
      <c r="AD142" s="225"/>
      <c r="AE142" s="225"/>
      <c r="AF142" s="225"/>
      <c r="AG142" s="225"/>
      <c r="AH142" s="225"/>
      <c r="AI142" s="225"/>
      <c r="AJ142" s="225"/>
      <c r="AK142" s="225"/>
      <c r="AL142" s="225"/>
      <c r="AM142" s="226"/>
    </row>
    <row r="144" spans="1:39" ht="20.100000000000001" customHeight="1" x14ac:dyDescent="0.25">
      <c r="A144" s="227" t="s">
        <v>266</v>
      </c>
      <c r="B144" s="227"/>
      <c r="C144" s="227"/>
      <c r="D144" s="227"/>
      <c r="E144" s="227"/>
      <c r="F144" s="227"/>
      <c r="G144" s="227"/>
      <c r="H144" s="227"/>
      <c r="I144" s="227"/>
      <c r="J144" s="227"/>
      <c r="K144" s="227"/>
      <c r="L144" s="227"/>
      <c r="M144" s="227"/>
      <c r="N144" s="227"/>
      <c r="O144" s="227"/>
      <c r="P144" s="227"/>
      <c r="Q144" s="227"/>
      <c r="R144" s="227"/>
      <c r="S144" s="227"/>
      <c r="T144" s="227"/>
      <c r="U144" s="227"/>
      <c r="V144" s="227"/>
      <c r="W144" s="227"/>
      <c r="X144" s="227"/>
      <c r="Y144" s="227"/>
      <c r="Z144" s="227"/>
      <c r="AA144" s="227"/>
      <c r="AB144" s="227"/>
      <c r="AC144" s="227"/>
      <c r="AD144" s="227"/>
      <c r="AE144" s="227"/>
      <c r="AF144" s="227"/>
      <c r="AG144" s="227"/>
      <c r="AH144" s="227"/>
      <c r="AI144" s="227"/>
      <c r="AJ144" s="227"/>
      <c r="AK144" s="227"/>
      <c r="AL144" s="227"/>
      <c r="AM144" s="227"/>
    </row>
  </sheetData>
  <mergeCells count="89">
    <mergeCell ref="A142:Q142"/>
    <mergeCell ref="R142:AM142"/>
    <mergeCell ref="A144:AM144"/>
    <mergeCell ref="B131:E131"/>
    <mergeCell ref="B132:AE132"/>
    <mergeCell ref="B134:AE134"/>
    <mergeCell ref="B135:AK137"/>
    <mergeCell ref="A140:K140"/>
    <mergeCell ref="L140:AM140"/>
    <mergeCell ref="B130:AB130"/>
    <mergeCell ref="A95:AM95"/>
    <mergeCell ref="B97:J97"/>
    <mergeCell ref="B99:J106"/>
    <mergeCell ref="A108:AM108"/>
    <mergeCell ref="A116:AM116"/>
    <mergeCell ref="A122:AM122"/>
    <mergeCell ref="B124:AE124"/>
    <mergeCell ref="B126:AB126"/>
    <mergeCell ref="B127:E127"/>
    <mergeCell ref="B128:AB128"/>
    <mergeCell ref="B129:E129"/>
    <mergeCell ref="B91:J91"/>
    <mergeCell ref="L91:P91"/>
    <mergeCell ref="T91:AB93"/>
    <mergeCell ref="AD91:AH93"/>
    <mergeCell ref="B93:J93"/>
    <mergeCell ref="L93:P93"/>
    <mergeCell ref="A79:AM79"/>
    <mergeCell ref="A85:AM85"/>
    <mergeCell ref="B87:P87"/>
    <mergeCell ref="T87:AH87"/>
    <mergeCell ref="B89:J89"/>
    <mergeCell ref="L89:P89"/>
    <mergeCell ref="T89:AB89"/>
    <mergeCell ref="AD89:AH89"/>
    <mergeCell ref="B77:J77"/>
    <mergeCell ref="B53:J53"/>
    <mergeCell ref="B55:J55"/>
    <mergeCell ref="B57:J57"/>
    <mergeCell ref="B59:J59"/>
    <mergeCell ref="B61:J61"/>
    <mergeCell ref="B63:J63"/>
    <mergeCell ref="A65:AM65"/>
    <mergeCell ref="B67:J67"/>
    <mergeCell ref="B69:J69"/>
    <mergeCell ref="A73:AM73"/>
    <mergeCell ref="B75:J75"/>
    <mergeCell ref="B35:H35"/>
    <mergeCell ref="A37:AM37"/>
    <mergeCell ref="A43:AM43"/>
    <mergeCell ref="A49:AM49"/>
    <mergeCell ref="B51:J51"/>
    <mergeCell ref="K51:O51"/>
    <mergeCell ref="Q51:W51"/>
    <mergeCell ref="X51:AA51"/>
    <mergeCell ref="AC51:AI51"/>
    <mergeCell ref="AJ51:AL51"/>
    <mergeCell ref="B27:N27"/>
    <mergeCell ref="V27:AL27"/>
    <mergeCell ref="B15:K15"/>
    <mergeCell ref="L15:AL15"/>
    <mergeCell ref="B16:K16"/>
    <mergeCell ref="L16:AL16"/>
    <mergeCell ref="A19:AM19"/>
    <mergeCell ref="B21:K21"/>
    <mergeCell ref="L21:AL21"/>
    <mergeCell ref="B22:K22"/>
    <mergeCell ref="L22:AL22"/>
    <mergeCell ref="B23:K23"/>
    <mergeCell ref="L23:AL23"/>
    <mergeCell ref="A25:AM25"/>
    <mergeCell ref="B12:K12"/>
    <mergeCell ref="L12:AL12"/>
    <mergeCell ref="B13:K13"/>
    <mergeCell ref="L13:AL13"/>
    <mergeCell ref="B14:K14"/>
    <mergeCell ref="L14:AL14"/>
    <mergeCell ref="B9:K9"/>
    <mergeCell ref="L9:AL9"/>
    <mergeCell ref="B10:K10"/>
    <mergeCell ref="L10:AL10"/>
    <mergeCell ref="B11:K11"/>
    <mergeCell ref="L11:AL11"/>
    <mergeCell ref="A1:AM1"/>
    <mergeCell ref="A2:AM2"/>
    <mergeCell ref="A4:AM4"/>
    <mergeCell ref="A6:AM6"/>
    <mergeCell ref="B8:K8"/>
    <mergeCell ref="L8:AL8"/>
  </mergeCells>
  <conditionalFormatting sqref="G129:AB129 AG129:AH129 AJ129:AK129">
    <cfRule type="expression" dxfId="1" priority="2" stopIfTrue="1">
      <formula>IF(AND(#REF!="",#REF!="SIM"),TRUE,FALSE)</formula>
    </cfRule>
  </conditionalFormatting>
  <conditionalFormatting sqref="AG125:AH125 AJ125:AK125 G127:AB127 AG127:AH127 AJ127:AK127 G131:AB131 AG131:AH131 AJ131:AK131">
    <cfRule type="expression" dxfId="0" priority="1" stopIfTrue="1">
      <formula>IF(AND(#REF!="",#REF!="NÃO"),TRUE,FALSE)</formula>
    </cfRule>
  </conditionalFormatting>
  <dataValidations count="2">
    <dataValidation type="whole" operator="greaterThanOrEqual" allowBlank="1" showInputMessage="1" showErrorMessage="1" errorTitle="ATENÇÃO" error="Campo aceita somente números." sqref="AC97 AC100 AC102 AC105" xr:uid="{6D389C24-CFB3-4B90-823D-6D4EC77B931B}">
      <formula1>0</formula1>
    </dataValidation>
    <dataValidation type="date" allowBlank="1" showInputMessage="1" showErrorMessage="1" errorTitle="ATENÇÃO" error="Este campo aceita somente datas no formato DD/MM/AAAA._x000a_Não são aceitas datas futuras e datas anteriores a 180 dias." sqref="J38 J44" xr:uid="{62EB6042-67B9-438F-9AED-8C67FE0BE4EB}">
      <formula1>TODAY()-180</formula1>
      <formula2>TODAY()+7</formula2>
    </dataValidation>
  </dataValidation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1</vt:i4>
      </vt:variant>
    </vt:vector>
  </HeadingPairs>
  <TitlesOfParts>
    <vt:vector size="4" baseType="lpstr">
      <vt:lpstr>AMOSTRA</vt:lpstr>
      <vt:lpstr>TERRENO</vt:lpstr>
      <vt:lpstr>LAUDO DE VISTORIA</vt:lpstr>
      <vt:lpstr>TERRENO!Area_de_impressao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Samuel Jesus de Oliveira</dc:creator>
  <cp:lastModifiedBy>Samuel Jesus de Oliveira</cp:lastModifiedBy>
  <cp:lastPrinted>2024-06-30T21:48:58Z</cp:lastPrinted>
  <dcterms:created xsi:type="dcterms:W3CDTF">2024-06-02T16:00:59Z</dcterms:created>
  <dcterms:modified xsi:type="dcterms:W3CDTF">2025-03-01T00:30:34Z</dcterms:modified>
</cp:coreProperties>
</file>