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URBANAS/III/"/>
    </mc:Choice>
  </mc:AlternateContent>
  <xr:revisionPtr revIDLastSave="264" documentId="8_{DC24A26C-EF6E-4CFB-9ECD-8CEC9ED6F468}" xr6:coauthVersionLast="47" xr6:coauthVersionMax="47" xr10:uidLastSave="{0BAB2737-ACA2-431B-A978-FA1209A2E524}"/>
  <bookViews>
    <workbookView xWindow="-120" yWindow="-120" windowWidth="29040" windowHeight="15720" tabRatio="901" xr2:uid="{C3A22E73-4D52-4DA0-A647-BA53DE8F5818}"/>
  </bookViews>
  <sheets>
    <sheet name="TERRENO E BENFEITORIAS" sheetId="4" r:id="rId1"/>
    <sheet name="VANTAGEM DA COISA FEITA" sheetId="26" r:id="rId2"/>
    <sheet name="DEPRECIAÇÃO" sheetId="27" r:id="rId3"/>
    <sheet name="LAUDO DE VISTORIA" sheetId="24" r:id="rId4"/>
  </sheets>
  <definedNames>
    <definedName name="_xlnm._FilterDatabase" localSheetId="0" hidden="1">'TERRENO E BENFEITORIAS'!$D$17:$T$29</definedName>
    <definedName name="_xlnm.Print_Area" localSheetId="3">'LAUDO DE VISTORIA'!$A$1:$AM$144</definedName>
    <definedName name="_xlnm.Print_Area" localSheetId="0">'TERRENO E BENFEITORIAS'!$A$1:$T$401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85" i="4" l="1"/>
  <c r="Z242" i="4"/>
  <c r="Z202" i="4"/>
  <c r="K167" i="4" l="1"/>
  <c r="L167" i="4"/>
  <c r="M167" i="4"/>
  <c r="N167" i="4"/>
  <c r="O167" i="4"/>
  <c r="P167" i="4"/>
  <c r="Q167" i="4"/>
  <c r="K168" i="4"/>
  <c r="L168" i="4"/>
  <c r="M168" i="4"/>
  <c r="N168" i="4"/>
  <c r="O168" i="4"/>
  <c r="P168" i="4"/>
  <c r="Q168" i="4"/>
  <c r="K169" i="4"/>
  <c r="L169" i="4"/>
  <c r="M169" i="4"/>
  <c r="N169" i="4"/>
  <c r="O169" i="4"/>
  <c r="P169" i="4"/>
  <c r="Q169" i="4"/>
  <c r="K170" i="4"/>
  <c r="L170" i="4"/>
  <c r="M170" i="4"/>
  <c r="N170" i="4"/>
  <c r="O170" i="4"/>
  <c r="P170" i="4"/>
  <c r="Q170" i="4"/>
  <c r="K171" i="4"/>
  <c r="L171" i="4"/>
  <c r="M171" i="4"/>
  <c r="N171" i="4"/>
  <c r="O171" i="4"/>
  <c r="P171" i="4"/>
  <c r="Q171" i="4"/>
  <c r="K172" i="4"/>
  <c r="L172" i="4"/>
  <c r="M172" i="4"/>
  <c r="N172" i="4"/>
  <c r="O172" i="4"/>
  <c r="P172" i="4"/>
  <c r="Q172" i="4"/>
  <c r="K173" i="4"/>
  <c r="L173" i="4"/>
  <c r="M173" i="4"/>
  <c r="N173" i="4"/>
  <c r="O173" i="4"/>
  <c r="P173" i="4"/>
  <c r="Q173" i="4"/>
  <c r="K174" i="4"/>
  <c r="L174" i="4"/>
  <c r="M174" i="4"/>
  <c r="N174" i="4"/>
  <c r="O174" i="4"/>
  <c r="P174" i="4"/>
  <c r="Q174" i="4"/>
  <c r="K175" i="4"/>
  <c r="L175" i="4"/>
  <c r="M175" i="4"/>
  <c r="N175" i="4"/>
  <c r="O175" i="4"/>
  <c r="P175" i="4"/>
  <c r="Q175" i="4"/>
  <c r="K176" i="4"/>
  <c r="L176" i="4"/>
  <c r="M176" i="4"/>
  <c r="N176" i="4"/>
  <c r="O176" i="4"/>
  <c r="P176" i="4"/>
  <c r="Q176" i="4"/>
  <c r="K177" i="4"/>
  <c r="L177" i="4"/>
  <c r="M177" i="4"/>
  <c r="N177" i="4"/>
  <c r="O177" i="4"/>
  <c r="P177" i="4"/>
  <c r="Q177" i="4"/>
  <c r="Q166" i="4"/>
  <c r="P166" i="4"/>
  <c r="O166" i="4"/>
  <c r="N166" i="4"/>
  <c r="M166" i="4"/>
  <c r="L166" i="4"/>
  <c r="K166" i="4"/>
  <c r="Q159" i="4"/>
  <c r="P159" i="4"/>
  <c r="O159" i="4"/>
  <c r="N159" i="4"/>
  <c r="M159" i="4"/>
  <c r="L159" i="4"/>
  <c r="K159" i="4"/>
  <c r="O146" i="4"/>
  <c r="O147" i="4"/>
  <c r="O148" i="4"/>
  <c r="O149" i="4"/>
  <c r="O150" i="4"/>
  <c r="O151" i="4"/>
  <c r="O145" i="4"/>
  <c r="Z511" i="4"/>
  <c r="R176" i="4"/>
  <c r="I271" i="4"/>
  <c r="I272" i="4"/>
  <c r="I273" i="4"/>
  <c r="I274" i="4"/>
  <c r="I275" i="4"/>
  <c r="I276" i="4"/>
  <c r="I277" i="4"/>
  <c r="I278" i="4"/>
  <c r="I279" i="4"/>
  <c r="I280" i="4"/>
  <c r="I281" i="4"/>
  <c r="I235" i="4"/>
  <c r="I236" i="4"/>
  <c r="I237" i="4"/>
  <c r="I238" i="4"/>
  <c r="I239" i="4"/>
  <c r="I240" i="4"/>
  <c r="I241" i="4"/>
  <c r="I242" i="4"/>
  <c r="I243" i="4"/>
  <c r="I244" i="4"/>
  <c r="I245" i="4"/>
  <c r="I202" i="4"/>
  <c r="I203" i="4"/>
  <c r="I204" i="4"/>
  <c r="I205" i="4"/>
  <c r="I206" i="4"/>
  <c r="I207" i="4"/>
  <c r="I208" i="4"/>
  <c r="I209" i="4"/>
  <c r="I210" i="4"/>
  <c r="I211" i="4"/>
  <c r="I212" i="4"/>
  <c r="I270" i="4" l="1"/>
  <c r="I234" i="4"/>
  <c r="I201" i="4"/>
  <c r="G190" i="4" l="1"/>
  <c r="R175" i="4"/>
  <c r="G189" i="4" s="1"/>
  <c r="R174" i="4"/>
  <c r="G188" i="4" s="1"/>
  <c r="R173" i="4"/>
  <c r="G187" i="4" s="1"/>
  <c r="R172" i="4"/>
  <c r="G186" i="4" s="1"/>
  <c r="R171" i="4"/>
  <c r="G185" i="4" s="1"/>
  <c r="R170" i="4"/>
  <c r="G184" i="4" s="1"/>
  <c r="L63" i="4"/>
  <c r="L62" i="4"/>
  <c r="L61" i="4"/>
  <c r="L60" i="4"/>
  <c r="L59" i="4"/>
  <c r="L58" i="4"/>
  <c r="L57" i="4"/>
  <c r="P22" i="4"/>
  <c r="P23" i="4"/>
  <c r="P24" i="4"/>
  <c r="P25" i="4"/>
  <c r="P26" i="4"/>
  <c r="P27" i="4"/>
  <c r="P28" i="4"/>
  <c r="J22" i="4"/>
  <c r="J23" i="4"/>
  <c r="J24" i="4"/>
  <c r="J25" i="4"/>
  <c r="J26" i="4"/>
  <c r="J27" i="4"/>
  <c r="J28" i="4"/>
  <c r="R169" i="4"/>
  <c r="G183" i="4" s="1"/>
  <c r="R168" i="4"/>
  <c r="G182" i="4" s="1"/>
  <c r="L56" i="4"/>
  <c r="L55" i="4"/>
  <c r="P20" i="4"/>
  <c r="P21" i="4"/>
  <c r="J19" i="4"/>
  <c r="J20" i="4"/>
  <c r="J21" i="4"/>
  <c r="J29" i="4"/>
  <c r="Z512" i="4"/>
  <c r="N508" i="4"/>
  <c r="O446" i="4"/>
  <c r="R446" i="4" s="1"/>
  <c r="O447" i="4"/>
  <c r="R447" i="4" s="1"/>
  <c r="O448" i="4"/>
  <c r="R448" i="4" s="1"/>
  <c r="O449" i="4"/>
  <c r="R449" i="4" s="1"/>
  <c r="O450" i="4"/>
  <c r="R450" i="4" s="1"/>
  <c r="O451" i="4"/>
  <c r="R451" i="4" s="1"/>
  <c r="O452" i="4"/>
  <c r="R452" i="4" s="1"/>
  <c r="O453" i="4"/>
  <c r="R453" i="4" s="1"/>
  <c r="O454" i="4"/>
  <c r="R454" i="4" s="1"/>
  <c r="O455" i="4"/>
  <c r="R455" i="4" s="1"/>
  <c r="O456" i="4"/>
  <c r="R456" i="4" s="1"/>
  <c r="O457" i="4"/>
  <c r="R457" i="4" s="1"/>
  <c r="O458" i="4"/>
  <c r="R458" i="4" s="1"/>
  <c r="O459" i="4"/>
  <c r="R459" i="4" s="1"/>
  <c r="O460" i="4"/>
  <c r="R460" i="4" s="1"/>
  <c r="O461" i="4"/>
  <c r="R461" i="4" s="1"/>
  <c r="O462" i="4"/>
  <c r="R462" i="4" s="1"/>
  <c r="O463" i="4"/>
  <c r="R463" i="4" s="1"/>
  <c r="O464" i="4"/>
  <c r="R464" i="4" s="1"/>
  <c r="O465" i="4"/>
  <c r="R465" i="4" s="1"/>
  <c r="O445" i="4"/>
  <c r="R445" i="4" s="1"/>
  <c r="G446" i="4"/>
  <c r="G447" i="4"/>
  <c r="G448" i="4"/>
  <c r="G449" i="4"/>
  <c r="G450" i="4"/>
  <c r="G451" i="4"/>
  <c r="G452" i="4"/>
  <c r="G453" i="4"/>
  <c r="G454" i="4"/>
  <c r="G455" i="4"/>
  <c r="G456" i="4"/>
  <c r="G457" i="4"/>
  <c r="G458" i="4"/>
  <c r="G459" i="4"/>
  <c r="G460" i="4"/>
  <c r="G461" i="4"/>
  <c r="G462" i="4"/>
  <c r="G463" i="4"/>
  <c r="G464" i="4"/>
  <c r="G465" i="4"/>
  <c r="G445" i="4"/>
  <c r="L408" i="4"/>
  <c r="O392" i="4"/>
  <c r="M389" i="4"/>
  <c r="O382" i="4" s="1"/>
  <c r="S387" i="4"/>
  <c r="S386" i="4"/>
  <c r="S385" i="4"/>
  <c r="S384" i="4"/>
  <c r="S383" i="4"/>
  <c r="S382" i="4"/>
  <c r="S381" i="4"/>
  <c r="S380" i="4"/>
  <c r="S379" i="4"/>
  <c r="S378" i="4"/>
  <c r="S377" i="4"/>
  <c r="S376" i="4"/>
  <c r="S375" i="4"/>
  <c r="S374" i="4"/>
  <c r="S373" i="4"/>
  <c r="R25" i="4" l="1"/>
  <c r="D60" i="4" s="1"/>
  <c r="R24" i="4"/>
  <c r="D59" i="4" s="1"/>
  <c r="R28" i="4"/>
  <c r="D63" i="4" s="1"/>
  <c r="R27" i="4"/>
  <c r="D62" i="4" s="1"/>
  <c r="R26" i="4"/>
  <c r="D61" i="4" s="1"/>
  <c r="R23" i="4"/>
  <c r="D58" i="4" s="1"/>
  <c r="R22" i="4"/>
  <c r="D57" i="4" s="1"/>
  <c r="R21" i="4"/>
  <c r="D56" i="4" s="1"/>
  <c r="R20" i="4"/>
  <c r="D55" i="4" s="1"/>
  <c r="Z513" i="4" a="1"/>
  <c r="Z513" i="4" s="1"/>
  <c r="O514" i="4" s="1"/>
  <c r="R469" i="4"/>
  <c r="O387" i="4"/>
  <c r="O386" i="4"/>
  <c r="O385" i="4"/>
  <c r="O384" i="4"/>
  <c r="O383" i="4"/>
  <c r="O373" i="4"/>
  <c r="O381" i="4"/>
  <c r="O380" i="4"/>
  <c r="O376" i="4"/>
  <c r="O379" i="4"/>
  <c r="O378" i="4"/>
  <c r="O377" i="4"/>
  <c r="O375" i="4"/>
  <c r="O374" i="4"/>
  <c r="S389" i="4"/>
  <c r="S471" i="4" l="1"/>
  <c r="N493" i="4"/>
  <c r="Q495" i="4" s="1"/>
  <c r="Q496" i="4" s="1"/>
  <c r="Q497" i="4" s="1"/>
  <c r="O391" i="4"/>
  <c r="O393" i="4" s="1"/>
  <c r="O499" i="4" s="1"/>
  <c r="O500" i="4" l="1"/>
  <c r="O502" i="4" s="1"/>
  <c r="O511" i="4" s="1"/>
  <c r="G400" i="4" l="1"/>
  <c r="A261" i="27"/>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J259" i="27"/>
  <c r="I259" i="27"/>
  <c r="H259" i="27"/>
  <c r="G259" i="27"/>
  <c r="F259" i="27"/>
  <c r="E259" i="27"/>
  <c r="D259" i="27"/>
  <c r="C259" i="27"/>
  <c r="B259" i="27"/>
  <c r="J193" i="27"/>
  <c r="J260" i="27" s="1"/>
  <c r="I193" i="27"/>
  <c r="I260" i="27" s="1"/>
  <c r="H193" i="27"/>
  <c r="H260" i="27" s="1"/>
  <c r="G193" i="27"/>
  <c r="G260" i="27" s="1"/>
  <c r="F193" i="27"/>
  <c r="F260" i="27" s="1"/>
  <c r="E193" i="27"/>
  <c r="E260" i="27" s="1"/>
  <c r="D193" i="27"/>
  <c r="D260" i="27" s="1"/>
  <c r="C193" i="27"/>
  <c r="C260" i="27" s="1"/>
  <c r="B193" i="27"/>
  <c r="B260" i="27" s="1"/>
  <c r="A193" i="27"/>
  <c r="J192" i="27"/>
  <c r="I192" i="27"/>
  <c r="H192" i="27"/>
  <c r="G192" i="27"/>
  <c r="F192" i="27"/>
  <c r="E192" i="27"/>
  <c r="D192" i="27"/>
  <c r="C192" i="27"/>
  <c r="B192" i="27"/>
  <c r="A192" i="27"/>
  <c r="J191" i="27"/>
  <c r="I191" i="27"/>
  <c r="H191" i="27"/>
  <c r="G191" i="27"/>
  <c r="F191" i="27"/>
  <c r="E191" i="27"/>
  <c r="D191" i="27"/>
  <c r="C191" i="27"/>
  <c r="B191" i="27"/>
  <c r="A191" i="27"/>
  <c r="J190" i="27"/>
  <c r="I190" i="27"/>
  <c r="H190" i="27"/>
  <c r="G190" i="27"/>
  <c r="F190" i="27"/>
  <c r="E190" i="27"/>
  <c r="D190" i="27"/>
  <c r="C190" i="27"/>
  <c r="A190" i="27"/>
  <c r="J189" i="27"/>
  <c r="I189" i="27"/>
  <c r="H189" i="27"/>
  <c r="G189" i="27"/>
  <c r="F189" i="27"/>
  <c r="E189" i="27"/>
  <c r="D189" i="27"/>
  <c r="C189" i="27"/>
  <c r="B189" i="27"/>
  <c r="A189" i="27"/>
  <c r="A123" i="27"/>
  <c r="B123" i="27" s="1"/>
  <c r="J123" i="27" s="1"/>
  <c r="J194" i="27" s="1"/>
  <c r="J261" i="27" s="1"/>
  <c r="Y70" i="26"/>
  <c r="W63" i="26"/>
  <c r="AJ41" i="26"/>
  <c r="Y41" i="26" s="1"/>
  <c r="Y65" i="26" s="1"/>
  <c r="AH41" i="26"/>
  <c r="X41" i="26" s="1"/>
  <c r="X63" i="26" s="1"/>
  <c r="AF41" i="26"/>
  <c r="AD41" i="26"/>
  <c r="V41" i="26" s="1"/>
  <c r="W41" i="26"/>
  <c r="U41" i="26"/>
  <c r="U42" i="26" s="1"/>
  <c r="U43" i="26" s="1"/>
  <c r="U44" i="26" s="1"/>
  <c r="U45" i="26" s="1"/>
  <c r="U46" i="26" s="1"/>
  <c r="U47" i="26" s="1"/>
  <c r="U48" i="26" s="1"/>
  <c r="U49" i="26" s="1"/>
  <c r="U50" i="26" s="1"/>
  <c r="U51" i="26" s="1"/>
  <c r="U52" i="26" s="1"/>
  <c r="U53" i="26" s="1"/>
  <c r="U54" i="26" s="1"/>
  <c r="U55" i="26" s="1"/>
  <c r="U56" i="26" s="1"/>
  <c r="U57" i="26" s="1"/>
  <c r="U58" i="26" s="1"/>
  <c r="U59" i="26" s="1"/>
  <c r="U60" i="26" s="1"/>
  <c r="U61" i="26" s="1"/>
  <c r="U62" i="26" s="1"/>
  <c r="U63" i="26" s="1"/>
  <c r="U64" i="26" s="1"/>
  <c r="U65" i="26" s="1"/>
  <c r="U66" i="26" s="1"/>
  <c r="U67" i="26" s="1"/>
  <c r="U68" i="26" s="1"/>
  <c r="U69" i="26" s="1"/>
  <c r="U70" i="26" s="1"/>
  <c r="U71" i="26" s="1"/>
  <c r="U72" i="26" s="1"/>
  <c r="U73" i="26" s="1"/>
  <c r="U74" i="26" s="1"/>
  <c r="U75" i="26" s="1"/>
  <c r="U76" i="26" s="1"/>
  <c r="U77" i="26" s="1"/>
  <c r="U78" i="26" s="1"/>
  <c r="U79" i="26" s="1"/>
  <c r="U80" i="26" s="1"/>
  <c r="U81" i="26" s="1"/>
  <c r="AJ40" i="26"/>
  <c r="Y40" i="26" s="1"/>
  <c r="AH40" i="26"/>
  <c r="AF40" i="26"/>
  <c r="W40" i="26" s="1"/>
  <c r="AD40" i="26"/>
  <c r="V40" i="26" s="1"/>
  <c r="X40" i="26"/>
  <c r="U40" i="26"/>
  <c r="AJ39" i="26"/>
  <c r="Y39" i="26" s="1"/>
  <c r="AH39" i="26"/>
  <c r="X39" i="26" s="1"/>
  <c r="AF39" i="26"/>
  <c r="W39" i="26" s="1"/>
  <c r="AD39" i="26"/>
  <c r="V39" i="26" s="1"/>
  <c r="U39" i="26"/>
  <c r="AJ38" i="26"/>
  <c r="Y38" i="26" s="1"/>
  <c r="AH38" i="26"/>
  <c r="AF38" i="26"/>
  <c r="AD38" i="26"/>
  <c r="V38" i="26" s="1"/>
  <c r="X38" i="26"/>
  <c r="W38" i="26"/>
  <c r="U38" i="26"/>
  <c r="AJ37" i="26"/>
  <c r="Y37" i="26" s="1"/>
  <c r="AH37" i="26"/>
  <c r="X37" i="26" s="1"/>
  <c r="AF37" i="26"/>
  <c r="AD37" i="26"/>
  <c r="V37" i="26" s="1"/>
  <c r="W37" i="26"/>
  <c r="U37" i="26"/>
  <c r="AJ36" i="26"/>
  <c r="Y36" i="26" s="1"/>
  <c r="AH36" i="26"/>
  <c r="X36" i="26" s="1"/>
  <c r="AF36" i="26"/>
  <c r="W36" i="26" s="1"/>
  <c r="AD36" i="26"/>
  <c r="V36" i="26" s="1"/>
  <c r="U36" i="26"/>
  <c r="AJ35" i="26"/>
  <c r="AH35" i="26"/>
  <c r="X35" i="26" s="1"/>
  <c r="AF35" i="26"/>
  <c r="W35" i="26" s="1"/>
  <c r="AD35" i="26"/>
  <c r="V35" i="26" s="1"/>
  <c r="Y35" i="26"/>
  <c r="U35" i="26"/>
  <c r="AJ34" i="26"/>
  <c r="Y34" i="26" s="1"/>
  <c r="AH34" i="26"/>
  <c r="X34" i="26" s="1"/>
  <c r="AF34" i="26"/>
  <c r="W34" i="26" s="1"/>
  <c r="AD34" i="26"/>
  <c r="V34" i="26" s="1"/>
  <c r="U34" i="26"/>
  <c r="AJ33" i="26"/>
  <c r="Y33" i="26" s="1"/>
  <c r="AH33" i="26"/>
  <c r="X33" i="26" s="1"/>
  <c r="AF33" i="26"/>
  <c r="W33" i="26" s="1"/>
  <c r="AD33" i="26"/>
  <c r="V33" i="26"/>
  <c r="U33" i="26"/>
  <c r="AJ32" i="26"/>
  <c r="Y32" i="26" s="1"/>
  <c r="AH32" i="26"/>
  <c r="X32" i="26" s="1"/>
  <c r="AF32" i="26"/>
  <c r="W32" i="26" s="1"/>
  <c r="AE32" i="26"/>
  <c r="AG32" i="26" s="1"/>
  <c r="AI32" i="26" s="1"/>
  <c r="AD32" i="26"/>
  <c r="V32" i="26"/>
  <c r="U32" i="26"/>
  <c r="AJ31" i="26"/>
  <c r="AH31" i="26"/>
  <c r="AF31" i="26"/>
  <c r="W31" i="26" s="1"/>
  <c r="AD31" i="26"/>
  <c r="V31" i="26" s="1"/>
  <c r="Y31" i="26"/>
  <c r="X31" i="26"/>
  <c r="U31" i="26"/>
  <c r="AJ30" i="26"/>
  <c r="Y30" i="26" s="1"/>
  <c r="AH30" i="26"/>
  <c r="X30" i="26" s="1"/>
  <c r="AF30" i="26"/>
  <c r="W30" i="26" s="1"/>
  <c r="AD30" i="26"/>
  <c r="V30" i="26" s="1"/>
  <c r="U30" i="26"/>
  <c r="AJ29" i="26"/>
  <c r="AH29" i="26"/>
  <c r="AF29" i="26"/>
  <c r="W29" i="26" s="1"/>
  <c r="AD29" i="26"/>
  <c r="V29" i="26" s="1"/>
  <c r="Y29" i="26"/>
  <c r="X29" i="26"/>
  <c r="U29" i="26"/>
  <c r="AJ28" i="26"/>
  <c r="Y28" i="26" s="1"/>
  <c r="AH28" i="26"/>
  <c r="X28" i="26" s="1"/>
  <c r="AF28" i="26"/>
  <c r="W28" i="26" s="1"/>
  <c r="AD28" i="26"/>
  <c r="V28" i="26" s="1"/>
  <c r="U28" i="26"/>
  <c r="AJ27" i="26"/>
  <c r="Y27" i="26" s="1"/>
  <c r="AH27" i="26"/>
  <c r="X27" i="26" s="1"/>
  <c r="AF27" i="26"/>
  <c r="W27" i="26" s="1"/>
  <c r="AD27" i="26"/>
  <c r="V27" i="26" s="1"/>
  <c r="U27" i="26"/>
  <c r="AJ26" i="26"/>
  <c r="Y26" i="26" s="1"/>
  <c r="AH26" i="26"/>
  <c r="X26" i="26" s="1"/>
  <c r="AF26" i="26"/>
  <c r="W26" i="26" s="1"/>
  <c r="AD26" i="26"/>
  <c r="V26" i="26"/>
  <c r="U26" i="26"/>
  <c r="AJ25" i="26"/>
  <c r="Y25" i="26" s="1"/>
  <c r="AH25" i="26"/>
  <c r="X25" i="26" s="1"/>
  <c r="AF25" i="26"/>
  <c r="W25" i="26" s="1"/>
  <c r="AD25" i="26"/>
  <c r="V25" i="26"/>
  <c r="U25" i="26"/>
  <c r="AJ24" i="26"/>
  <c r="Y24" i="26" s="1"/>
  <c r="AH24" i="26"/>
  <c r="X24" i="26" s="1"/>
  <c r="AF24" i="26"/>
  <c r="AD24" i="26"/>
  <c r="W24" i="26"/>
  <c r="V24" i="26"/>
  <c r="U24" i="26"/>
  <c r="AJ23" i="26"/>
  <c r="Y23" i="26" s="1"/>
  <c r="AH23" i="26"/>
  <c r="X23" i="26" s="1"/>
  <c r="AF23" i="26"/>
  <c r="W23" i="26" s="1"/>
  <c r="AD23" i="26"/>
  <c r="V23" i="26" s="1"/>
  <c r="U23" i="26"/>
  <c r="AJ22" i="26"/>
  <c r="AH22" i="26"/>
  <c r="AF22" i="26"/>
  <c r="W22" i="26" s="1"/>
  <c r="AD22" i="26"/>
  <c r="V22" i="26" s="1"/>
  <c r="Y22" i="26"/>
  <c r="X22" i="26"/>
  <c r="U22" i="26"/>
  <c r="AJ21" i="26"/>
  <c r="Y21" i="26" s="1"/>
  <c r="AH21" i="26"/>
  <c r="X21" i="26" s="1"/>
  <c r="AF21" i="26"/>
  <c r="AD21" i="26"/>
  <c r="W21" i="26"/>
  <c r="V21" i="26"/>
  <c r="U21" i="26"/>
  <c r="AJ20" i="26"/>
  <c r="Y20" i="26" s="1"/>
  <c r="AH20" i="26"/>
  <c r="X20" i="26" s="1"/>
  <c r="AF20" i="26"/>
  <c r="W20" i="26" s="1"/>
  <c r="AD20" i="26"/>
  <c r="V20" i="26"/>
  <c r="U20" i="26"/>
  <c r="AJ19" i="26"/>
  <c r="AH19" i="26"/>
  <c r="AF19" i="26"/>
  <c r="W19" i="26" s="1"/>
  <c r="AD19" i="26"/>
  <c r="V19" i="26" s="1"/>
  <c r="Y19" i="26"/>
  <c r="X19" i="26"/>
  <c r="U19" i="26"/>
  <c r="AJ18" i="26"/>
  <c r="Y18" i="26" s="1"/>
  <c r="AH18" i="26"/>
  <c r="X18" i="26" s="1"/>
  <c r="AF18" i="26"/>
  <c r="W18" i="26" s="1"/>
  <c r="AD18" i="26"/>
  <c r="V18" i="26" s="1"/>
  <c r="U18" i="26"/>
  <c r="AJ17" i="26"/>
  <c r="AH17" i="26"/>
  <c r="AF17" i="26"/>
  <c r="W17" i="26" s="1"/>
  <c r="AD17" i="26"/>
  <c r="V17" i="26" s="1"/>
  <c r="Y17" i="26"/>
  <c r="X17" i="26"/>
  <c r="U17" i="26"/>
  <c r="AJ16" i="26"/>
  <c r="Y16" i="26" s="1"/>
  <c r="AH16" i="26"/>
  <c r="X16" i="26" s="1"/>
  <c r="AF16" i="26"/>
  <c r="W16" i="26" s="1"/>
  <c r="AD16" i="26"/>
  <c r="V16" i="26"/>
  <c r="U16" i="26"/>
  <c r="AJ15" i="26"/>
  <c r="Y15" i="26" s="1"/>
  <c r="AH15" i="26"/>
  <c r="X15" i="26" s="1"/>
  <c r="AF15" i="26"/>
  <c r="W15" i="26" s="1"/>
  <c r="AD15" i="26"/>
  <c r="V15" i="26" s="1"/>
  <c r="U15" i="26"/>
  <c r="AJ14" i="26"/>
  <c r="AH14" i="26"/>
  <c r="X14" i="26" s="1"/>
  <c r="AF14" i="26"/>
  <c r="W14" i="26" s="1"/>
  <c r="AD14" i="26"/>
  <c r="Y14" i="26"/>
  <c r="V14" i="26"/>
  <c r="U14" i="26"/>
  <c r="AJ13" i="26"/>
  <c r="Y13" i="26" s="1"/>
  <c r="AH13" i="26"/>
  <c r="X13" i="26" s="1"/>
  <c r="AF13" i="26"/>
  <c r="W13" i="26" s="1"/>
  <c r="AD13" i="26"/>
  <c r="V13" i="26"/>
  <c r="U13" i="26"/>
  <c r="AJ12" i="26"/>
  <c r="Y12" i="26" s="1"/>
  <c r="AH12" i="26"/>
  <c r="X12" i="26" s="1"/>
  <c r="AF12" i="26"/>
  <c r="AD12" i="26"/>
  <c r="W12" i="26"/>
  <c r="V12" i="26"/>
  <c r="U12" i="26"/>
  <c r="O153" i="4"/>
  <c r="V52" i="26" l="1"/>
  <c r="V74" i="26"/>
  <c r="V59" i="26"/>
  <c r="V47" i="26"/>
  <c r="V73" i="26"/>
  <c r="V64" i="26"/>
  <c r="V58" i="26"/>
  <c r="V81" i="26"/>
  <c r="V62" i="26"/>
  <c r="V54" i="26"/>
  <c r="V57" i="26"/>
  <c r="V44" i="26"/>
  <c r="V71" i="26"/>
  <c r="V63" i="26"/>
  <c r="V56" i="26"/>
  <c r="V70" i="26"/>
  <c r="V61" i="26"/>
  <c r="V69" i="26"/>
  <c r="V76" i="26"/>
  <c r="V78" i="26"/>
  <c r="V68" i="26"/>
  <c r="V51" i="26"/>
  <c r="V50" i="26"/>
  <c r="Y59" i="26"/>
  <c r="Y66" i="26"/>
  <c r="Y77" i="26"/>
  <c r="X60" i="26"/>
  <c r="X49" i="26"/>
  <c r="X59" i="26"/>
  <c r="X66" i="26"/>
  <c r="X53" i="26"/>
  <c r="Y60" i="26"/>
  <c r="X80" i="26"/>
  <c r="Y53" i="26"/>
  <c r="Y80" i="26"/>
  <c r="Y42" i="26"/>
  <c r="Y63" i="26"/>
  <c r="X73" i="26"/>
  <c r="X56" i="26"/>
  <c r="X46" i="26"/>
  <c r="Y73" i="26"/>
  <c r="X70" i="26"/>
  <c r="Y56" i="26"/>
  <c r="C123" i="27"/>
  <c r="C194" i="27" s="1"/>
  <c r="C261" i="27" s="1"/>
  <c r="A194" i="27"/>
  <c r="I123" i="27"/>
  <c r="I194" i="27" s="1"/>
  <c r="I261" i="27" s="1"/>
  <c r="H123" i="27"/>
  <c r="H194" i="27" s="1"/>
  <c r="H261" i="27" s="1"/>
  <c r="G123" i="27"/>
  <c r="G194" i="27" s="1"/>
  <c r="G261" i="27" s="1"/>
  <c r="F123" i="27"/>
  <c r="F194" i="27" s="1"/>
  <c r="F261" i="27" s="1"/>
  <c r="E123" i="27"/>
  <c r="E194" i="27" s="1"/>
  <c r="E261" i="27" s="1"/>
  <c r="D123" i="27"/>
  <c r="D194" i="27" s="1"/>
  <c r="D261" i="27" s="1"/>
  <c r="B194" i="27"/>
  <c r="B261" i="27" s="1"/>
  <c r="A124" i="27"/>
  <c r="W70" i="26"/>
  <c r="W72" i="26"/>
  <c r="W60" i="26"/>
  <c r="W48" i="26"/>
  <c r="W79" i="26"/>
  <c r="W67" i="26"/>
  <c r="W55" i="26"/>
  <c r="W43" i="26"/>
  <c r="W74" i="26"/>
  <c r="W62" i="26"/>
  <c r="W50" i="26"/>
  <c r="W81" i="26"/>
  <c r="W77" i="26"/>
  <c r="W73" i="26"/>
  <c r="W69" i="26"/>
  <c r="W59" i="26"/>
  <c r="W56" i="26"/>
  <c r="W53" i="26"/>
  <c r="W76" i="26"/>
  <c r="W52" i="26"/>
  <c r="W49" i="26"/>
  <c r="W46" i="26"/>
  <c r="W80" i="26"/>
  <c r="W65" i="26"/>
  <c r="W45" i="26"/>
  <c r="W42" i="26"/>
  <c r="W68" i="26"/>
  <c r="W64" i="26"/>
  <c r="W61" i="26"/>
  <c r="W58" i="26"/>
  <c r="W75" i="26"/>
  <c r="W71" i="26"/>
  <c r="W57" i="26"/>
  <c r="W54" i="26"/>
  <c r="W51" i="26"/>
  <c r="W78" i="26"/>
  <c r="W47" i="26"/>
  <c r="W44" i="26"/>
  <c r="W66" i="26"/>
  <c r="X77" i="26"/>
  <c r="X65" i="26"/>
  <c r="X79" i="26"/>
  <c r="X67" i="26"/>
  <c r="X55" i="26"/>
  <c r="X43" i="26"/>
  <c r="X74" i="26"/>
  <c r="X62" i="26"/>
  <c r="X50" i="26"/>
  <c r="X81" i="26"/>
  <c r="X69" i="26"/>
  <c r="X57" i="26"/>
  <c r="X45" i="26"/>
  <c r="X76" i="26"/>
  <c r="X44" i="26"/>
  <c r="X47" i="26"/>
  <c r="Y72" i="26"/>
  <c r="Y74" i="26"/>
  <c r="Y62" i="26"/>
  <c r="Y50" i="26"/>
  <c r="Y81" i="26"/>
  <c r="Y69" i="26"/>
  <c r="Y57" i="26"/>
  <c r="Y45" i="26"/>
  <c r="Y76" i="26"/>
  <c r="Y64" i="26"/>
  <c r="Y52" i="26"/>
  <c r="Y44" i="26"/>
  <c r="Y47" i="26"/>
  <c r="Y67" i="26"/>
  <c r="X78" i="26"/>
  <c r="X48" i="26"/>
  <c r="X51" i="26"/>
  <c r="X54" i="26"/>
  <c r="Y78" i="26"/>
  <c r="V42" i="26"/>
  <c r="V45" i="26"/>
  <c r="Y48" i="26"/>
  <c r="Y51" i="26"/>
  <c r="Y54" i="26"/>
  <c r="X71" i="26"/>
  <c r="X75" i="26"/>
  <c r="Y79" i="26"/>
  <c r="X58" i="26"/>
  <c r="X61" i="26"/>
  <c r="X64" i="26"/>
  <c r="X68" i="26"/>
  <c r="Y71" i="26"/>
  <c r="Y75" i="26"/>
  <c r="V80" i="26"/>
  <c r="X42" i="26"/>
  <c r="V46" i="26"/>
  <c r="V49" i="26"/>
  <c r="Y55" i="26"/>
  <c r="Y58" i="26"/>
  <c r="Y61" i="26"/>
  <c r="Y68" i="26"/>
  <c r="X72" i="26"/>
  <c r="X52" i="26"/>
  <c r="V75" i="26"/>
  <c r="V77" i="26"/>
  <c r="V65" i="26"/>
  <c r="V53" i="26"/>
  <c r="V72" i="26"/>
  <c r="V60" i="26"/>
  <c r="V48" i="26"/>
  <c r="V79" i="26"/>
  <c r="V67" i="26"/>
  <c r="V55" i="26"/>
  <c r="V43" i="26"/>
  <c r="Y43" i="26"/>
  <c r="Y46" i="26"/>
  <c r="Y49" i="26"/>
  <c r="V66" i="26"/>
  <c r="A125" i="27" l="1"/>
  <c r="B124" i="27"/>
  <c r="A195" i="27"/>
  <c r="J124" i="27" l="1"/>
  <c r="J195" i="27" s="1"/>
  <c r="J262" i="27" s="1"/>
  <c r="I124" i="27"/>
  <c r="I195" i="27" s="1"/>
  <c r="I262" i="27" s="1"/>
  <c r="H124" i="27"/>
  <c r="H195" i="27" s="1"/>
  <c r="H262" i="27" s="1"/>
  <c r="G124" i="27"/>
  <c r="G195" i="27" s="1"/>
  <c r="G262" i="27" s="1"/>
  <c r="B195" i="27"/>
  <c r="B262" i="27" s="1"/>
  <c r="F124" i="27"/>
  <c r="F195" i="27" s="1"/>
  <c r="F262" i="27" s="1"/>
  <c r="D124" i="27"/>
  <c r="D195" i="27" s="1"/>
  <c r="D262" i="27" s="1"/>
  <c r="C124" i="27"/>
  <c r="C195" i="27" s="1"/>
  <c r="C262" i="27" s="1"/>
  <c r="E124" i="27"/>
  <c r="E195" i="27" s="1"/>
  <c r="E262" i="27" s="1"/>
  <c r="A196" i="27"/>
  <c r="A126" i="27"/>
  <c r="B125" i="27"/>
  <c r="B196" i="27" l="1"/>
  <c r="B263" i="27" s="1"/>
  <c r="J125" i="27"/>
  <c r="J196" i="27" s="1"/>
  <c r="J263" i="27" s="1"/>
  <c r="I125" i="27"/>
  <c r="I196" i="27" s="1"/>
  <c r="I263" i="27" s="1"/>
  <c r="H125" i="27"/>
  <c r="H196" i="27" s="1"/>
  <c r="H263" i="27" s="1"/>
  <c r="F125" i="27"/>
  <c r="F196" i="27" s="1"/>
  <c r="F263" i="27" s="1"/>
  <c r="D125" i="27"/>
  <c r="D196" i="27" s="1"/>
  <c r="D263" i="27" s="1"/>
  <c r="C125" i="27"/>
  <c r="C196" i="27" s="1"/>
  <c r="C263" i="27" s="1"/>
  <c r="G125" i="27"/>
  <c r="G196" i="27" s="1"/>
  <c r="G263" i="27" s="1"/>
  <c r="E125" i="27"/>
  <c r="E196" i="27" s="1"/>
  <c r="E263" i="27" s="1"/>
  <c r="A197" i="27"/>
  <c r="B126" i="27"/>
  <c r="A127" i="27"/>
  <c r="B127" i="27" l="1"/>
  <c r="A198" i="27"/>
  <c r="A128" i="27"/>
  <c r="B197" i="27"/>
  <c r="B264" i="27" s="1"/>
  <c r="C126" i="27"/>
  <c r="C197" i="27" s="1"/>
  <c r="C264" i="27" s="1"/>
  <c r="J126" i="27"/>
  <c r="J197" i="27" s="1"/>
  <c r="J264" i="27" s="1"/>
  <c r="H126" i="27"/>
  <c r="H197" i="27" s="1"/>
  <c r="H264" i="27" s="1"/>
  <c r="F126" i="27"/>
  <c r="F197" i="27" s="1"/>
  <c r="F264" i="27" s="1"/>
  <c r="D126" i="27"/>
  <c r="D197" i="27" s="1"/>
  <c r="D264" i="27" s="1"/>
  <c r="I126" i="27"/>
  <c r="I197" i="27" s="1"/>
  <c r="I264" i="27" s="1"/>
  <c r="E126" i="27"/>
  <c r="E197" i="27" s="1"/>
  <c r="E264" i="27" s="1"/>
  <c r="G126" i="27"/>
  <c r="G197" i="27" s="1"/>
  <c r="G264" i="27" s="1"/>
  <c r="A199" i="27" l="1"/>
  <c r="B128" i="27"/>
  <c r="A129" i="27"/>
  <c r="B198" i="27"/>
  <c r="B265" i="27" s="1"/>
  <c r="E127" i="27"/>
  <c r="E198" i="27" s="1"/>
  <c r="E265" i="27" s="1"/>
  <c r="D127" i="27"/>
  <c r="D198" i="27" s="1"/>
  <c r="D265" i="27" s="1"/>
  <c r="C127" i="27"/>
  <c r="C198" i="27" s="1"/>
  <c r="C265" i="27" s="1"/>
  <c r="J127" i="27"/>
  <c r="J198" i="27" s="1"/>
  <c r="J265" i="27" s="1"/>
  <c r="H127" i="27"/>
  <c r="H198" i="27" s="1"/>
  <c r="H265" i="27" s="1"/>
  <c r="I127" i="27"/>
  <c r="I198" i="27" s="1"/>
  <c r="I265" i="27" s="1"/>
  <c r="F127" i="27"/>
  <c r="F198" i="27" s="1"/>
  <c r="F265" i="27" s="1"/>
  <c r="G127" i="27"/>
  <c r="G198" i="27" s="1"/>
  <c r="G265" i="27" s="1"/>
  <c r="A200" i="27" l="1"/>
  <c r="B129" i="27"/>
  <c r="A130" i="27"/>
  <c r="G128" i="27"/>
  <c r="G199" i="27" s="1"/>
  <c r="G266" i="27" s="1"/>
  <c r="F128" i="27"/>
  <c r="F199" i="27" s="1"/>
  <c r="F266" i="27" s="1"/>
  <c r="E128" i="27"/>
  <c r="E199" i="27" s="1"/>
  <c r="E266" i="27" s="1"/>
  <c r="D128" i="27"/>
  <c r="D199" i="27" s="1"/>
  <c r="D266" i="27" s="1"/>
  <c r="B199" i="27"/>
  <c r="B266" i="27" s="1"/>
  <c r="C128" i="27"/>
  <c r="C199" i="27" s="1"/>
  <c r="C266" i="27" s="1"/>
  <c r="J128" i="27"/>
  <c r="J199" i="27" s="1"/>
  <c r="J266" i="27" s="1"/>
  <c r="I128" i="27"/>
  <c r="I199" i="27" s="1"/>
  <c r="I266" i="27" s="1"/>
  <c r="H128" i="27"/>
  <c r="H199" i="27" s="1"/>
  <c r="H266" i="27" s="1"/>
  <c r="A131" i="27" l="1"/>
  <c r="A201" i="27"/>
  <c r="B130" i="27"/>
  <c r="I129" i="27"/>
  <c r="I200" i="27" s="1"/>
  <c r="I267" i="27" s="1"/>
  <c r="H129" i="27"/>
  <c r="H200" i="27" s="1"/>
  <c r="H267" i="27" s="1"/>
  <c r="G129" i="27"/>
  <c r="G200" i="27" s="1"/>
  <c r="G267" i="27" s="1"/>
  <c r="F129" i="27"/>
  <c r="F200" i="27" s="1"/>
  <c r="F267" i="27" s="1"/>
  <c r="E129" i="27"/>
  <c r="E200" i="27" s="1"/>
  <c r="E267" i="27" s="1"/>
  <c r="D129" i="27"/>
  <c r="D200" i="27" s="1"/>
  <c r="D267" i="27" s="1"/>
  <c r="B200" i="27"/>
  <c r="B267" i="27" s="1"/>
  <c r="J129" i="27"/>
  <c r="J200" i="27" s="1"/>
  <c r="J267" i="27" s="1"/>
  <c r="C129" i="27"/>
  <c r="C200" i="27" s="1"/>
  <c r="C267" i="27" s="1"/>
  <c r="J130" i="27" l="1"/>
  <c r="J201" i="27" s="1"/>
  <c r="J268" i="27" s="1"/>
  <c r="I130" i="27"/>
  <c r="I201" i="27" s="1"/>
  <c r="I268" i="27" s="1"/>
  <c r="H130" i="27"/>
  <c r="H201" i="27" s="1"/>
  <c r="H268" i="27" s="1"/>
  <c r="G130" i="27"/>
  <c r="G201" i="27" s="1"/>
  <c r="G268" i="27" s="1"/>
  <c r="F130" i="27"/>
  <c r="F201" i="27" s="1"/>
  <c r="F268" i="27" s="1"/>
  <c r="D130" i="27"/>
  <c r="D201" i="27" s="1"/>
  <c r="D268" i="27" s="1"/>
  <c r="B201" i="27"/>
  <c r="B268" i="27" s="1"/>
  <c r="E130" i="27"/>
  <c r="E201" i="27" s="1"/>
  <c r="E268" i="27" s="1"/>
  <c r="C130" i="27"/>
  <c r="C201" i="27" s="1"/>
  <c r="C268" i="27" s="1"/>
  <c r="A202" i="27"/>
  <c r="A132" i="27"/>
  <c r="B131" i="27"/>
  <c r="B202" i="27" l="1"/>
  <c r="B269" i="27" s="1"/>
  <c r="J131" i="27"/>
  <c r="J202" i="27" s="1"/>
  <c r="J269" i="27" s="1"/>
  <c r="I131" i="27"/>
  <c r="I202" i="27" s="1"/>
  <c r="I269" i="27" s="1"/>
  <c r="H131" i="27"/>
  <c r="H202" i="27" s="1"/>
  <c r="H269" i="27" s="1"/>
  <c r="F131" i="27"/>
  <c r="F202" i="27" s="1"/>
  <c r="F269" i="27" s="1"/>
  <c r="D131" i="27"/>
  <c r="D202" i="27" s="1"/>
  <c r="D269" i="27" s="1"/>
  <c r="E131" i="27"/>
  <c r="E202" i="27" s="1"/>
  <c r="E269" i="27" s="1"/>
  <c r="C131" i="27"/>
  <c r="C202" i="27" s="1"/>
  <c r="C269" i="27" s="1"/>
  <c r="G131" i="27"/>
  <c r="G202" i="27" s="1"/>
  <c r="G269" i="27" s="1"/>
  <c r="A203" i="27"/>
  <c r="B132" i="27"/>
  <c r="A133" i="27"/>
  <c r="B133" i="27" l="1"/>
  <c r="A204" i="27"/>
  <c r="A134" i="27"/>
  <c r="B203" i="27"/>
  <c r="B270" i="27" s="1"/>
  <c r="C132" i="27"/>
  <c r="C203" i="27" s="1"/>
  <c r="C270" i="27" s="1"/>
  <c r="J132" i="27"/>
  <c r="J203" i="27" s="1"/>
  <c r="J270" i="27" s="1"/>
  <c r="H132" i="27"/>
  <c r="H203" i="27" s="1"/>
  <c r="H270" i="27" s="1"/>
  <c r="F132" i="27"/>
  <c r="F203" i="27" s="1"/>
  <c r="F270" i="27" s="1"/>
  <c r="E132" i="27"/>
  <c r="E203" i="27" s="1"/>
  <c r="E270" i="27" s="1"/>
  <c r="I132" i="27"/>
  <c r="I203" i="27" s="1"/>
  <c r="I270" i="27" s="1"/>
  <c r="G132" i="27"/>
  <c r="G203" i="27" s="1"/>
  <c r="G270" i="27" s="1"/>
  <c r="D132" i="27"/>
  <c r="D203" i="27" s="1"/>
  <c r="D270" i="27" s="1"/>
  <c r="B134" i="27" l="1"/>
  <c r="A135" i="27"/>
  <c r="A205" i="27"/>
  <c r="B204" i="27"/>
  <c r="B271" i="27" s="1"/>
  <c r="E133" i="27"/>
  <c r="E204" i="27" s="1"/>
  <c r="E271" i="27" s="1"/>
  <c r="D133" i="27"/>
  <c r="D204" i="27" s="1"/>
  <c r="D271" i="27" s="1"/>
  <c r="C133" i="27"/>
  <c r="C204" i="27" s="1"/>
  <c r="C271" i="27" s="1"/>
  <c r="J133" i="27"/>
  <c r="J204" i="27" s="1"/>
  <c r="J271" i="27" s="1"/>
  <c r="H133" i="27"/>
  <c r="H204" i="27" s="1"/>
  <c r="H271" i="27" s="1"/>
  <c r="G133" i="27"/>
  <c r="G204" i="27" s="1"/>
  <c r="G271" i="27" s="1"/>
  <c r="I133" i="27"/>
  <c r="I204" i="27" s="1"/>
  <c r="I271" i="27" s="1"/>
  <c r="F133" i="27"/>
  <c r="F204" i="27" s="1"/>
  <c r="F271" i="27" s="1"/>
  <c r="A206" i="27" l="1"/>
  <c r="B135" i="27"/>
  <c r="A136" i="27"/>
  <c r="G134" i="27"/>
  <c r="G205" i="27" s="1"/>
  <c r="G272" i="27" s="1"/>
  <c r="F134" i="27"/>
  <c r="F205" i="27" s="1"/>
  <c r="F272" i="27" s="1"/>
  <c r="E134" i="27"/>
  <c r="E205" i="27" s="1"/>
  <c r="E272" i="27" s="1"/>
  <c r="D134" i="27"/>
  <c r="D205" i="27" s="1"/>
  <c r="D272" i="27" s="1"/>
  <c r="C134" i="27"/>
  <c r="C205" i="27" s="1"/>
  <c r="C272" i="27" s="1"/>
  <c r="B205" i="27"/>
  <c r="B272" i="27" s="1"/>
  <c r="J134" i="27"/>
  <c r="J205" i="27" s="1"/>
  <c r="J272" i="27" s="1"/>
  <c r="I134" i="27"/>
  <c r="I205" i="27" s="1"/>
  <c r="I272" i="27" s="1"/>
  <c r="H134" i="27"/>
  <c r="H205" i="27" s="1"/>
  <c r="H272" i="27" s="1"/>
  <c r="A137" i="27" l="1"/>
  <c r="B136" i="27"/>
  <c r="A207" i="27"/>
  <c r="B206" i="27"/>
  <c r="B273" i="27" s="1"/>
  <c r="I135" i="27"/>
  <c r="I206" i="27" s="1"/>
  <c r="I273" i="27" s="1"/>
  <c r="H135" i="27"/>
  <c r="H206" i="27" s="1"/>
  <c r="H273" i="27" s="1"/>
  <c r="G135" i="27"/>
  <c r="G206" i="27" s="1"/>
  <c r="G273" i="27" s="1"/>
  <c r="F135" i="27"/>
  <c r="F206" i="27" s="1"/>
  <c r="F273" i="27" s="1"/>
  <c r="E135" i="27"/>
  <c r="E206" i="27" s="1"/>
  <c r="E273" i="27" s="1"/>
  <c r="D135" i="27"/>
  <c r="D206" i="27" s="1"/>
  <c r="D273" i="27" s="1"/>
  <c r="J135" i="27"/>
  <c r="J206" i="27" s="1"/>
  <c r="J273" i="27" s="1"/>
  <c r="C135" i="27"/>
  <c r="C206" i="27" s="1"/>
  <c r="C273" i="27" s="1"/>
  <c r="J136" i="27" l="1"/>
  <c r="J207" i="27" s="1"/>
  <c r="J274" i="27" s="1"/>
  <c r="I136" i="27"/>
  <c r="I207" i="27" s="1"/>
  <c r="I274" i="27" s="1"/>
  <c r="H136" i="27"/>
  <c r="H207" i="27" s="1"/>
  <c r="H274" i="27" s="1"/>
  <c r="G136" i="27"/>
  <c r="G207" i="27" s="1"/>
  <c r="G274" i="27" s="1"/>
  <c r="F136" i="27"/>
  <c r="F207" i="27" s="1"/>
  <c r="F274" i="27" s="1"/>
  <c r="B207" i="27"/>
  <c r="B274" i="27" s="1"/>
  <c r="D136" i="27"/>
  <c r="D207" i="27" s="1"/>
  <c r="D274" i="27" s="1"/>
  <c r="E136" i="27"/>
  <c r="E207" i="27" s="1"/>
  <c r="E274" i="27" s="1"/>
  <c r="C136" i="27"/>
  <c r="C207" i="27" s="1"/>
  <c r="C274" i="27" s="1"/>
  <c r="A208" i="27"/>
  <c r="A138" i="27"/>
  <c r="B137" i="27"/>
  <c r="A209" i="27" l="1"/>
  <c r="B138" i="27"/>
  <c r="A139" i="27"/>
  <c r="B208" i="27"/>
  <c r="B275" i="27" s="1"/>
  <c r="J137" i="27"/>
  <c r="J208" i="27" s="1"/>
  <c r="J275" i="27" s="1"/>
  <c r="I137" i="27"/>
  <c r="I208" i="27" s="1"/>
  <c r="I275" i="27" s="1"/>
  <c r="H137" i="27"/>
  <c r="H208" i="27" s="1"/>
  <c r="H275" i="27" s="1"/>
  <c r="F137" i="27"/>
  <c r="F208" i="27" s="1"/>
  <c r="F275" i="27" s="1"/>
  <c r="D137" i="27"/>
  <c r="D208" i="27" s="1"/>
  <c r="D275" i="27" s="1"/>
  <c r="C137" i="27"/>
  <c r="C208" i="27" s="1"/>
  <c r="C275" i="27" s="1"/>
  <c r="G137" i="27"/>
  <c r="G208" i="27" s="1"/>
  <c r="G275" i="27" s="1"/>
  <c r="E137" i="27"/>
  <c r="E208" i="27" s="1"/>
  <c r="E275" i="27" s="1"/>
  <c r="A210" i="27" l="1"/>
  <c r="B139" i="27"/>
  <c r="A140" i="27"/>
  <c r="B209" i="27"/>
  <c r="B276" i="27" s="1"/>
  <c r="C138" i="27"/>
  <c r="C209" i="27" s="1"/>
  <c r="C276" i="27" s="1"/>
  <c r="J138" i="27"/>
  <c r="J209" i="27" s="1"/>
  <c r="J276" i="27" s="1"/>
  <c r="H138" i="27"/>
  <c r="H209" i="27" s="1"/>
  <c r="H276" i="27" s="1"/>
  <c r="F138" i="27"/>
  <c r="F209" i="27" s="1"/>
  <c r="F276" i="27" s="1"/>
  <c r="G138" i="27"/>
  <c r="G209" i="27" s="1"/>
  <c r="G276" i="27" s="1"/>
  <c r="E138" i="27"/>
  <c r="E209" i="27" s="1"/>
  <c r="E276" i="27" s="1"/>
  <c r="D138" i="27"/>
  <c r="D209" i="27" s="1"/>
  <c r="D276" i="27" s="1"/>
  <c r="I138" i="27"/>
  <c r="I209" i="27" s="1"/>
  <c r="I276" i="27" s="1"/>
  <c r="B140" i="27" l="1"/>
  <c r="A141" i="27"/>
  <c r="A211" i="27"/>
  <c r="B210" i="27"/>
  <c r="B277" i="27" s="1"/>
  <c r="E139" i="27"/>
  <c r="E210" i="27" s="1"/>
  <c r="E277" i="27" s="1"/>
  <c r="D139" i="27"/>
  <c r="D210" i="27" s="1"/>
  <c r="D277" i="27" s="1"/>
  <c r="C139" i="27"/>
  <c r="C210" i="27" s="1"/>
  <c r="C277" i="27" s="1"/>
  <c r="J139" i="27"/>
  <c r="J210" i="27" s="1"/>
  <c r="J277" i="27" s="1"/>
  <c r="H139" i="27"/>
  <c r="H210" i="27" s="1"/>
  <c r="H277" i="27" s="1"/>
  <c r="G139" i="27"/>
  <c r="G210" i="27" s="1"/>
  <c r="G277" i="27" s="1"/>
  <c r="I139" i="27"/>
  <c r="I210" i="27" s="1"/>
  <c r="I277" i="27" s="1"/>
  <c r="F139" i="27"/>
  <c r="F210" i="27" s="1"/>
  <c r="F277" i="27" s="1"/>
  <c r="B141" i="27" l="1"/>
  <c r="A142" i="27"/>
  <c r="A212" i="27"/>
  <c r="G140" i="27"/>
  <c r="G211" i="27" s="1"/>
  <c r="G278" i="27" s="1"/>
  <c r="F140" i="27"/>
  <c r="F211" i="27" s="1"/>
  <c r="F278" i="27" s="1"/>
  <c r="E140" i="27"/>
  <c r="E211" i="27" s="1"/>
  <c r="E278" i="27" s="1"/>
  <c r="D140" i="27"/>
  <c r="D211" i="27" s="1"/>
  <c r="D278" i="27" s="1"/>
  <c r="C140" i="27"/>
  <c r="C211" i="27" s="1"/>
  <c r="C278" i="27" s="1"/>
  <c r="B211" i="27"/>
  <c r="B278" i="27" s="1"/>
  <c r="J140" i="27"/>
  <c r="J211" i="27" s="1"/>
  <c r="J278" i="27" s="1"/>
  <c r="H140" i="27"/>
  <c r="H211" i="27" s="1"/>
  <c r="H278" i="27" s="1"/>
  <c r="I140" i="27"/>
  <c r="I211" i="27" s="1"/>
  <c r="I278" i="27" s="1"/>
  <c r="A143" i="27" l="1"/>
  <c r="A213" i="27"/>
  <c r="B142" i="27"/>
  <c r="I141" i="27"/>
  <c r="I212" i="27" s="1"/>
  <c r="I279" i="27" s="1"/>
  <c r="H141" i="27"/>
  <c r="H212" i="27" s="1"/>
  <c r="H279" i="27" s="1"/>
  <c r="G141" i="27"/>
  <c r="G212" i="27" s="1"/>
  <c r="G279" i="27" s="1"/>
  <c r="F141" i="27"/>
  <c r="F212" i="27" s="1"/>
  <c r="F279" i="27" s="1"/>
  <c r="E141" i="27"/>
  <c r="E212" i="27" s="1"/>
  <c r="E279" i="27" s="1"/>
  <c r="B212" i="27"/>
  <c r="B279" i="27" s="1"/>
  <c r="D141" i="27"/>
  <c r="D212" i="27" s="1"/>
  <c r="D279" i="27" s="1"/>
  <c r="J141" i="27"/>
  <c r="J212" i="27" s="1"/>
  <c r="J279" i="27" s="1"/>
  <c r="C141" i="27"/>
  <c r="C212" i="27" s="1"/>
  <c r="C279" i="27" s="1"/>
  <c r="B213" i="27" l="1"/>
  <c r="B280" i="27" s="1"/>
  <c r="J142" i="27"/>
  <c r="J213" i="27" s="1"/>
  <c r="J280" i="27" s="1"/>
  <c r="I142" i="27"/>
  <c r="I213" i="27" s="1"/>
  <c r="I280" i="27" s="1"/>
  <c r="H142" i="27"/>
  <c r="H213" i="27" s="1"/>
  <c r="H280" i="27" s="1"/>
  <c r="G142" i="27"/>
  <c r="G213" i="27" s="1"/>
  <c r="G280" i="27" s="1"/>
  <c r="F142" i="27"/>
  <c r="F213" i="27" s="1"/>
  <c r="F280" i="27" s="1"/>
  <c r="D142" i="27"/>
  <c r="D213" i="27" s="1"/>
  <c r="D280" i="27" s="1"/>
  <c r="C142" i="27"/>
  <c r="C213" i="27" s="1"/>
  <c r="C280" i="27" s="1"/>
  <c r="E142" i="27"/>
  <c r="E213" i="27" s="1"/>
  <c r="E280" i="27" s="1"/>
  <c r="A214" i="27"/>
  <c r="A144" i="27"/>
  <c r="B143" i="27"/>
  <c r="B214" i="27" l="1"/>
  <c r="B281" i="27" s="1"/>
  <c r="J143" i="27"/>
  <c r="J214" i="27" s="1"/>
  <c r="J281" i="27" s="1"/>
  <c r="I143" i="27"/>
  <c r="I214" i="27" s="1"/>
  <c r="I281" i="27" s="1"/>
  <c r="H143" i="27"/>
  <c r="H214" i="27" s="1"/>
  <c r="H281" i="27" s="1"/>
  <c r="F143" i="27"/>
  <c r="F214" i="27" s="1"/>
  <c r="F281" i="27" s="1"/>
  <c r="D143" i="27"/>
  <c r="D214" i="27" s="1"/>
  <c r="D281" i="27" s="1"/>
  <c r="C143" i="27"/>
  <c r="C214" i="27" s="1"/>
  <c r="C281" i="27" s="1"/>
  <c r="G143" i="27"/>
  <c r="G214" i="27" s="1"/>
  <c r="G281" i="27" s="1"/>
  <c r="E143" i="27"/>
  <c r="E214" i="27" s="1"/>
  <c r="E281" i="27" s="1"/>
  <c r="A215" i="27"/>
  <c r="B144" i="27"/>
  <c r="A145" i="27"/>
  <c r="A216" i="27" l="1"/>
  <c r="B145" i="27"/>
  <c r="A146" i="27"/>
  <c r="B215" i="27"/>
  <c r="B282" i="27" s="1"/>
  <c r="C144" i="27"/>
  <c r="C215" i="27" s="1"/>
  <c r="C282" i="27" s="1"/>
  <c r="J144" i="27"/>
  <c r="J215" i="27" s="1"/>
  <c r="J282" i="27" s="1"/>
  <c r="H144" i="27"/>
  <c r="H215" i="27" s="1"/>
  <c r="H282" i="27" s="1"/>
  <c r="F144" i="27"/>
  <c r="F215" i="27" s="1"/>
  <c r="F282" i="27" s="1"/>
  <c r="E144" i="27"/>
  <c r="E215" i="27" s="1"/>
  <c r="E282" i="27" s="1"/>
  <c r="I144" i="27"/>
  <c r="I215" i="27" s="1"/>
  <c r="I282" i="27" s="1"/>
  <c r="G144" i="27"/>
  <c r="G215" i="27" s="1"/>
  <c r="G282" i="27" s="1"/>
  <c r="D144" i="27"/>
  <c r="D215" i="27" s="1"/>
  <c r="D282" i="27" s="1"/>
  <c r="A217" i="27" l="1"/>
  <c r="B146" i="27"/>
  <c r="A147" i="27"/>
  <c r="B216" i="27"/>
  <c r="B283" i="27" s="1"/>
  <c r="E145" i="27"/>
  <c r="E216" i="27" s="1"/>
  <c r="E283" i="27" s="1"/>
  <c r="D145" i="27"/>
  <c r="D216" i="27" s="1"/>
  <c r="D283" i="27" s="1"/>
  <c r="C145" i="27"/>
  <c r="C216" i="27" s="1"/>
  <c r="C283" i="27" s="1"/>
  <c r="J145" i="27"/>
  <c r="J216" i="27" s="1"/>
  <c r="J283" i="27" s="1"/>
  <c r="H145" i="27"/>
  <c r="H216" i="27" s="1"/>
  <c r="H283" i="27" s="1"/>
  <c r="I145" i="27"/>
  <c r="I216" i="27" s="1"/>
  <c r="I283" i="27" s="1"/>
  <c r="G145" i="27"/>
  <c r="G216" i="27" s="1"/>
  <c r="G283" i="27" s="1"/>
  <c r="F145" i="27"/>
  <c r="F216" i="27" s="1"/>
  <c r="F283" i="27" s="1"/>
  <c r="G146" i="27" l="1"/>
  <c r="G217" i="27" s="1"/>
  <c r="G284" i="27" s="1"/>
  <c r="F146" i="27"/>
  <c r="F217" i="27" s="1"/>
  <c r="F284" i="27" s="1"/>
  <c r="E146" i="27"/>
  <c r="E217" i="27" s="1"/>
  <c r="E284" i="27" s="1"/>
  <c r="B217" i="27"/>
  <c r="B284" i="27" s="1"/>
  <c r="D146" i="27"/>
  <c r="D217" i="27" s="1"/>
  <c r="D284" i="27" s="1"/>
  <c r="C146" i="27"/>
  <c r="C217" i="27" s="1"/>
  <c r="C284" i="27" s="1"/>
  <c r="J146" i="27"/>
  <c r="J217" i="27" s="1"/>
  <c r="J284" i="27" s="1"/>
  <c r="H146" i="27"/>
  <c r="H217" i="27" s="1"/>
  <c r="H284" i="27" s="1"/>
  <c r="I146" i="27"/>
  <c r="I217" i="27" s="1"/>
  <c r="I284" i="27" s="1"/>
  <c r="A218" i="27"/>
  <c r="B147" i="27"/>
  <c r="A148" i="27"/>
  <c r="A149" i="27" l="1"/>
  <c r="B148" i="27"/>
  <c r="A219" i="27"/>
  <c r="I147" i="27"/>
  <c r="I218" i="27" s="1"/>
  <c r="I285" i="27" s="1"/>
  <c r="H147" i="27"/>
  <c r="H218" i="27" s="1"/>
  <c r="H285" i="27" s="1"/>
  <c r="G147" i="27"/>
  <c r="G218" i="27" s="1"/>
  <c r="G285" i="27" s="1"/>
  <c r="F147" i="27"/>
  <c r="F218" i="27" s="1"/>
  <c r="F285" i="27" s="1"/>
  <c r="E147" i="27"/>
  <c r="E218" i="27" s="1"/>
  <c r="E285" i="27" s="1"/>
  <c r="D147" i="27"/>
  <c r="D218" i="27" s="1"/>
  <c r="D285" i="27" s="1"/>
  <c r="C147" i="27"/>
  <c r="C218" i="27" s="1"/>
  <c r="C285" i="27" s="1"/>
  <c r="J147" i="27"/>
  <c r="J218" i="27" s="1"/>
  <c r="J285" i="27" s="1"/>
  <c r="B218" i="27"/>
  <c r="B285" i="27" s="1"/>
  <c r="J148" i="27" l="1"/>
  <c r="J219" i="27" s="1"/>
  <c r="J286" i="27" s="1"/>
  <c r="I148" i="27"/>
  <c r="I219" i="27" s="1"/>
  <c r="I286" i="27" s="1"/>
  <c r="H148" i="27"/>
  <c r="H219" i="27" s="1"/>
  <c r="H286" i="27" s="1"/>
  <c r="G148" i="27"/>
  <c r="G219" i="27" s="1"/>
  <c r="G286" i="27" s="1"/>
  <c r="F148" i="27"/>
  <c r="F219" i="27" s="1"/>
  <c r="F286" i="27" s="1"/>
  <c r="B219" i="27"/>
  <c r="B286" i="27" s="1"/>
  <c r="D148" i="27"/>
  <c r="D219" i="27" s="1"/>
  <c r="D286" i="27" s="1"/>
  <c r="E148" i="27"/>
  <c r="E219" i="27" s="1"/>
  <c r="E286" i="27" s="1"/>
  <c r="C148" i="27"/>
  <c r="C219" i="27" s="1"/>
  <c r="C286" i="27" s="1"/>
  <c r="A220" i="27"/>
  <c r="A150" i="27"/>
  <c r="B149" i="27"/>
  <c r="A221" i="27" l="1"/>
  <c r="B150" i="27"/>
  <c r="A151" i="27"/>
  <c r="B220" i="27"/>
  <c r="B287" i="27" s="1"/>
  <c r="J149" i="27"/>
  <c r="J220" i="27" s="1"/>
  <c r="J287" i="27" s="1"/>
  <c r="I149" i="27"/>
  <c r="I220" i="27" s="1"/>
  <c r="I287" i="27" s="1"/>
  <c r="H149" i="27"/>
  <c r="H220" i="27" s="1"/>
  <c r="H287" i="27" s="1"/>
  <c r="F149" i="27"/>
  <c r="F220" i="27" s="1"/>
  <c r="F287" i="27" s="1"/>
  <c r="D149" i="27"/>
  <c r="D220" i="27" s="1"/>
  <c r="D287" i="27" s="1"/>
  <c r="E149" i="27"/>
  <c r="E220" i="27" s="1"/>
  <c r="E287" i="27" s="1"/>
  <c r="C149" i="27"/>
  <c r="C220" i="27" s="1"/>
  <c r="C287" i="27" s="1"/>
  <c r="G149" i="27"/>
  <c r="G220" i="27" s="1"/>
  <c r="G287" i="27" s="1"/>
  <c r="A222" i="27" l="1"/>
  <c r="B151" i="27"/>
  <c r="A152" i="27"/>
  <c r="B221" i="27"/>
  <c r="B288" i="27" s="1"/>
  <c r="C150" i="27"/>
  <c r="C221" i="27" s="1"/>
  <c r="C288" i="27" s="1"/>
  <c r="J150" i="27"/>
  <c r="J221" i="27" s="1"/>
  <c r="J288" i="27" s="1"/>
  <c r="H150" i="27"/>
  <c r="H221" i="27" s="1"/>
  <c r="H288" i="27" s="1"/>
  <c r="F150" i="27"/>
  <c r="F221" i="27" s="1"/>
  <c r="F288" i="27" s="1"/>
  <c r="I150" i="27"/>
  <c r="I221" i="27" s="1"/>
  <c r="I288" i="27" s="1"/>
  <c r="E150" i="27"/>
  <c r="E221" i="27" s="1"/>
  <c r="E288" i="27" s="1"/>
  <c r="G150" i="27"/>
  <c r="G221" i="27" s="1"/>
  <c r="G288" i="27" s="1"/>
  <c r="D150" i="27"/>
  <c r="D221" i="27" s="1"/>
  <c r="D288" i="27" s="1"/>
  <c r="B222" i="27" l="1"/>
  <c r="B289" i="27" s="1"/>
  <c r="E151" i="27"/>
  <c r="E222" i="27" s="1"/>
  <c r="E289" i="27" s="1"/>
  <c r="D151" i="27"/>
  <c r="D222" i="27" s="1"/>
  <c r="D289" i="27" s="1"/>
  <c r="C151" i="27"/>
  <c r="C222" i="27" s="1"/>
  <c r="C289" i="27" s="1"/>
  <c r="J151" i="27"/>
  <c r="J222" i="27" s="1"/>
  <c r="J289" i="27" s="1"/>
  <c r="H151" i="27"/>
  <c r="H222" i="27" s="1"/>
  <c r="H289" i="27" s="1"/>
  <c r="G151" i="27"/>
  <c r="G222" i="27" s="1"/>
  <c r="G289" i="27" s="1"/>
  <c r="I151" i="27"/>
  <c r="I222" i="27" s="1"/>
  <c r="I289" i="27" s="1"/>
  <c r="F151" i="27"/>
  <c r="F222" i="27" s="1"/>
  <c r="F289" i="27" s="1"/>
  <c r="B152" i="27"/>
  <c r="A223" i="27"/>
  <c r="A153" i="27"/>
  <c r="G152" i="27" l="1"/>
  <c r="G223" i="27" s="1"/>
  <c r="G290" i="27" s="1"/>
  <c r="F152" i="27"/>
  <c r="F223" i="27" s="1"/>
  <c r="F290" i="27" s="1"/>
  <c r="E152" i="27"/>
  <c r="E223" i="27" s="1"/>
  <c r="E290" i="27" s="1"/>
  <c r="D152" i="27"/>
  <c r="D223" i="27" s="1"/>
  <c r="D290" i="27" s="1"/>
  <c r="C152" i="27"/>
  <c r="C223" i="27" s="1"/>
  <c r="C290" i="27" s="1"/>
  <c r="B223" i="27"/>
  <c r="B290" i="27" s="1"/>
  <c r="J152" i="27"/>
  <c r="J223" i="27" s="1"/>
  <c r="J290" i="27" s="1"/>
  <c r="I152" i="27"/>
  <c r="I223" i="27" s="1"/>
  <c r="I290" i="27" s="1"/>
  <c r="H152" i="27"/>
  <c r="H223" i="27" s="1"/>
  <c r="H290" i="27" s="1"/>
  <c r="B153" i="27"/>
  <c r="A224" i="27"/>
  <c r="A154" i="27"/>
  <c r="I153" i="27" l="1"/>
  <c r="I224" i="27" s="1"/>
  <c r="I291" i="27" s="1"/>
  <c r="H153" i="27"/>
  <c r="H224" i="27" s="1"/>
  <c r="H291" i="27" s="1"/>
  <c r="G153" i="27"/>
  <c r="G224" i="27" s="1"/>
  <c r="G291" i="27" s="1"/>
  <c r="F153" i="27"/>
  <c r="F224" i="27" s="1"/>
  <c r="F291" i="27" s="1"/>
  <c r="E153" i="27"/>
  <c r="E224" i="27" s="1"/>
  <c r="E291" i="27" s="1"/>
  <c r="B224" i="27"/>
  <c r="B291" i="27" s="1"/>
  <c r="D153" i="27"/>
  <c r="D224" i="27" s="1"/>
  <c r="D291" i="27" s="1"/>
  <c r="J153" i="27"/>
  <c r="J224" i="27" s="1"/>
  <c r="J291" i="27" s="1"/>
  <c r="C153" i="27"/>
  <c r="C224" i="27" s="1"/>
  <c r="C291" i="27" s="1"/>
  <c r="A155" i="27"/>
  <c r="A225" i="27"/>
  <c r="B154" i="27"/>
  <c r="B225" i="27" l="1"/>
  <c r="B292" i="27" s="1"/>
  <c r="J154" i="27"/>
  <c r="J225" i="27" s="1"/>
  <c r="J292" i="27" s="1"/>
  <c r="I154" i="27"/>
  <c r="I225" i="27" s="1"/>
  <c r="I292" i="27" s="1"/>
  <c r="H154" i="27"/>
  <c r="H225" i="27" s="1"/>
  <c r="H292" i="27" s="1"/>
  <c r="G154" i="27"/>
  <c r="G225" i="27" s="1"/>
  <c r="G292" i="27" s="1"/>
  <c r="F154" i="27"/>
  <c r="F225" i="27" s="1"/>
  <c r="F292" i="27" s="1"/>
  <c r="D154" i="27"/>
  <c r="D225" i="27" s="1"/>
  <c r="D292" i="27" s="1"/>
  <c r="E154" i="27"/>
  <c r="E225" i="27" s="1"/>
  <c r="E292" i="27" s="1"/>
  <c r="C154" i="27"/>
  <c r="C225" i="27" s="1"/>
  <c r="C292" i="27" s="1"/>
  <c r="A226" i="27"/>
  <c r="A156" i="27"/>
  <c r="B155" i="27"/>
  <c r="B226" i="27" l="1"/>
  <c r="B293" i="27" s="1"/>
  <c r="J155" i="27"/>
  <c r="J226" i="27" s="1"/>
  <c r="J293" i="27" s="1"/>
  <c r="I155" i="27"/>
  <c r="I226" i="27" s="1"/>
  <c r="I293" i="27" s="1"/>
  <c r="H155" i="27"/>
  <c r="H226" i="27" s="1"/>
  <c r="H293" i="27" s="1"/>
  <c r="F155" i="27"/>
  <c r="F226" i="27" s="1"/>
  <c r="F293" i="27" s="1"/>
  <c r="D155" i="27"/>
  <c r="D226" i="27" s="1"/>
  <c r="D293" i="27" s="1"/>
  <c r="C155" i="27"/>
  <c r="C226" i="27" s="1"/>
  <c r="C293" i="27" s="1"/>
  <c r="G155" i="27"/>
  <c r="G226" i="27" s="1"/>
  <c r="G293" i="27" s="1"/>
  <c r="E155" i="27"/>
  <c r="E226" i="27" s="1"/>
  <c r="E293" i="27" s="1"/>
  <c r="A227" i="27"/>
  <c r="B156" i="27"/>
  <c r="A157" i="27"/>
  <c r="B227" i="27" l="1"/>
  <c r="B294" i="27" s="1"/>
  <c r="C156" i="27"/>
  <c r="C227" i="27" s="1"/>
  <c r="C294" i="27" s="1"/>
  <c r="J156" i="27"/>
  <c r="J227" i="27" s="1"/>
  <c r="J294" i="27" s="1"/>
  <c r="H156" i="27"/>
  <c r="H227" i="27" s="1"/>
  <c r="H294" i="27" s="1"/>
  <c r="F156" i="27"/>
  <c r="F227" i="27" s="1"/>
  <c r="F294" i="27" s="1"/>
  <c r="G156" i="27"/>
  <c r="G227" i="27" s="1"/>
  <c r="G294" i="27" s="1"/>
  <c r="E156" i="27"/>
  <c r="E227" i="27" s="1"/>
  <c r="E294" i="27" s="1"/>
  <c r="D156" i="27"/>
  <c r="D227" i="27" s="1"/>
  <c r="D294" i="27" s="1"/>
  <c r="I156" i="27"/>
  <c r="I227" i="27" s="1"/>
  <c r="I294" i="27" s="1"/>
  <c r="A228" i="27"/>
  <c r="B157" i="27"/>
  <c r="A158" i="27"/>
  <c r="A229" i="27" l="1"/>
  <c r="B158" i="27"/>
  <c r="A159" i="27"/>
  <c r="B228" i="27"/>
  <c r="B295" i="27" s="1"/>
  <c r="E157" i="27"/>
  <c r="E228" i="27" s="1"/>
  <c r="E295" i="27" s="1"/>
  <c r="D157" i="27"/>
  <c r="D228" i="27" s="1"/>
  <c r="D295" i="27" s="1"/>
  <c r="C157" i="27"/>
  <c r="C228" i="27" s="1"/>
  <c r="C295" i="27" s="1"/>
  <c r="J157" i="27"/>
  <c r="J228" i="27" s="1"/>
  <c r="J295" i="27" s="1"/>
  <c r="H157" i="27"/>
  <c r="H228" i="27" s="1"/>
  <c r="H295" i="27" s="1"/>
  <c r="G157" i="27"/>
  <c r="G228" i="27" s="1"/>
  <c r="G295" i="27" s="1"/>
  <c r="I157" i="27"/>
  <c r="I228" i="27" s="1"/>
  <c r="I295" i="27" s="1"/>
  <c r="F157" i="27"/>
  <c r="F228" i="27" s="1"/>
  <c r="F295" i="27" s="1"/>
  <c r="A230" i="27" l="1"/>
  <c r="B159" i="27"/>
  <c r="A160" i="27"/>
  <c r="G158" i="27"/>
  <c r="G229" i="27" s="1"/>
  <c r="G296" i="27" s="1"/>
  <c r="F158" i="27"/>
  <c r="F229" i="27" s="1"/>
  <c r="F296" i="27" s="1"/>
  <c r="E158" i="27"/>
  <c r="E229" i="27" s="1"/>
  <c r="E296" i="27" s="1"/>
  <c r="B229" i="27"/>
  <c r="B296" i="27" s="1"/>
  <c r="D158" i="27"/>
  <c r="D229" i="27" s="1"/>
  <c r="D296" i="27" s="1"/>
  <c r="C158" i="27"/>
  <c r="C229" i="27" s="1"/>
  <c r="C296" i="27" s="1"/>
  <c r="J158" i="27"/>
  <c r="J229" i="27" s="1"/>
  <c r="J296" i="27" s="1"/>
  <c r="I158" i="27"/>
  <c r="I229" i="27" s="1"/>
  <c r="I296" i="27" s="1"/>
  <c r="H158" i="27"/>
  <c r="H229" i="27" s="1"/>
  <c r="H296" i="27" s="1"/>
  <c r="A161" i="27" l="1"/>
  <c r="B160" i="27"/>
  <c r="A231" i="27"/>
  <c r="I159" i="27"/>
  <c r="I230" i="27" s="1"/>
  <c r="I297" i="27" s="1"/>
  <c r="H159" i="27"/>
  <c r="H230" i="27" s="1"/>
  <c r="H297" i="27" s="1"/>
  <c r="G159" i="27"/>
  <c r="G230" i="27" s="1"/>
  <c r="G297" i="27" s="1"/>
  <c r="F159" i="27"/>
  <c r="F230" i="27" s="1"/>
  <c r="F297" i="27" s="1"/>
  <c r="E159" i="27"/>
  <c r="E230" i="27" s="1"/>
  <c r="E297" i="27" s="1"/>
  <c r="D159" i="27"/>
  <c r="D230" i="27" s="1"/>
  <c r="D297" i="27" s="1"/>
  <c r="B230" i="27"/>
  <c r="B297" i="27" s="1"/>
  <c r="J159" i="27"/>
  <c r="J230" i="27" s="1"/>
  <c r="J297" i="27" s="1"/>
  <c r="C159" i="27"/>
  <c r="C230" i="27" s="1"/>
  <c r="C297" i="27" s="1"/>
  <c r="J160" i="27" l="1"/>
  <c r="J231" i="27" s="1"/>
  <c r="J298" i="27" s="1"/>
  <c r="I160" i="27"/>
  <c r="I231" i="27" s="1"/>
  <c r="I298" i="27" s="1"/>
  <c r="H160" i="27"/>
  <c r="H231" i="27" s="1"/>
  <c r="H298" i="27" s="1"/>
  <c r="G160" i="27"/>
  <c r="G231" i="27" s="1"/>
  <c r="G298" i="27" s="1"/>
  <c r="F160" i="27"/>
  <c r="F231" i="27" s="1"/>
  <c r="F298" i="27" s="1"/>
  <c r="B231" i="27"/>
  <c r="B298" i="27" s="1"/>
  <c r="D160" i="27"/>
  <c r="D231" i="27" s="1"/>
  <c r="D298" i="27" s="1"/>
  <c r="C160" i="27"/>
  <c r="C231" i="27" s="1"/>
  <c r="C298" i="27" s="1"/>
  <c r="E160" i="27"/>
  <c r="E231" i="27" s="1"/>
  <c r="E298" i="27" s="1"/>
  <c r="A232" i="27"/>
  <c r="A162" i="27"/>
  <c r="B161" i="27"/>
  <c r="A233" i="27" l="1"/>
  <c r="B162" i="27"/>
  <c r="A163" i="27"/>
  <c r="B232" i="27"/>
  <c r="B299" i="27" s="1"/>
  <c r="J161" i="27"/>
  <c r="J232" i="27" s="1"/>
  <c r="J299" i="27" s="1"/>
  <c r="I161" i="27"/>
  <c r="I232" i="27" s="1"/>
  <c r="I299" i="27" s="1"/>
  <c r="H161" i="27"/>
  <c r="H232" i="27" s="1"/>
  <c r="H299" i="27" s="1"/>
  <c r="F161" i="27"/>
  <c r="F232" i="27" s="1"/>
  <c r="F299" i="27" s="1"/>
  <c r="D161" i="27"/>
  <c r="D232" i="27" s="1"/>
  <c r="D299" i="27" s="1"/>
  <c r="C161" i="27"/>
  <c r="C232" i="27" s="1"/>
  <c r="C299" i="27" s="1"/>
  <c r="G161" i="27"/>
  <c r="G232" i="27" s="1"/>
  <c r="G299" i="27" s="1"/>
  <c r="E161" i="27"/>
  <c r="E232" i="27" s="1"/>
  <c r="E299" i="27" s="1"/>
  <c r="A234" i="27" l="1"/>
  <c r="B163" i="27"/>
  <c r="A164" i="27"/>
  <c r="B233" i="27"/>
  <c r="B300" i="27" s="1"/>
  <c r="C162" i="27"/>
  <c r="C233" i="27" s="1"/>
  <c r="C300" i="27" s="1"/>
  <c r="J162" i="27"/>
  <c r="J233" i="27" s="1"/>
  <c r="J300" i="27" s="1"/>
  <c r="H162" i="27"/>
  <c r="H233" i="27" s="1"/>
  <c r="H300" i="27" s="1"/>
  <c r="F162" i="27"/>
  <c r="F233" i="27" s="1"/>
  <c r="F300" i="27" s="1"/>
  <c r="E162" i="27"/>
  <c r="E233" i="27" s="1"/>
  <c r="E300" i="27" s="1"/>
  <c r="D162" i="27"/>
  <c r="D233" i="27" s="1"/>
  <c r="D300" i="27" s="1"/>
  <c r="I162" i="27"/>
  <c r="I233" i="27" s="1"/>
  <c r="I300" i="27" s="1"/>
  <c r="G162" i="27"/>
  <c r="G233" i="27" s="1"/>
  <c r="G300" i="27" s="1"/>
  <c r="B164" i="27" l="1"/>
  <c r="A235" i="27"/>
  <c r="A165" i="27"/>
  <c r="B234" i="27"/>
  <c r="B301" i="27" s="1"/>
  <c r="E163" i="27"/>
  <c r="E234" i="27" s="1"/>
  <c r="E301" i="27" s="1"/>
  <c r="D163" i="27"/>
  <c r="D234" i="27" s="1"/>
  <c r="D301" i="27" s="1"/>
  <c r="C163" i="27"/>
  <c r="C234" i="27" s="1"/>
  <c r="C301" i="27" s="1"/>
  <c r="J163" i="27"/>
  <c r="J234" i="27" s="1"/>
  <c r="J301" i="27" s="1"/>
  <c r="H163" i="27"/>
  <c r="H234" i="27" s="1"/>
  <c r="H301" i="27" s="1"/>
  <c r="I163" i="27"/>
  <c r="I234" i="27" s="1"/>
  <c r="I301" i="27" s="1"/>
  <c r="G163" i="27"/>
  <c r="G234" i="27" s="1"/>
  <c r="G301" i="27" s="1"/>
  <c r="F163" i="27"/>
  <c r="F234" i="27" s="1"/>
  <c r="F301" i="27" s="1"/>
  <c r="B165" i="27" l="1"/>
  <c r="A236" i="27"/>
  <c r="A166" i="27"/>
  <c r="G164" i="27"/>
  <c r="G235" i="27" s="1"/>
  <c r="G302" i="27" s="1"/>
  <c r="F164" i="27"/>
  <c r="F235" i="27" s="1"/>
  <c r="F302" i="27" s="1"/>
  <c r="E164" i="27"/>
  <c r="E235" i="27" s="1"/>
  <c r="E302" i="27" s="1"/>
  <c r="D164" i="27"/>
  <c r="D235" i="27" s="1"/>
  <c r="D302" i="27" s="1"/>
  <c r="C164" i="27"/>
  <c r="C235" i="27" s="1"/>
  <c r="C302" i="27" s="1"/>
  <c r="B235" i="27"/>
  <c r="B302" i="27" s="1"/>
  <c r="J164" i="27"/>
  <c r="J235" i="27" s="1"/>
  <c r="J302" i="27" s="1"/>
  <c r="I164" i="27"/>
  <c r="I235" i="27" s="1"/>
  <c r="I302" i="27" s="1"/>
  <c r="H164" i="27"/>
  <c r="H235" i="27" s="1"/>
  <c r="H302" i="27" s="1"/>
  <c r="A167" i="27" l="1"/>
  <c r="A237" i="27"/>
  <c r="B166" i="27"/>
  <c r="I165" i="27"/>
  <c r="I236" i="27" s="1"/>
  <c r="I303" i="27" s="1"/>
  <c r="H165" i="27"/>
  <c r="H236" i="27" s="1"/>
  <c r="H303" i="27" s="1"/>
  <c r="G165" i="27"/>
  <c r="G236" i="27" s="1"/>
  <c r="G303" i="27" s="1"/>
  <c r="F165" i="27"/>
  <c r="F236" i="27" s="1"/>
  <c r="F303" i="27" s="1"/>
  <c r="E165" i="27"/>
  <c r="E236" i="27" s="1"/>
  <c r="E303" i="27" s="1"/>
  <c r="B236" i="27"/>
  <c r="B303" i="27" s="1"/>
  <c r="D165" i="27"/>
  <c r="D236" i="27" s="1"/>
  <c r="D303" i="27" s="1"/>
  <c r="J165" i="27"/>
  <c r="J236" i="27" s="1"/>
  <c r="J303" i="27" s="1"/>
  <c r="C165" i="27"/>
  <c r="C236" i="27" s="1"/>
  <c r="C303" i="27" s="1"/>
  <c r="B237" i="27" l="1"/>
  <c r="B304" i="27" s="1"/>
  <c r="J166" i="27"/>
  <c r="J237" i="27" s="1"/>
  <c r="J304" i="27" s="1"/>
  <c r="I166" i="27"/>
  <c r="I237" i="27" s="1"/>
  <c r="I304" i="27" s="1"/>
  <c r="H166" i="27"/>
  <c r="H237" i="27" s="1"/>
  <c r="H304" i="27" s="1"/>
  <c r="G166" i="27"/>
  <c r="G237" i="27" s="1"/>
  <c r="G304" i="27" s="1"/>
  <c r="F166" i="27"/>
  <c r="F237" i="27" s="1"/>
  <c r="F304" i="27" s="1"/>
  <c r="D166" i="27"/>
  <c r="D237" i="27" s="1"/>
  <c r="D304" i="27" s="1"/>
  <c r="E166" i="27"/>
  <c r="E237" i="27" s="1"/>
  <c r="E304" i="27" s="1"/>
  <c r="C166" i="27"/>
  <c r="C237" i="27" s="1"/>
  <c r="C304" i="27" s="1"/>
  <c r="A238" i="27"/>
  <c r="A168" i="27"/>
  <c r="B167" i="27"/>
  <c r="B238" i="27" l="1"/>
  <c r="B305" i="27" s="1"/>
  <c r="J167" i="27"/>
  <c r="J238" i="27" s="1"/>
  <c r="J305" i="27" s="1"/>
  <c r="I167" i="27"/>
  <c r="I238" i="27" s="1"/>
  <c r="I305" i="27" s="1"/>
  <c r="H167" i="27"/>
  <c r="H238" i="27" s="1"/>
  <c r="H305" i="27" s="1"/>
  <c r="F167" i="27"/>
  <c r="F238" i="27" s="1"/>
  <c r="F305" i="27" s="1"/>
  <c r="D167" i="27"/>
  <c r="D238" i="27" s="1"/>
  <c r="D305" i="27" s="1"/>
  <c r="E167" i="27"/>
  <c r="E238" i="27" s="1"/>
  <c r="E305" i="27" s="1"/>
  <c r="C167" i="27"/>
  <c r="C238" i="27" s="1"/>
  <c r="C305" i="27" s="1"/>
  <c r="G167" i="27"/>
  <c r="G238" i="27" s="1"/>
  <c r="G305" i="27" s="1"/>
  <c r="A239" i="27"/>
  <c r="B168" i="27"/>
  <c r="A169" i="27"/>
  <c r="A240" i="27" l="1"/>
  <c r="B169" i="27"/>
  <c r="A170" i="27"/>
  <c r="B239" i="27"/>
  <c r="B306" i="27" s="1"/>
  <c r="C168" i="27"/>
  <c r="C239" i="27" s="1"/>
  <c r="C306" i="27" s="1"/>
  <c r="J168" i="27"/>
  <c r="J239" i="27" s="1"/>
  <c r="J306" i="27" s="1"/>
  <c r="H168" i="27"/>
  <c r="H239" i="27" s="1"/>
  <c r="H306" i="27" s="1"/>
  <c r="F168" i="27"/>
  <c r="F239" i="27" s="1"/>
  <c r="F306" i="27" s="1"/>
  <c r="E168" i="27"/>
  <c r="E239" i="27" s="1"/>
  <c r="E306" i="27" s="1"/>
  <c r="I168" i="27"/>
  <c r="I239" i="27" s="1"/>
  <c r="I306" i="27" s="1"/>
  <c r="G168" i="27"/>
  <c r="G239" i="27" s="1"/>
  <c r="G306" i="27" s="1"/>
  <c r="D168" i="27"/>
  <c r="D239" i="27" s="1"/>
  <c r="D306" i="27" s="1"/>
  <c r="A241" i="27" l="1"/>
  <c r="B170" i="27"/>
  <c r="A171" i="27"/>
  <c r="B240" i="27"/>
  <c r="B307" i="27" s="1"/>
  <c r="E169" i="27"/>
  <c r="E240" i="27" s="1"/>
  <c r="E307" i="27" s="1"/>
  <c r="D169" i="27"/>
  <c r="D240" i="27" s="1"/>
  <c r="D307" i="27" s="1"/>
  <c r="C169" i="27"/>
  <c r="C240" i="27" s="1"/>
  <c r="C307" i="27" s="1"/>
  <c r="J169" i="27"/>
  <c r="J240" i="27" s="1"/>
  <c r="J307" i="27" s="1"/>
  <c r="H169" i="27"/>
  <c r="H240" i="27" s="1"/>
  <c r="H307" i="27" s="1"/>
  <c r="G169" i="27"/>
  <c r="G240" i="27" s="1"/>
  <c r="G307" i="27" s="1"/>
  <c r="I169" i="27"/>
  <c r="I240" i="27" s="1"/>
  <c r="I307" i="27" s="1"/>
  <c r="F169" i="27"/>
  <c r="F240" i="27" s="1"/>
  <c r="F307" i="27" s="1"/>
  <c r="A242" i="27" l="1"/>
  <c r="B171" i="27"/>
  <c r="A172" i="27"/>
  <c r="G170" i="27"/>
  <c r="G241" i="27" s="1"/>
  <c r="G308" i="27" s="1"/>
  <c r="F170" i="27"/>
  <c r="F241" i="27" s="1"/>
  <c r="F308" i="27" s="1"/>
  <c r="E170" i="27"/>
  <c r="E241" i="27" s="1"/>
  <c r="E308" i="27" s="1"/>
  <c r="B241" i="27"/>
  <c r="B308" i="27" s="1"/>
  <c r="D170" i="27"/>
  <c r="D241" i="27" s="1"/>
  <c r="D308" i="27" s="1"/>
  <c r="C170" i="27"/>
  <c r="C241" i="27" s="1"/>
  <c r="C308" i="27" s="1"/>
  <c r="J170" i="27"/>
  <c r="J241" i="27" s="1"/>
  <c r="J308" i="27" s="1"/>
  <c r="I170" i="27"/>
  <c r="I241" i="27" s="1"/>
  <c r="I308" i="27" s="1"/>
  <c r="H170" i="27"/>
  <c r="H241" i="27" s="1"/>
  <c r="H308" i="27" s="1"/>
  <c r="A243" i="27" l="1"/>
  <c r="B172" i="27"/>
  <c r="I171" i="27"/>
  <c r="I242" i="27" s="1"/>
  <c r="I309" i="27" s="1"/>
  <c r="H171" i="27"/>
  <c r="H242" i="27" s="1"/>
  <c r="H309" i="27" s="1"/>
  <c r="G171" i="27"/>
  <c r="G242" i="27" s="1"/>
  <c r="G309" i="27" s="1"/>
  <c r="F171" i="27"/>
  <c r="F242" i="27" s="1"/>
  <c r="F309" i="27" s="1"/>
  <c r="E171" i="27"/>
  <c r="E242" i="27" s="1"/>
  <c r="E309" i="27" s="1"/>
  <c r="D171" i="27"/>
  <c r="D242" i="27" s="1"/>
  <c r="D309" i="27" s="1"/>
  <c r="B242" i="27"/>
  <c r="B309" i="27" s="1"/>
  <c r="J171" i="27"/>
  <c r="J242" i="27" s="1"/>
  <c r="J309" i="27" s="1"/>
  <c r="C171" i="27"/>
  <c r="C242" i="27" s="1"/>
  <c r="C309" i="27" s="1"/>
  <c r="J172" i="27" l="1"/>
  <c r="J243" i="27" s="1"/>
  <c r="J310" i="27" s="1"/>
  <c r="I172" i="27"/>
  <c r="I243" i="27" s="1"/>
  <c r="I310" i="27" s="1"/>
  <c r="H172" i="27"/>
  <c r="H243" i="27" s="1"/>
  <c r="H310" i="27" s="1"/>
  <c r="G172" i="27"/>
  <c r="G243" i="27" s="1"/>
  <c r="G310" i="27" s="1"/>
  <c r="F172" i="27"/>
  <c r="F243" i="27" s="1"/>
  <c r="F310" i="27" s="1"/>
  <c r="B243" i="27"/>
  <c r="B310" i="27" s="1"/>
  <c r="D172" i="27"/>
  <c r="D243" i="27" s="1"/>
  <c r="D310" i="27" s="1"/>
  <c r="E172" i="27"/>
  <c r="E243" i="27" s="1"/>
  <c r="E310" i="27" s="1"/>
  <c r="C172" i="27"/>
  <c r="C243" i="27" s="1"/>
  <c r="C310" i="27" s="1"/>
  <c r="P18" i="4" l="1"/>
  <c r="L153" i="4" l="1"/>
  <c r="L53" i="4"/>
  <c r="R167" i="4"/>
  <c r="R177" i="4"/>
  <c r="R166" i="4"/>
  <c r="R146" i="4" l="1"/>
  <c r="R147" i="4"/>
  <c r="R148" i="4"/>
  <c r="R149" i="4"/>
  <c r="R150" i="4"/>
  <c r="R151" i="4"/>
  <c r="R145" i="4"/>
  <c r="R159" i="4" l="1"/>
  <c r="R155" i="4"/>
  <c r="J181" i="4" l="1"/>
  <c r="J182" i="4"/>
  <c r="M182" i="4" s="1"/>
  <c r="J184" i="4"/>
  <c r="M184" i="4" s="1"/>
  <c r="J183" i="4"/>
  <c r="M183" i="4" s="1"/>
  <c r="J185" i="4"/>
  <c r="M185" i="4" s="1"/>
  <c r="J186" i="4"/>
  <c r="M186" i="4" s="1"/>
  <c r="J191" i="4"/>
  <c r="J187" i="4"/>
  <c r="M187" i="4" s="1"/>
  <c r="J188" i="4"/>
  <c r="M188" i="4" s="1"/>
  <c r="J189" i="4"/>
  <c r="M189" i="4" s="1"/>
  <c r="J190" i="4"/>
  <c r="M190" i="4" s="1"/>
  <c r="J180" i="4"/>
  <c r="G324" i="4"/>
  <c r="AA307" i="4" l="1"/>
  <c r="AA308" i="4"/>
  <c r="AA306" i="4"/>
  <c r="S271" i="4"/>
  <c r="S270" i="4" a="1"/>
  <c r="S270" i="4" s="1"/>
  <c r="Z282" i="4" l="1"/>
  <c r="Z283" i="4" s="1"/>
  <c r="S272" i="4" s="1"/>
  <c r="S234" i="4" l="1"/>
  <c r="J18" i="4"/>
  <c r="G181" i="4"/>
  <c r="G191" i="4"/>
  <c r="G180" i="4"/>
  <c r="D165" i="4"/>
  <c r="D179" i="4" s="1"/>
  <c r="L50" i="4"/>
  <c r="L54" i="4"/>
  <c r="L64" i="4"/>
  <c r="D52" i="4"/>
  <c r="N62" i="4" l="1"/>
  <c r="P62" i="4" s="1"/>
  <c r="R62" i="4" s="1"/>
  <c r="D175" i="4" s="1"/>
  <c r="D189" i="4" s="1"/>
  <c r="P189" i="4" s="1"/>
  <c r="D279" i="4" s="1"/>
  <c r="N60" i="4"/>
  <c r="P60" i="4" s="1"/>
  <c r="R60" i="4" s="1"/>
  <c r="D173" i="4" s="1"/>
  <c r="D187" i="4" s="1"/>
  <c r="P187" i="4" s="1"/>
  <c r="D277" i="4" s="1"/>
  <c r="N59" i="4"/>
  <c r="P59" i="4" s="1"/>
  <c r="R59" i="4" s="1"/>
  <c r="D172" i="4" s="1"/>
  <c r="D186" i="4" s="1"/>
  <c r="P186" i="4" s="1"/>
  <c r="D276" i="4" s="1"/>
  <c r="N58" i="4"/>
  <c r="P58" i="4" s="1"/>
  <c r="R58" i="4" s="1"/>
  <c r="D171" i="4" s="1"/>
  <c r="D185" i="4" s="1"/>
  <c r="P185" i="4" s="1"/>
  <c r="D275" i="4" s="1"/>
  <c r="N63" i="4"/>
  <c r="P63" i="4" s="1"/>
  <c r="R63" i="4" s="1"/>
  <c r="D176" i="4" s="1"/>
  <c r="D190" i="4" s="1"/>
  <c r="P190" i="4" s="1"/>
  <c r="N61" i="4"/>
  <c r="P61" i="4" s="1"/>
  <c r="R61" i="4" s="1"/>
  <c r="D174" i="4" s="1"/>
  <c r="D188" i="4" s="1"/>
  <c r="P188" i="4" s="1"/>
  <c r="N57" i="4"/>
  <c r="P57" i="4" s="1"/>
  <c r="R57" i="4" s="1"/>
  <c r="D170" i="4" s="1"/>
  <c r="D184" i="4" s="1"/>
  <c r="P184" i="4" s="1"/>
  <c r="D274" i="4" s="1"/>
  <c r="N53" i="4"/>
  <c r="P53" i="4" s="1"/>
  <c r="N56" i="4"/>
  <c r="P56" i="4" s="1"/>
  <c r="R56" i="4" s="1"/>
  <c r="D169" i="4" s="1"/>
  <c r="D183" i="4" s="1"/>
  <c r="P183" i="4" s="1"/>
  <c r="N55" i="4"/>
  <c r="P55" i="4" s="1"/>
  <c r="R55" i="4" s="1"/>
  <c r="D168" i="4" s="1"/>
  <c r="D182" i="4" s="1"/>
  <c r="P182" i="4" s="1"/>
  <c r="N64" i="4"/>
  <c r="P64" i="4" s="1"/>
  <c r="N54" i="4"/>
  <c r="P54" i="4" s="1"/>
  <c r="D273" i="4" l="1"/>
  <c r="D237" i="4"/>
  <c r="D272" i="4"/>
  <c r="D236" i="4"/>
  <c r="D205" i="4"/>
  <c r="D238" i="4"/>
  <c r="D207" i="4"/>
  <c r="D240" i="4"/>
  <c r="D206" i="4"/>
  <c r="D239" i="4"/>
  <c r="D208" i="4"/>
  <c r="D241" i="4"/>
  <c r="D209" i="4"/>
  <c r="D210" i="4"/>
  <c r="D243" i="4"/>
  <c r="D203" i="4"/>
  <c r="D204" i="4"/>
  <c r="M180" i="4"/>
  <c r="M181" i="4"/>
  <c r="M191" i="4"/>
  <c r="P19" i="4" l="1"/>
  <c r="P29" i="4"/>
  <c r="R29" i="4" l="1"/>
  <c r="D64" i="4" s="1"/>
  <c r="R64" i="4" s="1"/>
  <c r="D177" i="4" s="1"/>
  <c r="D191" i="4" s="1"/>
  <c r="P191" i="4" s="1"/>
  <c r="D245" i="4" s="1"/>
  <c r="R19" i="4"/>
  <c r="D54" i="4" s="1"/>
  <c r="R54" i="4" s="1"/>
  <c r="D167" i="4" s="1"/>
  <c r="D181" i="4" s="1"/>
  <c r="P181" i="4" s="1"/>
  <c r="R18" i="4"/>
  <c r="D212" i="4" l="1"/>
  <c r="D271" i="4"/>
  <c r="D235" i="4"/>
  <c r="D281" i="4"/>
  <c r="D202" i="4"/>
  <c r="D53" i="4"/>
  <c r="R53" i="4" s="1"/>
  <c r="D166" i="4" s="1"/>
  <c r="D180" i="4" s="1"/>
  <c r="P180" i="4" s="1"/>
  <c r="R32" i="4"/>
  <c r="R31" i="4"/>
  <c r="D270" i="4" l="1"/>
  <c r="D234" i="4"/>
  <c r="R236" i="4" s="1"/>
  <c r="D201" i="4"/>
  <c r="R66" i="4"/>
  <c r="R67" i="4"/>
  <c r="R193" i="4"/>
  <c r="R194" i="4"/>
  <c r="R33" i="4"/>
  <c r="R206" i="4" l="1"/>
  <c r="R205" i="4"/>
  <c r="R202" i="4"/>
  <c r="R211" i="4"/>
  <c r="M306" i="4" s="1"/>
  <c r="AC306" i="4" s="1"/>
  <c r="R242" i="4"/>
  <c r="R241" i="4"/>
  <c r="R237" i="4"/>
  <c r="M307" i="4" s="1"/>
  <c r="AC307" i="4" s="1"/>
  <c r="R280" i="4"/>
  <c r="R279" i="4"/>
  <c r="R274" i="4"/>
  <c r="R275" i="4"/>
  <c r="R68" i="4"/>
  <c r="R195" i="4"/>
  <c r="AA296" i="4" l="1"/>
  <c r="AA298" i="4"/>
  <c r="AA292" i="4"/>
  <c r="AA294" i="4"/>
  <c r="AA293" i="4"/>
  <c r="AA297" i="4"/>
  <c r="AA295" i="4"/>
  <c r="AA259" i="4"/>
  <c r="AA253" i="4"/>
  <c r="AA257" i="4"/>
  <c r="AA255" i="4"/>
  <c r="AA254" i="4"/>
  <c r="AA258" i="4"/>
  <c r="AA256" i="4"/>
  <c r="AA216" i="4"/>
  <c r="AA220" i="4"/>
  <c r="AA217" i="4"/>
  <c r="AA214" i="4"/>
  <c r="AA218" i="4"/>
  <c r="AA215" i="4"/>
  <c r="AA219" i="4"/>
  <c r="AA290" i="4"/>
  <c r="AA291" i="4"/>
  <c r="AA251" i="4"/>
  <c r="AA252" i="4"/>
  <c r="AA212" i="4"/>
  <c r="AA213" i="4"/>
  <c r="AA211" i="4"/>
  <c r="AA209" i="4"/>
  <c r="AA250" i="4"/>
  <c r="AA249" i="4"/>
  <c r="AA248" i="4"/>
  <c r="AA210" i="4"/>
  <c r="R247" i="4"/>
  <c r="I307" i="4"/>
  <c r="AB307" i="4" s="1"/>
  <c r="I306" i="4"/>
  <c r="AB306" i="4" s="1"/>
  <c r="R248" i="4"/>
  <c r="Q307" i="4" s="1"/>
  <c r="Z307" i="4" s="1"/>
  <c r="R239" i="4"/>
  <c r="R240" i="4"/>
  <c r="R204" i="4"/>
  <c r="R203" i="4"/>
  <c r="R212" i="4"/>
  <c r="Q306" i="4" s="1"/>
  <c r="Z253" i="4" l="1"/>
  <c r="Z257" i="4"/>
  <c r="Z259" i="4"/>
  <c r="Z254" i="4"/>
  <c r="Z258" i="4"/>
  <c r="Z255" i="4"/>
  <c r="Z256" i="4"/>
  <c r="Y259" i="4"/>
  <c r="Y256" i="4"/>
  <c r="Y254" i="4"/>
  <c r="Y258" i="4"/>
  <c r="Y255" i="4"/>
  <c r="Y253" i="4"/>
  <c r="Y257" i="4"/>
  <c r="Y214" i="4"/>
  <c r="Y218" i="4"/>
  <c r="Y217" i="4"/>
  <c r="Y216" i="4"/>
  <c r="Y215" i="4"/>
  <c r="Y219" i="4"/>
  <c r="Y220" i="4"/>
  <c r="Z214" i="4"/>
  <c r="Z218" i="4"/>
  <c r="Z216" i="4"/>
  <c r="Z215" i="4"/>
  <c r="Z219" i="4"/>
  <c r="Z220" i="4"/>
  <c r="Z217" i="4"/>
  <c r="Y251" i="4"/>
  <c r="Y252" i="4"/>
  <c r="Z251" i="4"/>
  <c r="Z252" i="4"/>
  <c r="Z212" i="4"/>
  <c r="Z213" i="4"/>
  <c r="Y213" i="4"/>
  <c r="Y212" i="4"/>
  <c r="Z209" i="4"/>
  <c r="Z210" i="4"/>
  <c r="Z211" i="4"/>
  <c r="Y211" i="4"/>
  <c r="Y210" i="4"/>
  <c r="Y209" i="4"/>
  <c r="Y248" i="4"/>
  <c r="Y249" i="4"/>
  <c r="Y250" i="4"/>
  <c r="Z249" i="4"/>
  <c r="Z250" i="4"/>
  <c r="Z248" i="4"/>
  <c r="AF234" i="4"/>
  <c r="AF235" i="4"/>
  <c r="R244" i="4" a="1"/>
  <c r="R244" i="4" s="1"/>
  <c r="R208" i="4" a="1"/>
  <c r="R208" i="4" s="1"/>
  <c r="Z306" i="4"/>
  <c r="P208" i="4" l="1"/>
  <c r="R209" i="4"/>
  <c r="R245" i="4"/>
  <c r="P244" i="4"/>
  <c r="AA288" i="4" l="1"/>
  <c r="AA287" i="4"/>
  <c r="AA289" i="4"/>
  <c r="I308" i="4"/>
  <c r="AB308" i="4" s="1"/>
  <c r="R278" i="4"/>
  <c r="R277" i="4"/>
  <c r="R286" i="4"/>
  <c r="Q308" i="4" s="1"/>
  <c r="R285" i="4"/>
  <c r="M308" i="4" s="1"/>
  <c r="AC308" i="4" s="1"/>
  <c r="Z294" i="4" l="1"/>
  <c r="Z292" i="4"/>
  <c r="Z296" i="4"/>
  <c r="Z297" i="4"/>
  <c r="Z293" i="4"/>
  <c r="Z295" i="4"/>
  <c r="Z298" i="4"/>
  <c r="Y292" i="4"/>
  <c r="Y296" i="4"/>
  <c r="Y297" i="4"/>
  <c r="Y294" i="4"/>
  <c r="Y295" i="4"/>
  <c r="Y298" i="4"/>
  <c r="Y293" i="4"/>
  <c r="Y290" i="4"/>
  <c r="Y291" i="4"/>
  <c r="Z290" i="4"/>
  <c r="Z291" i="4"/>
  <c r="Z289" i="4"/>
  <c r="Z287" i="4"/>
  <c r="Z288" i="4"/>
  <c r="Y288" i="4"/>
  <c r="Y289" i="4"/>
  <c r="Y287" i="4"/>
  <c r="Z308" i="4"/>
  <c r="I310" i="4"/>
  <c r="I313" i="4" s="1"/>
  <c r="G321" i="4" s="1"/>
  <c r="R282" i="4" a="1"/>
  <c r="R282" i="4" s="1"/>
  <c r="I312" i="4" l="1"/>
  <c r="G320" i="4" s="1"/>
  <c r="I311" i="4"/>
  <c r="P282" i="4"/>
  <c r="R283" i="4"/>
  <c r="O349" i="4" l="1"/>
  <c r="O350" i="4" s="1"/>
  <c r="O510" i="4" s="1"/>
  <c r="G330" i="4"/>
  <c r="G329" i="4"/>
  <c r="Q330" i="4"/>
  <c r="Z521" i="4" l="1"/>
  <c r="O513" i="4"/>
  <c r="O516" i="4" s="1"/>
  <c r="O538" i="4" s="1"/>
  <c r="O535" i="4" s="1"/>
  <c r="O536" i="4" s="1"/>
  <c r="U534" i="4" s="1"/>
  <c r="Z520" i="4"/>
  <c r="Q329" i="4"/>
  <c r="Q331" i="4" s="1"/>
  <c r="A333" i="4" s="1" a="1"/>
  <c r="A333" i="4"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<sst xmlns="http://schemas.openxmlformats.org/spreadsheetml/2006/main" count="792" uniqueCount="553">
  <si>
    <t>Topografia</t>
  </si>
  <si>
    <t>Pavimentação</t>
  </si>
  <si>
    <t>Metrô</t>
  </si>
  <si>
    <t>Situação:</t>
  </si>
  <si>
    <t>Formato:</t>
  </si>
  <si>
    <t>Testada:</t>
  </si>
  <si>
    <t>Fração ideal:</t>
  </si>
  <si>
    <t>Regular</t>
  </si>
  <si>
    <t>Ocupação:</t>
  </si>
  <si>
    <t>Playground</t>
  </si>
  <si>
    <t>Interfone</t>
  </si>
  <si>
    <t>Quadra</t>
  </si>
  <si>
    <t>Sauna</t>
  </si>
  <si>
    <t>Churrasqueira</t>
  </si>
  <si>
    <t>Fator de oferta aplicável</t>
  </si>
  <si>
    <t>Fator</t>
  </si>
  <si>
    <t>Negociação concluída</t>
  </si>
  <si>
    <t>Item</t>
  </si>
  <si>
    <t>Área</t>
  </si>
  <si>
    <t>Valor unitário
(R$/m²)</t>
  </si>
  <si>
    <t>VALOR UNITÁRIO E AJUSTE PRÉVIO AO FATOR DE OFERTA</t>
  </si>
  <si>
    <t>Fator aplicável</t>
  </si>
  <si>
    <t>Valor unitário ajustado</t>
  </si>
  <si>
    <t>Fator de homogeneização</t>
  </si>
  <si>
    <t>Fator de testada</t>
  </si>
  <si>
    <t>Fator de profundidade</t>
  </si>
  <si>
    <t>Fator de esquina</t>
  </si>
  <si>
    <t>Fator de topografia</t>
  </si>
  <si>
    <t>Fator de consistência do solo</t>
  </si>
  <si>
    <t>HOMOGENEIZAÇÃO</t>
  </si>
  <si>
    <t>Somatório</t>
  </si>
  <si>
    <t>Somatório do bem avaliando</t>
  </si>
  <si>
    <t>Valor unitário homogeneizado</t>
  </si>
  <si>
    <t>Bem avaliando</t>
  </si>
  <si>
    <t>Fatores</t>
  </si>
  <si>
    <t>Coeficiente de variação</t>
  </si>
  <si>
    <t>Média</t>
  </si>
  <si>
    <t>Desvio-padrão</t>
  </si>
  <si>
    <t>MELHORAMENTOS PÚBLICOS</t>
  </si>
  <si>
    <t>Coeficientes</t>
  </si>
  <si>
    <t>Melhoramentos públicos</t>
  </si>
  <si>
    <t>Comparação
(diferença)</t>
  </si>
  <si>
    <t>Valor homogeneizado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</si>
  <si>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</si>
  <si>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</si>
  <si>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</si>
  <si>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</si>
  <si>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</si>
  <si>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</si>
  <si>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</si>
  <si>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</si>
  <si>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</si>
  <si>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</si>
  <si>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</si>
  <si>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</si>
  <si>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</si>
  <si>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</si>
  <si>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</si>
  <si>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</si>
  <si>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</si>
  <si>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</si>
  <si>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</si>
  <si>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</si>
  <si>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</si>
  <si>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comercial</t>
  </si>
  <si>
    <t>condomínio/loteamento fechado</t>
  </si>
  <si>
    <t>isolada</t>
  </si>
  <si>
    <t>regular</t>
  </si>
  <si>
    <t>Bom</t>
  </si>
  <si>
    <t>INTERVALO DE CONFIANÇA, GRAU DE PRECISÃO, CAMPO DE ARBÍTRIO</t>
  </si>
  <si>
    <t>Intervalo de confiança</t>
  </si>
  <si>
    <t>Desvio-padrão a ser aplicado</t>
  </si>
  <si>
    <t>Amplitude</t>
  </si>
  <si>
    <t>Grau de precisao</t>
  </si>
  <si>
    <t>Área do terreno avaliando</t>
  </si>
  <si>
    <t>Valor unitário (R$/m²)</t>
  </si>
  <si>
    <t>Avaliação</t>
  </si>
  <si>
    <t>Arredondamento</t>
  </si>
  <si>
    <t>Casas decimais</t>
  </si>
  <si>
    <t>Valor (arredondamento)</t>
  </si>
  <si>
    <t>Percentual (arredondamento)</t>
  </si>
  <si>
    <t>Fontes:</t>
  </si>
  <si>
    <t>ABUNAHAM, S.A. Curso básico de engenharia legal e de avaliações. 4. ed. rev. e ampl. São Paulo: Pini, 2008, p. 50 e 329.</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</si>
  <si>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</si>
  <si>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</si>
  <si>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</si>
  <si>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</si>
  <si>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</si>
  <si>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</si>
  <si>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</si>
  <si>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</si>
  <si>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</si>
  <si>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</si>
  <si>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</si>
  <si>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t>Demonstração visual do conjunto de dados após a homogeneização.</t>
  </si>
  <si>
    <t>Demonstração do ajuste dos itens da amostra ao paradigma.</t>
  </si>
  <si>
    <t>Demonstração visual da situação da amostra antes da homogeneização.</t>
  </si>
  <si>
    <t>Avaliação do terreno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</si>
  <si>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</si>
  <si>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</si>
  <si>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</si>
  <si>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</si>
  <si>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</si>
  <si>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</si>
  <si>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t>ARLEY, Niels; BUCH, Kai Rander. Introducción a la teoría de la probabilidad y de la estadística. Tradução: Fernando Bombal Gordón. Madrid: Editorial Alhambra S.A., 1968.</t>
  </si>
  <si>
    <t>FIKER, José. Avaliação de imóveis urbanos. 4. ed. rev. e ampl. São Paulo: Pini, 1993.</t>
  </si>
  <si>
    <t>MEDEIROS JÚNIOR, J.R.; PELLEGRINO, José Carlos. Método do custo: o terceiro componente. In: Avaliações para garantias: Instituto Brasileiro de Avaliações e Perícias de Engenharia. São Paulo: Pini, 1983, p. 101-102.</t>
  </si>
  <si>
    <t>PELLEGRINO, José Carlos. Valor em marcha. In: Anais do I Congresso Brasileiro de Engenharia de Avaliações / [patrocínio do] Instituto Brasileiro de Avaliações e Perícias de Engenharia – IBAPE. São Paulo: Pini, 1978, p. 282.</t>
  </si>
  <si>
    <t>LAUDO DE VISTORIA DE IMÓVEL - ARTIGO 872 do CPC</t>
  </si>
  <si>
    <t>1 - Dados básicos do processo e do imóvel objeto da vistoria</t>
  </si>
  <si>
    <t>Processo:</t>
  </si>
  <si>
    <t>Requerente:</t>
  </si>
  <si>
    <t>Requerido:</t>
  </si>
  <si>
    <t>Cartório de Registro:</t>
  </si>
  <si>
    <t>Prefeitura da situação:</t>
  </si>
  <si>
    <t>Vistoria acompanhada por:</t>
  </si>
  <si>
    <t>Data da Vistoria:</t>
  </si>
  <si>
    <t>Hora de início da vistoria:</t>
  </si>
  <si>
    <t>2.1 - Localização e tipo de uso do imóvel</t>
  </si>
  <si>
    <t>Facilidade de acesso ao imóvel:</t>
  </si>
  <si>
    <t>Uso predominante de lotes na região:</t>
  </si>
  <si>
    <t>difícil</t>
  </si>
  <si>
    <t>bom</t>
  </si>
  <si>
    <t>residencial multifamiliar</t>
  </si>
  <si>
    <t>razoável</t>
  </si>
  <si>
    <t>ótimo</t>
  </si>
  <si>
    <t>residencial unifamiliar</t>
  </si>
  <si>
    <t>industrial</t>
  </si>
  <si>
    <t>Tipo de implantação:</t>
  </si>
  <si>
    <t>2.2 - Condições de infraestrutura urbana da localidade</t>
  </si>
  <si>
    <t>rede água potável</t>
  </si>
  <si>
    <t>rede elétrica</t>
  </si>
  <si>
    <t>telecomunicações</t>
  </si>
  <si>
    <t>iluminação pública (na via do lote)</t>
  </si>
  <si>
    <t>rede de água pluvial</t>
  </si>
  <si>
    <t>rede de esgoto</t>
  </si>
  <si>
    <t>pavimentação</t>
  </si>
  <si>
    <t>gás canalizado</t>
  </si>
  <si>
    <t>2.3 - Serviços e equipamentos comunitários da localidade</t>
  </si>
  <si>
    <t>comércio</t>
  </si>
  <si>
    <t>rede bancária</t>
  </si>
  <si>
    <t>saúde</t>
  </si>
  <si>
    <t>lazer</t>
  </si>
  <si>
    <t>transporte coletivo</t>
  </si>
  <si>
    <t>segurança pública</t>
  </si>
  <si>
    <t>coleta de lixo</t>
  </si>
  <si>
    <t>escolas</t>
  </si>
  <si>
    <t>2.4 - Dados do lote</t>
  </si>
  <si>
    <t>esquina</t>
  </si>
  <si>
    <t>meio de quadra</t>
  </si>
  <si>
    <t>final de via sem saída</t>
  </si>
  <si>
    <t>irregular</t>
  </si>
  <si>
    <t>plano</t>
  </si>
  <si>
    <t>Superfície:</t>
  </si>
  <si>
    <t>seco</t>
  </si>
  <si>
    <t>brejoso</t>
  </si>
  <si>
    <t>alagável</t>
  </si>
  <si>
    <t>outra:</t>
  </si>
  <si>
    <t>sim</t>
  </si>
  <si>
    <t>não</t>
  </si>
  <si>
    <t>abaixo</t>
  </si>
  <si>
    <t>mesmo nível</t>
  </si>
  <si>
    <t>acima</t>
  </si>
  <si>
    <t>2.5 - Localização e ocupação do imóvel</t>
  </si>
  <si>
    <t>Localização:</t>
  </si>
  <si>
    <t>ótima</t>
  </si>
  <si>
    <t>boa</t>
  </si>
  <si>
    <t>ruim</t>
  </si>
  <si>
    <t>ocupado</t>
  </si>
  <si>
    <t>desocupado</t>
  </si>
  <si>
    <t>locado</t>
  </si>
  <si>
    <t>arrendado</t>
  </si>
  <si>
    <t>cedido</t>
  </si>
  <si>
    <t>comodato</t>
  </si>
  <si>
    <t>invadido</t>
  </si>
  <si>
    <t>2.6 - Condições sanitárias</t>
  </si>
  <si>
    <t>Abastecimento de água:</t>
  </si>
  <si>
    <t>não possui</t>
  </si>
  <si>
    <t>poço</t>
  </si>
  <si>
    <t>rede de água potável</t>
  </si>
  <si>
    <t>Solução sanitária:</t>
  </si>
  <si>
    <t>fossa séptica e sumidouro</t>
  </si>
  <si>
    <t>2.7 - Equipamentos diversos</t>
  </si>
  <si>
    <t>muros</t>
  </si>
  <si>
    <t>alarmes</t>
  </si>
  <si>
    <t>cerca elétrica</t>
  </si>
  <si>
    <t>câmeras</t>
  </si>
  <si>
    <t>interfone</t>
  </si>
  <si>
    <t>portão manual</t>
  </si>
  <si>
    <t>portão eletrônico</t>
  </si>
  <si>
    <t>Averbadas</t>
  </si>
  <si>
    <t>Não averbadas (passíveis de averbação)</t>
  </si>
  <si>
    <t>Privativa total:</t>
  </si>
  <si>
    <t>Comuns:</t>
  </si>
  <si>
    <t>Total:</t>
  </si>
  <si>
    <t>Ruim</t>
  </si>
  <si>
    <t>CFTV</t>
  </si>
  <si>
    <t>2.10 - Informações relativas ao condomínio, se o caso</t>
  </si>
  <si>
    <t>Estado de conservação:</t>
  </si>
  <si>
    <t>Em implantação</t>
  </si>
  <si>
    <t>Serviços e equipamentos do condomínio</t>
  </si>
  <si>
    <t>Portaria 24hs</t>
  </si>
  <si>
    <t>Hidrômetro Individual</t>
  </si>
  <si>
    <t>Portão eletrônico</t>
  </si>
  <si>
    <t>Poço artesiano</t>
  </si>
  <si>
    <t>Cerca elétrica</t>
  </si>
  <si>
    <t>outro:</t>
  </si>
  <si>
    <t>Nenhum</t>
  </si>
  <si>
    <t>Vista para o mar</t>
  </si>
  <si>
    <t>Vista para parques, áreas verdes, paisagens</t>
  </si>
  <si>
    <t>Vista permanente</t>
  </si>
  <si>
    <t>Outros:</t>
  </si>
  <si>
    <t>Rede de alta tensão</t>
  </si>
  <si>
    <t>Feira livre</t>
  </si>
  <si>
    <t>Córrego</t>
  </si>
  <si>
    <t>Presídio</t>
  </si>
  <si>
    <t>Favela</t>
  </si>
  <si>
    <t>A) As informações apresentadas na documentação correspondem às verificadas na vistoria?</t>
  </si>
  <si>
    <t>SIM</t>
  </si>
  <si>
    <t>NÃO</t>
  </si>
  <si>
    <t>B) O imóvel aparenta condições de estabilidade e solidez?</t>
  </si>
  <si>
    <t>C) O imóvel apresenta vícios de construção aparentes?</t>
  </si>
  <si>
    <t xml:space="preserve">D) O imóvel aparenta condições de habitabilidade? </t>
  </si>
  <si>
    <t xml:space="preserve">E) O imóvel é afetado significativamente por fatores ambientais, climáticos, localização, etc.? </t>
  </si>
  <si>
    <t>E) Informações adicionais relevantes:</t>
  </si>
  <si>
    <t>Hora de término da vistoria:</t>
  </si>
  <si>
    <t>TRIBUNAL DE JUSTIÇA DO ESTADO DO MARANHÃO</t>
  </si>
  <si>
    <t>VARA</t>
  </si>
  <si>
    <t>2.8 - Áreas do imóvel - lote ou gleba</t>
  </si>
  <si>
    <t>ÁREA TOTAL DO LOTE/GLEBA:</t>
  </si>
  <si>
    <t>2.10 - Valorizantes</t>
  </si>
  <si>
    <t>2 - Dados obtidos durante a vistoria e análise de documentos do imóvel</t>
  </si>
  <si>
    <t>misto: residência e comercial/industrial</t>
  </si>
  <si>
    <t>Oficial de Justiça:</t>
  </si>
  <si>
    <t>Endereço do imóvel:</t>
  </si>
  <si>
    <t>Matrícula do imóvel:</t>
  </si>
  <si>
    <t>Número do cadastro municipal:</t>
  </si>
  <si>
    <t>Área do  lote (m²):</t>
  </si>
  <si>
    <t>Número de frentes:</t>
  </si>
  <si>
    <t>aclive maior que 10%</t>
  </si>
  <si>
    <t>declive maiore que10%</t>
  </si>
  <si>
    <t>Nível em relação à via:</t>
  </si>
  <si>
    <t>2.11 - Depreciantes</t>
  </si>
  <si>
    <t>2.12 - Informações complementares</t>
  </si>
  <si>
    <t>Assinatura do Oficial de Justiça:</t>
  </si>
  <si>
    <t>ASSINADO DIGITALMENTE</t>
  </si>
  <si>
    <t>O intervalo de confiança é o intervalo de valores dentro do qual está contido o parâmetro populacional com determinada confiança (item 3.40 da NBR 14653-2:2011. Avaliação de bens. Parte 2: Imóveis urbanos). Os limites da amplitude do intervalo de confiança são aqueles previstos no item 9.2.3, tabela 5 da NBR 14653-2:2011.</t>
  </si>
  <si>
    <t>Situação no mercado</t>
  </si>
  <si>
    <t>Dados efetivamente utilizados</t>
  </si>
  <si>
    <t>AMOSTRA. CONJUNTO DE DADOS COLETADOS NO MERCADO.</t>
  </si>
  <si>
    <t>AVALIAÇÃO DE TERRENO PELO MÉTODO COMPARATIVO DIRETO DE DADOS DE MERCADO</t>
  </si>
  <si>
    <t>INFORMAR O NÚMERO DE DADOS QUE FORAM EFETIVAMENTE UTILIZADOS</t>
  </si>
  <si>
    <t>O grau de precisão calculado foi superio a 50% (cinquenta por cento). Não há classificação do resultado quanto à precisão, sendo necessário apresentar justificativa com base no diagnóstico do mercado (Nota feita à tabela 5 do item 9.2.3 da NBR 14653-2:2011 (Avaliação de bens. Parte 2: Imóveis urbanos).</t>
  </si>
  <si>
    <t>Na ausência de alguns dos melhoramentos assinalados, o valor unitário básico deverá ser reduzido multiplicando-se este valor pela recíproca da unidade somada às porcentagens correspondentes aos melhoramentos não existentes (Canteiro, 1980, p. 116).</t>
  </si>
  <si>
    <t>Laudo de vistoria criado pelo Prof. Vagner Sebastião Sperone, Oficial de Justiça do Tribunal de Justiça do Estado de São Paulo.</t>
  </si>
  <si>
    <t>Quantidade de dados de mercado, efetivamente utilizados</t>
  </si>
  <si>
    <t>Tabela 3 - Grau de fundamentação no caso de utilização do tratamento por fatores (NBR 14653-2:2011. Avaliação de bens. Parte 2: Imóveis urbanos)</t>
  </si>
  <si>
    <t>Fator correspondente ao somatório de coeficientes acima:</t>
  </si>
  <si>
    <r>
      <t>COEFICIENTE DA VANTAGEM DA COISA FEITA (</t>
    </r>
    <r>
      <rPr>
        <b/>
        <i/>
        <sz val="10"/>
        <rFont val="Arial Nova"/>
        <family val="2"/>
      </rPr>
      <t xml:space="preserve"> k</t>
    </r>
    <r>
      <rPr>
        <b/>
        <i/>
        <vertAlign val="subscript"/>
        <sz val="10"/>
        <rFont val="Arial Nova"/>
        <family val="2"/>
      </rPr>
      <t>cf</t>
    </r>
    <r>
      <rPr>
        <b/>
        <sz val="10"/>
        <rFont val="Arial Nova"/>
        <family val="2"/>
      </rPr>
      <t xml:space="preserve"> )</t>
    </r>
  </si>
  <si>
    <t>A justificativa para a aplicação do fator da vantagem da coisa feita é a constatação no mercado de que o interessado está disposto a pagar mais por aquilo que já está pronto para ser desfrutado (uso ou fonte de renda) de imediato do que por aquilo que somente poderá ser desfrutado no futuro.</t>
  </si>
  <si>
    <t>Os coeficientes de vantagem da coisa feita variam em função do tipo e da idade da construção.</t>
  </si>
  <si>
    <t>Tipo de construção</t>
  </si>
  <si>
    <t>Novo</t>
  </si>
  <si>
    <t>De 0 a 10 anos</t>
  </si>
  <si>
    <t>De 10 a 20 anos</t>
  </si>
  <si>
    <t>De 20 a 30 anos</t>
  </si>
  <si>
    <t>Grande estrutura</t>
  </si>
  <si>
    <t>Pequena estrutura e residencial de luxo</t>
  </si>
  <si>
    <t>Industrial e residencial médio</t>
  </si>
  <si>
    <t>IDADE</t>
  </si>
  <si>
    <t>Residencial modesto e proletárias</t>
  </si>
  <si>
    <t>VARIAÇÃO DOS COEFICIENTES DA VANTAGEM DA COISA FEITA</t>
  </si>
  <si>
    <t>Os coeficientes de redução pela idade não se aplicam a zonas comerciais altamente valorizadas.</t>
  </si>
  <si>
    <t>Na tabela abaixo a idade do imóvel está em anos; não se trata de percentual da vida útil do imóvel.</t>
  </si>
  <si>
    <t>Observação:</t>
  </si>
  <si>
    <t>foram calculados os valores dos intervalos de cada faixa de tal forma que a cada ano correspondesse um coeficiente específico</t>
  </si>
  <si>
    <r>
      <t xml:space="preserve">A </t>
    </r>
    <r>
      <rPr>
        <b/>
        <sz val="10"/>
        <rFont val="Arial Nova"/>
        <family val="2"/>
      </rPr>
      <t>vantagem da coisa feita</t>
    </r>
    <r>
      <rPr>
        <sz val="10"/>
        <rFont val="Arial Nova"/>
        <family val="2"/>
      </rPr>
      <t xml:space="preserve"> é o acréscimo do valor que tem um determinado imóvel pela sua vantagem de estar construído e pronto para ser utilizado, em relação a outro semelhante, mas ainda por construir. Portanto, deverm ser aplicados os percentuais de incremento segundo o Eng. Joaquim da Rocha Medeiros Jr, citado por Sérgio Antônio Abunaham (ABUNAHAM, Sérgio Antônio. Curso básico de engenharia legal e de avaliações. 4. ed. rev. e ampl. São Paulo: Pini, 2008, p. 50).</t>
    </r>
  </si>
  <si>
    <t>TABELA DE VIDA REFERENCIAL E VALOR RESIDUAL</t>
  </si>
  <si>
    <t>CLASSE</t>
  </si>
  <si>
    <t>TIPO</t>
  </si>
  <si>
    <t>PADRÃO</t>
  </si>
  <si>
    <t>VALOR REFERENCIAL</t>
  </si>
  <si>
    <t>VALOR RESIDUAL</t>
  </si>
  <si>
    <t>ANOS</t>
  </si>
  <si>
    <t>RESIDENCIAL</t>
  </si>
  <si>
    <t>BARRACO</t>
  </si>
  <si>
    <t>RÚSTICO</t>
  </si>
  <si>
    <t>SIMPLES</t>
  </si>
  <si>
    <t>CASA</t>
  </si>
  <si>
    <t>PROLETÁRIO</t>
  </si>
  <si>
    <t>ECONÔMICO</t>
  </si>
  <si>
    <t>MÉDIO</t>
  </si>
  <si>
    <t>SUPERIOR</t>
  </si>
  <si>
    <t>FINO</t>
  </si>
  <si>
    <t>LUXO</t>
  </si>
  <si>
    <t>APARTAMENTO</t>
  </si>
  <si>
    <t>COMERCIAL</t>
  </si>
  <si>
    <t>ESCRITÓRIO</t>
  </si>
  <si>
    <t>GALPÕES</t>
  </si>
  <si>
    <t>COBERTURAS</t>
  </si>
  <si>
    <t>FIKER, J. Manual de avaliações e perícias em imóveis urbanos. 4. ed. São Paulo: Pini, 2016, p. 84.</t>
  </si>
  <si>
    <t>NASSER JUNIOR, R. Avaliação de bens: princípios básicos e aplicações. 2. ed. rev. e atualizada. São Paulo: LEUD, 2013, p. 107.</t>
  </si>
  <si>
    <t>Classificação dos estados de conservação e respectivos valores relativos da escala Heidecke</t>
  </si>
  <si>
    <t>Classe</t>
  </si>
  <si>
    <t>Referência</t>
  </si>
  <si>
    <t>Valor relativo</t>
  </si>
  <si>
    <t>Características</t>
  </si>
  <si>
    <t>A</t>
  </si>
  <si>
    <t>Edificação nova ou com reforma geral e substancial, com menos de dois anos, que apresente apenas sinais de desgaste natural da pintura externa.</t>
  </si>
  <si>
    <t>B</t>
  </si>
  <si>
    <t>Entre novo e regular</t>
  </si>
  <si>
    <t>Edificação nova ou com reforma geral e substancial, com menos de dois anos, que apresente necessidade apenas de uma demão leve de pintura para recompor a sua aparência</t>
  </si>
  <si>
    <t>C</t>
  </si>
  <si>
    <t>Edificação seminova ou com reforma geral e substancial entre 2 e 5 anos, cujo estado geral possa ser recuperado apenas com reparos de eventuais fissuras superficiais localizadas e/ou pintura externa e interna.</t>
  </si>
  <si>
    <t>D</t>
  </si>
  <si>
    <t>Entre regular e reparos simples</t>
  </si>
  <si>
    <t>Edificação seminova ou com reforma geral e substancial entre 2 e 5 anos, cujo estado geral possa ser recuperado com reparo de fissuras e trincas localizadas e superficiais e pintura interna e externa.</t>
  </si>
  <si>
    <t>E</t>
  </si>
  <si>
    <t>Reparos simples</t>
  </si>
  <si>
    <t>Edificação cujo estado geral possa ser recuperado com pintura interna e externa, após reparos de fissuras e trincas superficiais generalizadas, sem recuperação do sistema estrutural. Eventual, revisão do sistema hidráulico e elétrico.</t>
  </si>
  <si>
    <t>F</t>
  </si>
  <si>
    <t>Entre reparos simples e importantes</t>
  </si>
  <si>
    <t>Edificação cujo estado geral possa ser recuperado com pintura interna e externa, após reparos de fissuras e trincas, e com estabilização e/ou recuperação localizada do sistema estrutural; as instalações hidráulicas e elétricas possam ser restauradas mediante a revisão e com substituição eventual de algumas peças desgastadas naturalmente. Eventualmente possa ser necessária a substituição de revestimentos de pisos e paredes, de um ou de outro cômodo. Revisão da impermeabilização ou substituição de telhas da cobertura.</t>
  </si>
  <si>
    <t>G</t>
  </si>
  <si>
    <t>Reparos importantes</t>
  </si>
  <si>
    <t>Edificação cujo estado geral possa ser recuperado com pintura interna e externa, com substituição de panos de regularização da alvenaria, reparos de fissuras e trincas, com estabilização e/ou recuperação de grande parte do sistema estrutural. As instalações hidráulicas e elétricas possam ser restauradas mediante a substituição das peças aparentes. A substituição dos revestimentos de pisos e paredes, da maioria dos cômodos, se faz necessária. Substituição ou reparos importantes na impermeabilização ou no telhado.</t>
  </si>
  <si>
    <t>H</t>
  </si>
  <si>
    <t>Entre reparos importantes e sem valor</t>
  </si>
  <si>
    <t>Edificação cujo estado geral seja recuperado com estabilização e/ou recuperação do sistema estrutural, substituição da regularização da alvenaria, reparos de fissuras e trincas. Substituição das instalações hidráulicas e elétricas. Substituição dos revestimentos de pisos e paredes. Substituição da impermeabilização ou do telhado.</t>
  </si>
  <si>
    <t>Sem valor</t>
  </si>
  <si>
    <t>Edificação em estado de ruína</t>
  </si>
  <si>
    <t>FIKER, J. Avaliação de imóveis urbanos. 4. ed. rev. e ampl. São Paulo: Pini, 1993, p. 82.</t>
  </si>
  <si>
    <t>______, J. Manual de avaliações e perícias em imóveis urbanos. 4 ed. São Paulo: Pini, 2005, p. 86.</t>
  </si>
  <si>
    <t>MOREIRA, A.L. Princípios de engenharia de avaliações  5. ed. rev. e ampl. São Paulo: Pini, 2001, p. 232.</t>
  </si>
  <si>
    <t>Para o último estado de conservação (edificação em estado de ruína), a depreciação será total, independentemente do tempo de vida útil do imóvel, pois nesse caso a edificação individualmente considerada já não possui valor algum e a avaliação será feita sobre eventual valor dos escombros, se houver, ou sobre o valor residual aplicável.</t>
  </si>
  <si>
    <t>CÁLCULO DA DEPRECIAÇÃO DAS EDIFICAÇÕES PELO MÉTODO ROSS-HEIDECKE</t>
  </si>
  <si>
    <r>
      <t xml:space="preserve">Embora os coeficientes de depreciação sejam os mesmos, os estados de conservação podem ser classificados de três formas diferentes:
1. </t>
    </r>
    <r>
      <rPr>
        <b/>
        <sz val="10"/>
        <rFont val="Arial Nova"/>
        <family val="2"/>
      </rPr>
      <t>pelas letras (classificação mais comum)</t>
    </r>
    <r>
      <rPr>
        <sz val="10"/>
        <color theme="1"/>
        <rFont val="Arial Nova"/>
        <family val="2"/>
      </rPr>
      <t xml:space="preserve">: A, B, C, D, E, F, G, H, e I.
2. </t>
    </r>
    <r>
      <rPr>
        <b/>
        <sz val="10"/>
        <rFont val="Arial Nova"/>
        <family val="2"/>
      </rPr>
      <t>por números</t>
    </r>
    <r>
      <rPr>
        <sz val="10"/>
        <color theme="1"/>
        <rFont val="Arial Nova"/>
        <family val="2"/>
      </rPr>
      <t xml:space="preserve">: 1; 1,5; 2; 2,5; 3; 3,5; 4; 4,5, e 5.
3. </t>
    </r>
    <r>
      <rPr>
        <b/>
        <sz val="10"/>
        <rFont val="Arial Nova"/>
        <family val="2"/>
      </rPr>
      <t>pela situação das edificações</t>
    </r>
    <r>
      <rPr>
        <sz val="10"/>
        <color theme="1"/>
        <rFont val="Arial Nova"/>
        <family val="2"/>
      </rPr>
      <t xml:space="preserve">: ótimo, muito bom, bom, intermédio, regular, deficiente, mau, muito mau, e demolição.
</t>
    </r>
    <r>
      <rPr>
        <b/>
        <sz val="10"/>
        <rFont val="Arial Nova"/>
        <family val="2"/>
      </rPr>
      <t>4. pelos códigos</t>
    </r>
    <r>
      <rPr>
        <sz val="10"/>
        <color theme="1"/>
        <rFont val="Arial Nova"/>
        <family val="2"/>
      </rPr>
      <t>: O, MB, B, I, R, D, M, MM, e DM.</t>
    </r>
  </si>
  <si>
    <t>CORRESPONDÊNCIA ENTRE OS COEFICIENTES DE DEPRECIAÇÃO E OS TRÊS MODOS MAIS COMUNS DE CLASSIFICAR AS EDIFICAÇÕES DE ACORDO COM SEU ESTADO DE CONSERVAÇÃO</t>
  </si>
  <si>
    <t>COEFICIENTES DE DEPRECIAÇÃO HEIDECKE</t>
  </si>
  <si>
    <t>CLASSIFICAÇÃO
HEIDECKE</t>
  </si>
  <si>
    <t>CLASSIFICAÇÃO POR NÚMEROS</t>
  </si>
  <si>
    <t>CLASSIFICAÇÃO PELA SITUAÇÃO DAS EDIFICAÇÕES</t>
  </si>
  <si>
    <t>DESCRIÇÃO</t>
  </si>
  <si>
    <t>CÓDIGO</t>
  </si>
  <si>
    <t>Ótimo</t>
  </si>
  <si>
    <t>O</t>
  </si>
  <si>
    <t>Muito bom</t>
  </si>
  <si>
    <t>MB</t>
  </si>
  <si>
    <t>Intermédio</t>
  </si>
  <si>
    <t>R</t>
  </si>
  <si>
    <t>Deficiente</t>
  </si>
  <si>
    <t>Mau</t>
  </si>
  <si>
    <t>M</t>
  </si>
  <si>
    <t>Muito mau</t>
  </si>
  <si>
    <t>MM</t>
  </si>
  <si>
    <t>Demolição</t>
  </si>
  <si>
    <t>DM</t>
  </si>
  <si>
    <t>IDADE EM % DA VIDA ÚTIL</t>
  </si>
  <si>
    <t>ESTADO DE CONSERVAÇÃO</t>
  </si>
  <si>
    <r>
      <t xml:space="preserve">Valores relativos (perda de valor) calculados de acordo com o método Ross-Heidecke ( </t>
    </r>
    <r>
      <rPr>
        <i/>
        <sz val="10"/>
        <rFont val="Arial Nova"/>
        <family val="2"/>
      </rPr>
      <t>k</t>
    </r>
    <r>
      <rPr>
        <i/>
        <vertAlign val="subscript"/>
        <sz val="10"/>
        <rFont val="Arial Nova"/>
        <family val="2"/>
      </rPr>
      <t>d</t>
    </r>
    <r>
      <rPr>
        <vertAlign val="subscript"/>
        <sz val="10"/>
        <rFont val="Arial Nova"/>
        <family val="2"/>
      </rPr>
      <t xml:space="preserve"> </t>
    </r>
    <r>
      <rPr>
        <sz val="10"/>
        <color theme="1"/>
        <rFont val="Arial Nova"/>
        <family val="2"/>
      </rPr>
      <t>)</t>
    </r>
  </si>
  <si>
    <t>Classificação do estado de conservação de acordo com a tabela de Heidecke</t>
  </si>
  <si>
    <t>Esses valores foram calculados com o uso da seguinte fórmula:</t>
  </si>
  <si>
    <t>Coeficientes de depreciação (perda de valor) percentuais negativos</t>
  </si>
  <si>
    <t>Os resultados da equação foram convertidos para percentuais negativos, haja vista que a depreciação causa uma desvalorização do bem.
Essa conversão foi feita com o auxílio da seguinte equação:</t>
  </si>
  <si>
    <r>
      <t xml:space="preserve">Fatores diretos de depreciação calculados de acordo com o método Ross-Heidecke ( </t>
    </r>
    <r>
      <rPr>
        <i/>
        <sz val="10"/>
        <rFont val="Arial Nova"/>
        <family val="2"/>
      </rPr>
      <t>f</t>
    </r>
    <r>
      <rPr>
        <i/>
        <vertAlign val="subscript"/>
        <sz val="10"/>
        <rFont val="Arial Nova"/>
        <family val="2"/>
      </rPr>
      <t>d</t>
    </r>
    <r>
      <rPr>
        <i/>
        <sz val="10"/>
        <rFont val="Arial Nova"/>
        <family val="2"/>
      </rPr>
      <t xml:space="preserve"> = 1 + k</t>
    </r>
    <r>
      <rPr>
        <i/>
        <vertAlign val="subscript"/>
        <sz val="10"/>
        <rFont val="Arial Nova"/>
        <family val="2"/>
      </rPr>
      <t>d</t>
    </r>
    <r>
      <rPr>
        <sz val="10"/>
        <color theme="1"/>
        <rFont val="Arial Nova"/>
        <family val="2"/>
      </rPr>
      <t xml:space="preserve"> )</t>
    </r>
  </si>
  <si>
    <t>E, por fim, os coeficiente foram convertidos para fatores multiplicadores, providência essa que simplifica e torna mais prático o cálculo da depreciação. Essa conversão foi feita com o auxílio da seguinte equação:</t>
  </si>
  <si>
    <r>
      <t>ASSOCIAÇÃO BRASILEIRA DE NORMAS TÉCNICAS. </t>
    </r>
    <r>
      <rPr>
        <sz val="10"/>
        <color rgb="FF000000"/>
        <rFont val="Arial Nova"/>
        <family val="2"/>
      </rPr>
      <t>NBR 14653-1:2019. Avaliação bens. Parte 1: Procedimentos gerais.</t>
    </r>
  </si>
  <si>
    <r>
      <t>______. NBR 14653-2:2011. </t>
    </r>
    <r>
      <rPr>
        <sz val="10"/>
        <color rgb="FF000000"/>
        <rFont val="Arial Nova"/>
        <family val="2"/>
      </rPr>
      <t>Avaliação bens. Parte 2: Imóveis urbanos.</t>
    </r>
  </si>
  <si>
    <r>
      <t>BERRINI, Luiz Carlos. </t>
    </r>
    <r>
      <rPr>
        <sz val="10"/>
        <color rgb="FF000000"/>
        <rFont val="Arial Nova"/>
        <family val="2"/>
      </rPr>
      <t>Avaliações de imóveis. 4. ed. revista e atualizada por Luiz Carlos Berrini Júnior. Rio de Janeiro: Livraria Freitas Bastos S.A., 1960.</t>
    </r>
  </si>
  <si>
    <r>
      <t>CANTEIRO, João Ruy. </t>
    </r>
    <r>
      <rPr>
        <sz val="10"/>
        <color rgb="FF000000"/>
        <rFont val="Arial Nova"/>
        <family val="2"/>
      </rPr>
      <t>Construções: seus custos de reprodução na capital de São Paulo de 1939 a 1979; Terrenos: subsídios à técnica de avaliação. 3. ed. São Paulo: Pini, 1980.</t>
    </r>
  </si>
  <si>
    <r>
      <t>DANTAS, Rubens Alves. </t>
    </r>
    <r>
      <rPr>
        <sz val="10"/>
        <color rgb="FF000000"/>
        <rFont val="Arial Nova"/>
        <family val="2"/>
      </rPr>
      <t>Engenharia de avaliações: uma introdução à metodologia científica. São Paulo: Pini, 1998.</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</si>
  <si>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2005. 4. ed. São Paulo: Pini, 2016.</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</si>
  <si>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2011. 5. ed. São Paulo: Oficina de Textos, 2019.</t>
    </r>
  </si>
  <si>
    <r>
      <t>MEDEIROS JÚNIOR, Joaquim da Rocha. </t>
    </r>
    <r>
      <rPr>
        <sz val="10"/>
        <color rgb="FF000000"/>
        <rFont val="Arial Nova"/>
        <family val="2"/>
      </rPr>
      <t>Vantagem da coisa feita na avaliação de imóveis pelo método do custo. In: Engenharia de avaliações. Instituto Brasileiro de Avaliações e Perícias de Engenharia – IBAPE. São Paulo: Pini, 1974.</t>
    </r>
  </si>
  <si>
    <r>
      <t>NASSER JÚNIOR, Radegaz. </t>
    </r>
    <r>
      <rPr>
        <sz val="10"/>
        <color rgb="FF000000"/>
        <rFont val="Arial Nova"/>
        <family val="2"/>
      </rPr>
      <t>Avaliação de bens: princípios e aplicações. 2. ed revista e atualizada [recurso eletrônico]. São Paulo: Liv. e Ed. Universitária de Direito, 2013.</t>
    </r>
  </si>
  <si>
    <r>
      <t>______. </t>
    </r>
    <r>
      <rPr>
        <sz val="10"/>
        <color rgb="FF000000"/>
        <rFont val="Arial Nova"/>
        <family val="2"/>
      </rPr>
      <t>Avaliação de bens: princípios básicos e aplicações. 3. ed. São Paulo: Editora Leud, 2019.</t>
    </r>
  </si>
  <si>
    <r>
      <t>THOFEHRN, Ragnar. </t>
    </r>
    <r>
      <rPr>
        <sz val="10"/>
        <color rgb="FF000000"/>
        <rFont val="Arial Nova"/>
        <family val="2"/>
      </rPr>
      <t>Avaliação de terrenos urbanos: por fórmulas matemáticas. São Paulo: Pini, 2008.</t>
    </r>
  </si>
  <si>
    <r>
      <t>VEGNI-NERI, Guilherme Bomfim dei. </t>
    </r>
    <r>
      <rPr>
        <sz val="10"/>
        <color rgb="FF000000"/>
        <rFont val="Arial Nova"/>
        <family val="2"/>
      </rPr>
      <t>Avaliação de imóveis urbanos e rurais: método prático e moderno. 4. ed. revista, melhorada e atualizada. São Paulo: Ed. Nacional, 1979.</t>
    </r>
  </si>
  <si>
    <r>
      <t>______. </t>
    </r>
    <r>
      <rPr>
        <sz val="10"/>
        <color rgb="FF000000"/>
        <rFont val="Arial Nova"/>
        <family val="2"/>
      </rPr>
      <t>Prática de avaliação de imóveis: método moderno. 2. ed. revista melhorada. São Paulo: Edições Livraria Legislação Brasileira. 1968.</t>
    </r>
  </si>
  <si>
    <t>MÉTODO EVOLUTIVO: AVALIAÇÃO DAS BENFEITORIAS</t>
  </si>
  <si>
    <t>R-1</t>
  </si>
  <si>
    <t xml:space="preserve">baixo </t>
  </si>
  <si>
    <t>R-8</t>
  </si>
  <si>
    <t>normal</t>
  </si>
  <si>
    <t>R-16</t>
  </si>
  <si>
    <t>alto</t>
  </si>
  <si>
    <t>PIS</t>
  </si>
  <si>
    <t>PP-4</t>
  </si>
  <si>
    <t>residencial</t>
  </si>
  <si>
    <t>CSL-8</t>
  </si>
  <si>
    <t>galpão industrial</t>
  </si>
  <si>
    <t>CSL-16</t>
  </si>
  <si>
    <t>residência popular</t>
  </si>
  <si>
    <t>Tipo da benfeitoria:</t>
  </si>
  <si>
    <t>Padrão:</t>
  </si>
  <si>
    <t>RP1Q</t>
  </si>
  <si>
    <t>Codigo:</t>
  </si>
  <si>
    <t>Data de referência:</t>
  </si>
  <si>
    <t>maio de 2024</t>
  </si>
  <si>
    <t>GI</t>
  </si>
  <si>
    <t>A área equivalente do imóvel será calculada conforme orientação contida na NBR 12721:2006</t>
  </si>
  <si>
    <t>NBR 12721:2006 Avaliação de custos unitários de construção para incorporação imobiliária e outras disposições para condominios edifícios - Procedimento
5.7 Área equivalente
[...]
5.7.2 Coeficientes para cálculo das áreas equivalentes às áreas de custo padrão. É recomendável que os coeficientes de equivalência de custo, para cada dependência em que forem empregados, sejam calculados na forma indicada em 5.7.2.1 ou, alternativamente, na forma indicada em 5.7.3</t>
  </si>
  <si>
    <t>Custo unitário específico para o projeto:</t>
  </si>
  <si>
    <t>Custo de reprodução da benfeitoria</t>
  </si>
  <si>
    <t>Cálculo da depreciação pelo método Ross-Heidecke</t>
  </si>
  <si>
    <t>Idade aparente da benfeitoria:</t>
  </si>
  <si>
    <t>Vida útil referencial</t>
  </si>
  <si>
    <t>Relação percentual:</t>
  </si>
  <si>
    <t>O resultado bruto da equação acima deve ser convertido para o respectivo de fator de depreciação, sendo feito:</t>
  </si>
  <si>
    <t>Resultado bruto da equação:</t>
  </si>
  <si>
    <t>Coeficiente de depreciação específico (perda de valor):</t>
  </si>
  <si>
    <t>Fator de depreciação específico (multiplicador):</t>
  </si>
  <si>
    <t>Perda de valor decorrente da depreciação</t>
  </si>
  <si>
    <t>Custo de reedição da benfeitoria</t>
  </si>
  <si>
    <t>Fator da vantagem da coisa feita:</t>
  </si>
  <si>
    <t>Vantagem da coisa feita</t>
  </si>
  <si>
    <t>Tipo de construção:</t>
  </si>
  <si>
    <t>Idade da construção</t>
  </si>
  <si>
    <t>anos.</t>
  </si>
  <si>
    <t>Valor do terreno:</t>
  </si>
  <si>
    <t>Valor da benfeitoria (depreciada):</t>
  </si>
  <si>
    <t>Soma do valor do terreno, ao valor das benfeitorias:</t>
  </si>
  <si>
    <t>Fator multiplicador aplicável</t>
  </si>
  <si>
    <t>Terreno</t>
  </si>
  <si>
    <t>Avaliação do terreno e das benfeitorias</t>
  </si>
  <si>
    <t>Edificações</t>
  </si>
  <si>
    <t>Demonstração da relação percentual de cada elemento em relação ao todo (avaliação).</t>
  </si>
  <si>
    <t>Área real do item</t>
  </si>
  <si>
    <t>%</t>
  </si>
  <si>
    <t>Fator mínimo</t>
  </si>
  <si>
    <t>Área equivalente</t>
  </si>
  <si>
    <t>a</t>
  </si>
  <si>
    <t>Garagem (subsolo)</t>
  </si>
  <si>
    <t>b</t>
  </si>
  <si>
    <t>Área privativa (unidade autônoma padrão)</t>
  </si>
  <si>
    <t>c</t>
  </si>
  <si>
    <t>Área privativa (salas com acabamento)</t>
  </si>
  <si>
    <t>d</t>
  </si>
  <si>
    <t>Área privativa (salas sem acabamento)</t>
  </si>
  <si>
    <t>e</t>
  </si>
  <si>
    <t>Área de loja sem acabamento</t>
  </si>
  <si>
    <t>f</t>
  </si>
  <si>
    <t>Varandas</t>
  </si>
  <si>
    <t>g</t>
  </si>
  <si>
    <t>Terraços ou áreas descobertas sobre lajes</t>
  </si>
  <si>
    <t>h</t>
  </si>
  <si>
    <t>Estacionamento sobre terreno</t>
  </si>
  <si>
    <t>i</t>
  </si>
  <si>
    <t>Área de projeção do terreno sem benfeitoria</t>
  </si>
  <si>
    <t>j</t>
  </si>
  <si>
    <t>Área de serviço - residência unifamiliar padrão baixo (aberta)</t>
  </si>
  <si>
    <t>k</t>
  </si>
  <si>
    <t>Barrilete</t>
  </si>
  <si>
    <t>l</t>
  </si>
  <si>
    <t>Caixa d'água</t>
  </si>
  <si>
    <t>m</t>
  </si>
  <si>
    <t>Casa de máquinas</t>
  </si>
  <si>
    <t>n</t>
  </si>
  <si>
    <t>Piscinas</t>
  </si>
  <si>
    <t>o</t>
  </si>
  <si>
    <t>Quintais, calçadas, jardins etc.</t>
  </si>
  <si>
    <t>Área total construída:</t>
  </si>
  <si>
    <t>equivalente:</t>
  </si>
  <si>
    <t>Área equivalente da benfeitoria:</t>
  </si>
  <si>
    <t>Calculo da depreciação Ross (alfa)</t>
  </si>
  <si>
    <t>Os valores brutos de depreciação do método Ross correspondem ao ponto médio entre o método da reta (linear) e o método Kuentzle (parábola); portanto, os valores de depreciação Ross podem ser calculados com o auxílio da seguinte equação:</t>
  </si>
  <si>
    <t>alfa:</t>
  </si>
  <si>
    <t>Considerando-se que, durante a vistoria, foram constatados mais de um estado de conservação, será aplicada a tabela de depreciação por etapas, observando-se os itens e os pesos apresentador por Fiker (2019, p. 76).</t>
  </si>
  <si>
    <t>Etapas</t>
  </si>
  <si>
    <t>Peso percentual</t>
  </si>
  <si>
    <t>a) serviços para instalação da obra: preparo e limpeza do terreno, casa do guarda, instalações; b) projeto: cálculos, desenhos, detalhes e cópias; c) início da obra: emolumentos, impostos, taxas, ligações (água, luz e força)</t>
  </si>
  <si>
    <t>Movimento de terra: abertura de valas para alicerces *</t>
  </si>
  <si>
    <t>Alvenarias (inclusive andaimes e impermeabilizações)</t>
  </si>
  <si>
    <t>Estruturas (concreto armado, inclusive para fundações)</t>
  </si>
  <si>
    <t>Cobertura (armação e telhas)</t>
  </si>
  <si>
    <t>Forros</t>
  </si>
  <si>
    <t>Revestimento (inclusive barras)</t>
  </si>
  <si>
    <t>Pisos, rodapés e soleiras (inclusive concreto magro nos pisos sobre a terra e enchimento das lajes rebaixadas, pavimentações externas e impermeabilizações)</t>
  </si>
  <si>
    <t>Serviços de encanador (inclusive funilaria e águas pluviais)</t>
  </si>
  <si>
    <t>Aparelhos sanitários (inclusive caixas d'água)</t>
  </si>
  <si>
    <t>Serviços de eletricidade</t>
  </si>
  <si>
    <t>Aparelhos elétricos e de iluminação (com colocação)</t>
  </si>
  <si>
    <t>Esquadrias de madeira (com colocação)</t>
  </si>
  <si>
    <t>Serviços de marcenaria (que se integram à obra)</t>
  </si>
  <si>
    <t>Serralheria</t>
  </si>
  <si>
    <t>Ferragens (com colocação)</t>
  </si>
  <si>
    <t>Vidros (com colocação)</t>
  </si>
  <si>
    <t>Serviços de pintura</t>
  </si>
  <si>
    <t>Jardins (muito variável)</t>
  </si>
  <si>
    <t>Diversos: mármores ou outro material para pias, degraus, soleiras, tanques, prateleiras; lareira; embutimento de pias, banheiras, saboneteiras, porta-papéis, espelhos e eventuais</t>
  </si>
  <si>
    <t>Raspagem e limpeza</t>
  </si>
  <si>
    <t>Coeficiente Heidecke</t>
  </si>
  <si>
    <t>Depreciação parcial</t>
  </si>
  <si>
    <t>* nas residências assobradadas, este item corresponde a percentuais maiores (cerca de 30% ou mais).</t>
  </si>
  <si>
    <t>Soma</t>
  </si>
  <si>
    <t>Coeficiente específico</t>
  </si>
  <si>
    <t>Por fim, a depreciação Ross-Heidecke será calculada com o auxílio das seguintes equações:</t>
  </si>
  <si>
    <t>Linha</t>
  </si>
  <si>
    <t>Coluna</t>
  </si>
  <si>
    <t>Índice</t>
  </si>
  <si>
    <t>Valor relativo específico da tabela Heidecke:</t>
  </si>
  <si>
    <t>Preço</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</si>
  <si>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</si>
  <si>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</si>
  <si>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</si>
  <si>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CANTEIRO, João Ruy. Construções: seus custos de reprodução na capital de São Paulo de 1939 a 1979; Terrenos: subsídios à técnica de avaliação. 3. ed. São Paulo: Pini, 1980.</t>
  </si>
  <si>
    <t>DANTAS, Rubens Alves. Engenharia de avaliações: uma introdução à metodologia científica. São Paulo: Pini, 1998.</t>
  </si>
  <si>
    <t>______. Manual de avaliações e perícias em imóveis urbanos: de acordo com a nova norma NBR 14653-2 – Avaliações de Imóveis Urbanos e com a Norma para Avaliação de Imóveis Urbanos Ibape/SP – 2005. 4. ed. São Paulo: Pini, 2016.</t>
  </si>
  <si>
    <t>______. Manual de avaliações e perícias em imóveis urbanos: de acordo com a nova norma NBR 14653-2 – Avaliações de Imóveis Urbanos e com a Norma para Avaliação de Imóveis Urbanos Ibape/SP – 2011. 5. ed. São Paulo: Oficina de Textos, 2019.</t>
  </si>
  <si>
    <t>MEDEIROS JÚNIOR, Joaquim da Rocha. Vantagem da coisa feita na avaliação de imóveis pelo método do custo. In: Engenharia de avaliações. Instituto Brasileiro de Avaliações e Perícias de Engenharia – IBAPE. São Paulo: Pini, 1974.</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</si>
  <si>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</si>
  <si>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</si>
  <si>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THOFEHRN, Ragnar. Avaliação de terrenos urbanos: por fórmulas matemáticas. São Paulo: Pini, 2008.</t>
  </si>
  <si>
    <t>VEGNI-NERI, Guilherme Bomfim dei. Avaliação de imóveis urbanos e rurais: método prático e moderno. 4. ed. revista, melhorada e atualizada. São Paulo: Ed. Nacional, 1979.</t>
  </si>
  <si>
    <t>As benfeitorias serão avaliadas pelo método de quantificação do custo de reedição. O custo de reedição corresponde ao custo de reprodução descontada a depreciação.
O custo de reprodução será calculado a partir Custo Unitário Básico informado pelo Sindicato da Construção Civil local; essas informações estão disponíveis em: &lt;http://www.cub.org.br&gt;.
A depreciação das benfeitorias será calculada pelo método Ross-Heidecke.</t>
  </si>
  <si>
    <t>ABUNAHAM, S.A. Curso básico de engenharia legal e de avaliações. 4. ed. rev. e ampl. São Paulo: Pini, 2008.</t>
  </si>
  <si>
    <t>PELLEGRINO, José Carlos. Valor em marcha. In: Anais do I Congresso Brasileiro de Engenharia de Avaliações / [patrocínio do] Instituto Brasileiro de Avaliações e Perícias de Engenharia – IBAPE. São Paulo: Pini, 1978.</t>
  </si>
  <si>
    <t>MEDEIROS JÚNIOR, J.R.; PELLEGRINO, José Carlos. Método do custo: o terceiro componente. In: Avaliações para garantias: Instituto Brasileiro de Avaliações e Perícias de Engenharia. São Paulo: Pini, 1983.</t>
  </si>
  <si>
    <t>______. Prática de avaliação de imóveis: método moderno. 2. ed. revista melhorada. São Paulo: Edições Livraria Legislação Brasileira, 1968.</t>
  </si>
  <si>
    <t>Frente padrão para a zona</t>
  </si>
  <si>
    <t>Plano, em nível</t>
  </si>
  <si>
    <t>Seco</t>
  </si>
  <si>
    <t>Dentro dos limites mínimo e máximo</t>
  </si>
  <si>
    <t>Meio de quadra</t>
  </si>
  <si>
    <t>Fator do terreno padrão</t>
  </si>
  <si>
    <t>Característica do terreno padrão</t>
  </si>
  <si>
    <r>
      <t>F</t>
    </r>
    <r>
      <rPr>
        <vertAlign val="subscript"/>
        <sz val="11"/>
        <rFont val="Aptos"/>
        <family val="2"/>
      </rPr>
      <t>f</t>
    </r>
  </si>
  <si>
    <r>
      <t>F</t>
    </r>
    <r>
      <rPr>
        <vertAlign val="subscript"/>
        <sz val="11"/>
        <rFont val="Aptos"/>
        <family val="2"/>
      </rPr>
      <t>t</t>
    </r>
  </si>
  <si>
    <r>
      <t>F</t>
    </r>
    <r>
      <rPr>
        <vertAlign val="subscript"/>
        <sz val="11"/>
        <rFont val="Aptos"/>
        <family val="2"/>
      </rPr>
      <t>cs</t>
    </r>
  </si>
  <si>
    <r>
      <t>F</t>
    </r>
    <r>
      <rPr>
        <vertAlign val="subscript"/>
        <sz val="11"/>
        <rFont val="Aptos"/>
        <family val="2"/>
      </rPr>
      <t>p</t>
    </r>
  </si>
  <si>
    <r>
      <t>F</t>
    </r>
    <r>
      <rPr>
        <vertAlign val="subscript"/>
        <sz val="11"/>
        <rFont val="Aptos"/>
        <family val="2"/>
      </rPr>
      <t>e</t>
    </r>
  </si>
  <si>
    <r>
      <t>M</t>
    </r>
    <r>
      <rPr>
        <vertAlign val="subscript"/>
        <sz val="11"/>
        <rFont val="Aptos"/>
        <family val="2"/>
      </rPr>
      <t>p1</t>
    </r>
  </si>
  <si>
    <r>
      <t>M</t>
    </r>
    <r>
      <rPr>
        <vertAlign val="subscript"/>
        <sz val="11"/>
        <rFont val="Aptos"/>
        <family val="2"/>
      </rPr>
      <t>p2</t>
    </r>
  </si>
  <si>
    <r>
      <t>M</t>
    </r>
    <r>
      <rPr>
        <vertAlign val="subscript"/>
        <sz val="11"/>
        <rFont val="Aptos"/>
        <family val="2"/>
      </rPr>
      <t>p3</t>
    </r>
  </si>
  <si>
    <r>
      <t>M</t>
    </r>
    <r>
      <rPr>
        <vertAlign val="subscript"/>
        <sz val="11"/>
        <rFont val="Aptos"/>
        <family val="2"/>
      </rPr>
      <t>p4</t>
    </r>
  </si>
  <si>
    <r>
      <t>M</t>
    </r>
    <r>
      <rPr>
        <vertAlign val="subscript"/>
        <sz val="11"/>
        <rFont val="Aptos"/>
        <family val="2"/>
      </rPr>
      <t>p5</t>
    </r>
  </si>
  <si>
    <r>
      <t>M</t>
    </r>
    <r>
      <rPr>
        <vertAlign val="subscript"/>
        <sz val="11"/>
        <rFont val="Aptos"/>
        <family val="2"/>
      </rPr>
      <t>p6</t>
    </r>
  </si>
  <si>
    <r>
      <t>M</t>
    </r>
    <r>
      <rPr>
        <vertAlign val="subscript"/>
        <sz val="11"/>
        <rFont val="Aptos"/>
        <family val="2"/>
      </rPr>
      <t>p7</t>
    </r>
  </si>
  <si>
    <r>
      <t xml:space="preserve">Somatório das porcentagens correspondentes aos melhoramentos públicos </t>
    </r>
    <r>
      <rPr>
        <b/>
        <sz val="11"/>
        <rFont val="Aptos"/>
        <family val="2"/>
      </rPr>
      <t>presentes no paradigma e ausentes no bem avaliando</t>
    </r>
  </si>
  <si>
    <r>
      <t>Fator do item da amostra (f</t>
    </r>
    <r>
      <rPr>
        <vertAlign val="subscript"/>
        <sz val="11"/>
        <rFont val="Aptos"/>
        <family val="2"/>
      </rPr>
      <t>tr</t>
    </r>
    <r>
      <rPr>
        <sz val="11"/>
        <rFont val="Aptos"/>
        <family val="2"/>
      </rPr>
      <t>)</t>
    </r>
  </si>
  <si>
    <r>
      <t>Fator do bem avaliando (f</t>
    </r>
    <r>
      <rPr>
        <vertAlign val="subscript"/>
        <sz val="11"/>
        <rFont val="Aptos"/>
        <family val="2"/>
      </rPr>
      <t>a</t>
    </r>
    <r>
      <rPr>
        <sz val="11"/>
        <rFont val="Aptos"/>
        <family val="2"/>
      </rPr>
      <t>)</t>
    </r>
  </si>
  <si>
    <r>
      <t>t</t>
    </r>
    <r>
      <rPr>
        <vertAlign val="subscript"/>
        <sz val="11"/>
        <rFont val="Aptos"/>
        <family val="2"/>
      </rPr>
      <t>crítico</t>
    </r>
  </si>
  <si>
    <r>
      <rPr>
        <b/>
        <sz val="11"/>
        <rFont val="Aptos"/>
        <family val="2"/>
      </rPr>
      <t>NBR 14653-2:2011. Avaliação de bens. Parte 2: Imóveis urbanos.
Item 9.2.3</t>
    </r>
    <r>
      <rPr>
        <sz val="11"/>
        <rFont val="Aptos"/>
        <family val="2"/>
      </rPr>
      <t xml:space="preserve"> O grau de precisão deve estar conforme a Tabela 5.</t>
    </r>
  </si>
  <si>
    <r>
      <t xml:space="preserve">Portanto, levando em consideração o </t>
    </r>
    <r>
      <rPr>
        <b/>
        <sz val="11"/>
        <rFont val="Arial Nova"/>
        <family val="2"/>
      </rPr>
      <t>peso atribuído a cada etapa da obra</t>
    </r>
    <r>
      <rPr>
        <sz val="11"/>
        <rFont val="Arial Nova"/>
        <family val="2"/>
      </rPr>
      <t>, conforme tabela apresentada acima, o coeficiente de depreciação específico apurado pelo método Heidecke (c) é de</t>
    </r>
  </si>
  <si>
    <t>Terreno à venda</t>
  </si>
  <si>
    <t>Elemento comparativo</t>
  </si>
  <si>
    <t>Água</t>
  </si>
  <si>
    <t>Esgoto</t>
  </si>
  <si>
    <t>Luz pública</t>
  </si>
  <si>
    <t>Luz domiciliar</t>
  </si>
  <si>
    <t>Guias-sarjetas</t>
  </si>
  <si>
    <t>Telefone</t>
  </si>
  <si>
    <t>Melhoramentos públicos do bem avaliando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</si>
</sst>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_ ;[Red]\-#,##0.00\ "/>
    <numFmt numFmtId="165" formatCode="0.000000"/>
    <numFmt numFmtId="166" formatCode="0.0000"/>
    <numFmt numFmtId="167" formatCode="#,##0.0000"/>
    <numFmt numFmtId="168" formatCode="_-[$R$-416]\ * #,##0.00_-;\-[$R$-416]\ * #,##0.00_-;_-[$R$-416]\ * &quot;-&quot;??_-;_-@_-"/>
    <numFmt numFmtId="169" formatCode="#,##0.00_ ;\-#,##0.00\ "/>
    <numFmt numFmtId="170" formatCode="0.000"/>
    <numFmt numFmtId="171" formatCode="#,##0_ ;[Red]\-#,##0\ "/>
    <numFmt numFmtId="172" formatCode="#,##0.000000_ ;[Red]\-#,##0.000000\ "/>
    <numFmt numFmtId="173" formatCode="#,##0.00000_ ;[Red]\-#,##0.00000\ "/>
    <numFmt numFmtId="174" formatCode="0.0"/>
    <numFmt numFmtId="175" formatCode="#,##0.0000_ ;[Red]\-#,##0.0000\ "/>
    <numFmt numFmtId="176" formatCode="0.0%"/>
  </numFmts>
  <fonts count="29" x14ac:knownFonts="1">
    <font>
      <sz val="11"/>
      <color theme="1"/>
      <name val="Aptos"/>
      <family val="2"/>
    </font>
    <font>
      <sz val="11"/>
      <color theme="1"/>
      <name val="Aptos"/>
      <family val="2"/>
    </font>
    <font>
      <b/>
      <sz val="10"/>
      <name val="Arial Nova"/>
      <family val="2"/>
    </font>
    <font>
      <sz val="10"/>
      <name val="Arial Nova"/>
      <family val="2"/>
    </font>
    <font>
      <i/>
      <sz val="10"/>
      <name val="Arial Nova"/>
      <family val="2"/>
    </font>
    <font>
      <vertAlign val="subscript"/>
      <sz val="10"/>
      <name val="Arial Nova"/>
      <family val="2"/>
    </font>
    <font>
      <b/>
      <sz val="11"/>
      <name val="Aptos"/>
      <family val="2"/>
    </font>
    <font>
      <sz val="11"/>
      <name val="Aptos"/>
      <family val="2"/>
    </font>
    <font>
      <b/>
      <sz val="11"/>
      <color theme="1"/>
      <name val="Aptos"/>
      <family val="2"/>
    </font>
    <font>
      <b/>
      <sz val="14"/>
      <color theme="1"/>
      <name val="Aptos"/>
      <family val="2"/>
    </font>
    <font>
      <sz val="14"/>
      <color theme="1"/>
      <name val="Aptos"/>
      <family val="2"/>
    </font>
    <font>
      <b/>
      <i/>
      <sz val="10"/>
      <name val="Arial Nova"/>
      <family val="2"/>
    </font>
    <font>
      <b/>
      <i/>
      <vertAlign val="subscript"/>
      <sz val="10"/>
      <name val="Arial Nova"/>
      <family val="2"/>
    </font>
    <font>
      <sz val="10"/>
      <color theme="1"/>
      <name val="Arial Nova"/>
      <family val="2"/>
    </font>
    <font>
      <sz val="10"/>
      <color rgb="FF383D3C"/>
      <name val="Arial Nova"/>
      <family val="2"/>
    </font>
    <font>
      <i/>
      <vertAlign val="subscript"/>
      <sz val="10"/>
      <name val="Arial Nova"/>
      <family val="2"/>
    </font>
    <font>
      <sz val="10"/>
      <color theme="1"/>
      <name val="Aptos"/>
      <family val="2"/>
    </font>
    <font>
      <sz val="10"/>
      <color rgb="FF000000"/>
      <name val="Arial Nova"/>
      <family val="2"/>
    </font>
    <font>
      <sz val="11"/>
      <color theme="0"/>
      <name val="Aptos"/>
      <family val="2"/>
    </font>
    <font>
      <sz val="10"/>
      <color theme="0"/>
      <name val="Arial Nova"/>
      <family val="2"/>
    </font>
    <font>
      <b/>
      <sz val="11"/>
      <color theme="0"/>
      <name val="Arial"/>
      <family val="2"/>
    </font>
    <font>
      <i/>
      <sz val="11"/>
      <name val="Aptos"/>
      <family val="2"/>
    </font>
    <font>
      <sz val="11"/>
      <name val="Arial Nova"/>
      <family val="2"/>
    </font>
    <font>
      <vertAlign val="subscript"/>
      <sz val="11"/>
      <name val="Aptos"/>
      <family val="2"/>
    </font>
    <font>
      <b/>
      <sz val="11"/>
      <name val="Arial Nova"/>
      <family val="2"/>
    </font>
    <font>
      <sz val="11"/>
      <color theme="0"/>
      <name val="Arial Nova"/>
      <family val="2"/>
    </font>
    <font>
      <i/>
      <sz val="11"/>
      <name val="Arial Nova"/>
      <family val="2"/>
    </font>
    <font>
      <b/>
      <sz val="10"/>
      <name val="Aptos"/>
      <family val="2"/>
    </font>
    <font>
      <i/>
      <sz val="10"/>
      <name val="Aptos"/>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4.9989318521683403E-2"/>
        <bgColor rgb="FF3465A4"/>
      </patternFill>
    </fill>
    <fill>
      <patternFill patternType="solid">
        <fgColor theme="0" tint="-4.9989318521683403E-2"/>
        <bgColor rgb="FF336699"/>
      </patternFill>
    </fill>
    <fill>
      <patternFill patternType="solid">
        <fgColor theme="0" tint="-0.14999847407452621"/>
        <bgColor rgb="FF336699"/>
      </patternFill>
    </fill>
    <fill>
      <patternFill patternType="solid">
        <fgColor theme="0"/>
        <bgColor indexed="64"/>
      </patternFill>
    </fill>
  </fills>
  <borders count="39">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164" fontId="0" fillId="0" borderId="0"/>
    <xf numFmtId="43" fontId="1" fillId="0" borderId="0" applyFont="0" applyFill="0" applyBorder="0" applyAlignment="0" applyProtection="0"/>
    <xf numFmtId="9" fontId="1" fillId="0" borderId="0" applyFont="0" applyFill="0" applyBorder="0" applyAlignment="0" applyProtection="0"/>
  </cellStyleXfs>
  <cellXfs count="337">
    <xf numFmtId="164" fontId="0" fillId="0" borderId="0" xfId="0"/>
    <xf numFmtId="164" fontId="0" fillId="0" borderId="0" xfId="0" applyAlignment="1">
      <alignment horizontal="left" vertical="center"/>
    </xf>
    <xf numFmtId="164" fontId="10" fillId="0" borderId="0" xfId="0" applyFont="1" applyAlignment="1">
      <alignment horizontal="center" vertical="center"/>
    </xf>
    <xf numFmtId="164" fontId="0" fillId="0" borderId="0" xfId="0" applyAlignment="1">
      <alignment vertical="center"/>
    </xf>
    <xf numFmtId="164" fontId="0" fillId="0" borderId="9" xfId="0" applyBorder="1"/>
    <xf numFmtId="164" fontId="0" fillId="0" borderId="2" xfId="0" applyBorder="1"/>
    <xf numFmtId="164" fontId="0" fillId="0" borderId="10" xfId="0" applyBorder="1"/>
    <xf numFmtId="164" fontId="0" fillId="0" borderId="3" xfId="0" applyBorder="1" applyAlignment="1">
      <alignment vertical="center"/>
    </xf>
    <xf numFmtId="164" fontId="0" fillId="0" borderId="13" xfId="0" applyBorder="1"/>
    <xf numFmtId="164" fontId="0" fillId="0" borderId="1" xfId="0" applyBorder="1"/>
    <xf numFmtId="164" fontId="0" fillId="0" borderId="14" xfId="0" applyBorder="1"/>
    <xf numFmtId="164" fontId="0" fillId="0" borderId="15" xfId="0" applyBorder="1"/>
    <xf numFmtId="164" fontId="6" fillId="0" borderId="0" xfId="0" applyFont="1" applyAlignment="1">
      <alignment vertical="center"/>
    </xf>
    <xf numFmtId="164" fontId="6" fillId="0" borderId="10" xfId="0" applyFont="1" applyBorder="1" applyAlignment="1">
      <alignment vertical="center"/>
    </xf>
    <xf numFmtId="164" fontId="6" fillId="0" borderId="0" xfId="0" applyFont="1" applyAlignment="1">
      <alignment vertical="center" wrapText="1"/>
    </xf>
    <xf numFmtId="164" fontId="7" fillId="0" borderId="0" xfId="0" applyFont="1" applyAlignment="1">
      <alignment vertical="center"/>
    </xf>
    <xf numFmtId="164" fontId="7" fillId="0" borderId="16" xfId="0" applyFont="1" applyBorder="1" applyAlignment="1">
      <alignment vertical="center"/>
    </xf>
    <xf numFmtId="164" fontId="7" fillId="0" borderId="10" xfId="0" applyFont="1" applyBorder="1" applyAlignment="1">
      <alignment vertical="center"/>
    </xf>
    <xf numFmtId="164" fontId="0" fillId="0" borderId="1" xfId="0" applyBorder="1" applyAlignment="1">
      <alignment vertical="center"/>
    </xf>
    <xf numFmtId="164" fontId="7" fillId="0" borderId="1" xfId="0" applyFont="1" applyBorder="1" applyAlignment="1">
      <alignment vertical="center"/>
    </xf>
    <xf numFmtId="164" fontId="6" fillId="0" borderId="2" xfId="0" applyFont="1" applyBorder="1" applyAlignment="1">
      <alignment vertical="center" wrapText="1"/>
    </xf>
    <xf numFmtId="14" fontId="7" fillId="0" borderId="0" xfId="0" applyNumberFormat="1" applyFont="1" applyAlignment="1" applyProtection="1">
      <alignment vertical="center"/>
      <protection locked="0"/>
    </xf>
    <xf numFmtId="49" fontId="7" fillId="0" borderId="0" xfId="0" applyNumberFormat="1" applyFont="1" applyAlignment="1" applyProtection="1">
      <alignment vertical="center"/>
      <protection locked="0"/>
    </xf>
    <xf numFmtId="164" fontId="6" fillId="0" borderId="10" xfId="0" applyFont="1" applyBorder="1" applyAlignment="1">
      <alignment vertical="center" wrapText="1"/>
    </xf>
    <xf numFmtId="164" fontId="7" fillId="0" borderId="3" xfId="0" applyFont="1" applyBorder="1" applyAlignment="1" applyProtection="1">
      <alignment vertical="center"/>
      <protection locked="0"/>
    </xf>
    <xf numFmtId="164" fontId="7" fillId="0" borderId="17" xfId="0" applyFont="1" applyBorder="1" applyAlignment="1">
      <alignment vertical="center"/>
    </xf>
    <xf numFmtId="164" fontId="6" fillId="0" borderId="13" xfId="0" applyFont="1" applyBorder="1" applyAlignment="1">
      <alignment vertical="center" wrapText="1"/>
    </xf>
    <xf numFmtId="164" fontId="6" fillId="0" borderId="1" xfId="0" applyFont="1" applyBorder="1" applyAlignment="1">
      <alignment vertical="center" wrapText="1"/>
    </xf>
    <xf numFmtId="164" fontId="7" fillId="0" borderId="0" xfId="0" applyFont="1" applyAlignment="1">
      <alignment vertical="center" wrapText="1"/>
    </xf>
    <xf numFmtId="164" fontId="8" fillId="0" borderId="0" xfId="0" applyFont="1" applyAlignment="1">
      <alignment vertical="center"/>
    </xf>
    <xf numFmtId="164" fontId="6" fillId="0" borderId="3" xfId="0" applyFont="1" applyBorder="1" applyAlignment="1">
      <alignment vertical="center"/>
    </xf>
    <xf numFmtId="164" fontId="7" fillId="0" borderId="0" xfId="0" applyFont="1" applyAlignment="1" applyProtection="1">
      <alignment vertical="center"/>
      <protection locked="0"/>
    </xf>
    <xf numFmtId="164" fontId="7" fillId="0" borderId="3" xfId="0" applyFont="1" applyBorder="1" applyAlignment="1">
      <alignment vertical="center"/>
    </xf>
    <xf numFmtId="164" fontId="7" fillId="0" borderId="0" xfId="0" applyFont="1" applyAlignment="1" applyProtection="1">
      <alignment vertical="center" wrapText="1"/>
      <protection locked="0"/>
    </xf>
    <xf numFmtId="164" fontId="0" fillId="0" borderId="21" xfId="0" applyBorder="1"/>
    <xf numFmtId="164" fontId="3" fillId="0" borderId="0" xfId="0" applyFont="1" applyAlignment="1" applyProtection="1">
      <alignment horizontal="justify" vertical="center" wrapText="1"/>
      <protection hidden="1"/>
    </xf>
    <xf numFmtId="164" fontId="4" fillId="0" borderId="0" xfId="0" applyFont="1" applyAlignment="1" applyProtection="1">
      <alignment vertical="center" wrapText="1"/>
      <protection hidden="1"/>
    </xf>
    <xf numFmtId="164" fontId="3" fillId="0" borderId="0" xfId="0" applyFont="1" applyAlignment="1" applyProtection="1">
      <alignment horizontal="justify" vertical="top" wrapText="1"/>
      <protection hidden="1"/>
    </xf>
    <xf numFmtId="164" fontId="13" fillId="0" borderId="0" xfId="0" applyFont="1" applyAlignment="1" applyProtection="1">
      <alignment vertical="center"/>
      <protection hidden="1"/>
    </xf>
    <xf numFmtId="164" fontId="3" fillId="0" borderId="26" xfId="0" applyFont="1" applyBorder="1" applyAlignment="1" applyProtection="1">
      <alignment horizontal="justify" vertical="center" wrapText="1"/>
      <protection hidden="1"/>
    </xf>
    <xf numFmtId="164" fontId="13" fillId="0" borderId="0" xfId="0" applyFont="1" applyAlignment="1" applyProtection="1">
      <alignment horizontal="justify" vertical="center" wrapText="1"/>
      <protection hidden="1"/>
    </xf>
    <xf numFmtId="171" fontId="13" fillId="0" borderId="0" xfId="0" applyNumberFormat="1" applyFont="1" applyAlignment="1" applyProtection="1">
      <alignment horizontal="right" vertical="center" wrapText="1" readingOrder="1"/>
      <protection hidden="1"/>
    </xf>
    <xf numFmtId="172" fontId="13" fillId="0" borderId="0" xfId="0" applyNumberFormat="1" applyFont="1" applyAlignment="1" applyProtection="1">
      <alignment horizontal="right" vertical="center" wrapText="1" readingOrder="1"/>
      <protection hidden="1"/>
    </xf>
    <xf numFmtId="173" fontId="13" fillId="0" borderId="0" xfId="0" applyNumberFormat="1" applyFont="1" applyAlignment="1" applyProtection="1">
      <alignment horizontal="right" vertical="center" wrapText="1" readingOrder="1"/>
      <protection hidden="1"/>
    </xf>
    <xf numFmtId="164" fontId="13" fillId="0" borderId="0" xfId="0" applyFont="1" applyAlignment="1" applyProtection="1">
      <alignment horizontal="right" vertical="center" wrapText="1" readingOrder="1"/>
      <protection hidden="1"/>
    </xf>
    <xf numFmtId="164" fontId="3" fillId="0" borderId="31" xfId="0" applyFont="1" applyBorder="1" applyAlignment="1" applyProtection="1">
      <alignment horizontal="center" vertical="center" wrapText="1"/>
      <protection hidden="1"/>
    </xf>
    <xf numFmtId="1" fontId="13" fillId="0" borderId="31" xfId="0" applyNumberFormat="1" applyFont="1" applyBorder="1" applyAlignment="1" applyProtection="1">
      <alignment horizontal="right" vertical="center" wrapText="1"/>
      <protection hidden="1"/>
    </xf>
    <xf numFmtId="164" fontId="13" fillId="0" borderId="3" xfId="0" applyFont="1" applyBorder="1" applyAlignment="1" applyProtection="1">
      <alignment horizontal="center" vertical="center" wrapText="1"/>
      <protection hidden="1"/>
    </xf>
    <xf numFmtId="9" fontId="13" fillId="3" borderId="3" xfId="2" applyFont="1" applyFill="1" applyBorder="1" applyAlignment="1" applyProtection="1">
      <alignment horizontal="center" vertical="center" wrapText="1"/>
      <protection hidden="1"/>
    </xf>
    <xf numFmtId="4" fontId="13" fillId="0" borderId="3" xfId="0" applyNumberFormat="1" applyFont="1" applyBorder="1" applyAlignment="1" applyProtection="1">
      <alignment horizontal="right" vertical="center" wrapText="1"/>
      <protection hidden="1"/>
    </xf>
    <xf numFmtId="164" fontId="16" fillId="0" borderId="0" xfId="0" applyFont="1" applyAlignment="1" applyProtection="1">
      <alignment vertical="center"/>
      <protection hidden="1"/>
    </xf>
    <xf numFmtId="164" fontId="4" fillId="0" borderId="0" xfId="0" applyFont="1" applyAlignment="1" applyProtection="1">
      <alignment horizontal="right" vertical="center" wrapText="1"/>
      <protection hidden="1"/>
    </xf>
    <xf numFmtId="49" fontId="4" fillId="0" borderId="0" xfId="0" applyNumberFormat="1" applyFont="1" applyAlignment="1" applyProtection="1">
      <alignment vertical="center" wrapText="1"/>
      <protection hidden="1"/>
    </xf>
    <xf numFmtId="9" fontId="13" fillId="0" borderId="3" xfId="2" applyFont="1" applyBorder="1" applyAlignment="1" applyProtection="1">
      <alignment horizontal="center" vertical="center" wrapText="1"/>
      <protection hidden="1"/>
    </xf>
    <xf numFmtId="10" fontId="13" fillId="0" borderId="3" xfId="2" applyNumberFormat="1" applyFont="1" applyBorder="1" applyAlignment="1" applyProtection="1">
      <alignment horizontal="right" vertical="center" wrapText="1"/>
      <protection hidden="1"/>
    </xf>
    <xf numFmtId="164" fontId="0" fillId="0" borderId="0" xfId="0" applyProtection="1">
      <protection hidden="1"/>
    </xf>
    <xf numFmtId="167" fontId="13" fillId="0" borderId="3" xfId="0" applyNumberFormat="1" applyFont="1" applyBorder="1" applyAlignment="1" applyProtection="1">
      <alignment horizontal="right" vertical="center" wrapText="1"/>
      <protection hidden="1"/>
    </xf>
    <xf numFmtId="164" fontId="7" fillId="0" borderId="0" xfId="0" applyFont="1" applyAlignment="1" applyProtection="1">
      <alignment vertical="center" wrapText="1"/>
      <protection hidden="1"/>
    </xf>
    <xf numFmtId="164" fontId="18" fillId="0" borderId="0" xfId="0" applyFont="1" applyAlignment="1" applyProtection="1">
      <alignment vertical="center" wrapText="1"/>
      <protection hidden="1"/>
    </xf>
    <xf numFmtId="164" fontId="7" fillId="0" borderId="2" xfId="0" applyFont="1" applyBorder="1" applyAlignment="1" applyProtection="1">
      <alignment vertical="center" wrapText="1"/>
      <protection hidden="1"/>
    </xf>
    <xf numFmtId="164" fontId="7" fillId="0" borderId="0" xfId="0" applyFont="1" applyAlignment="1" applyProtection="1">
      <alignment horizontal="justify" vertical="center" wrapText="1" readingOrder="1"/>
      <protection hidden="1"/>
    </xf>
    <xf numFmtId="164" fontId="7" fillId="3" borderId="2" xfId="0" applyFont="1" applyFill="1" applyBorder="1" applyAlignment="1" applyProtection="1">
      <alignment horizontal="center" vertical="center" wrapText="1" readingOrder="1"/>
      <protection hidden="1"/>
    </xf>
    <xf numFmtId="164" fontId="7" fillId="0" borderId="0" xfId="0" applyFont="1" applyAlignment="1" applyProtection="1">
      <alignment horizontal="center" vertical="top" wrapText="1" readingOrder="1"/>
      <protection hidden="1"/>
    </xf>
    <xf numFmtId="164" fontId="7" fillId="0" borderId="5" xfId="0" applyFont="1" applyBorder="1" applyAlignment="1" applyProtection="1">
      <alignment horizontal="center" vertical="top" wrapText="1" readingOrder="1"/>
      <protection hidden="1"/>
    </xf>
    <xf numFmtId="164" fontId="7" fillId="0" borderId="0" xfId="0" applyFont="1" applyAlignment="1" applyProtection="1">
      <alignment horizontal="right" vertical="center" wrapText="1" readingOrder="1"/>
      <protection hidden="1"/>
    </xf>
    <xf numFmtId="164" fontId="18" fillId="0" borderId="0" xfId="0" applyFont="1" applyAlignment="1" applyProtection="1">
      <alignment horizontal="left" vertical="center" wrapText="1"/>
      <protection hidden="1"/>
    </xf>
    <xf numFmtId="164" fontId="18" fillId="0" borderId="0" xfId="0" applyFont="1" applyAlignment="1" applyProtection="1">
      <alignment horizontal="justify" vertical="top" wrapText="1"/>
      <protection hidden="1"/>
    </xf>
    <xf numFmtId="164" fontId="20" fillId="0" borderId="0" xfId="0" applyFont="1" applyAlignment="1" applyProtection="1">
      <alignment horizontal="center" vertical="center" wrapText="1"/>
      <protection hidden="1"/>
    </xf>
    <xf numFmtId="164" fontId="18" fillId="0" borderId="0" xfId="0" applyFont="1" applyAlignment="1" applyProtection="1">
      <alignment horizontal="center" vertical="center" wrapText="1"/>
      <protection hidden="1"/>
    </xf>
    <xf numFmtId="10" fontId="18" fillId="0" borderId="0" xfId="0" applyNumberFormat="1" applyFont="1" applyAlignment="1" applyProtection="1">
      <alignment horizontal="center" vertical="center" wrapText="1"/>
      <protection hidden="1"/>
    </xf>
    <xf numFmtId="164" fontId="18" fillId="0" borderId="0" xfId="0" applyFont="1" applyAlignment="1" applyProtection="1">
      <alignment horizontal="right" vertical="center" wrapText="1"/>
      <protection hidden="1"/>
    </xf>
    <xf numFmtId="170" fontId="18" fillId="0" borderId="0" xfId="0" applyNumberFormat="1" applyFont="1" applyAlignment="1" applyProtection="1">
      <alignment horizontal="right" vertical="center" wrapText="1"/>
      <protection hidden="1"/>
    </xf>
    <xf numFmtId="170" fontId="18" fillId="0" borderId="0" xfId="0" applyNumberFormat="1" applyFont="1" applyAlignment="1" applyProtection="1">
      <alignment horizontal="justify" vertical="top" wrapText="1"/>
      <protection hidden="1"/>
    </xf>
    <xf numFmtId="164" fontId="19" fillId="0" borderId="0" xfId="0" applyFont="1" applyAlignment="1" applyProtection="1">
      <alignment horizontal="justify" vertical="top" wrapText="1"/>
      <protection hidden="1"/>
    </xf>
    <xf numFmtId="164" fontId="19" fillId="0" borderId="0" xfId="0" applyFont="1" applyAlignment="1" applyProtection="1">
      <alignment wrapText="1"/>
      <protection hidden="1"/>
    </xf>
    <xf numFmtId="2" fontId="7" fillId="0" borderId="0" xfId="0" applyNumberFormat="1" applyFont="1" applyAlignment="1" applyProtection="1">
      <alignment vertical="center" wrapText="1"/>
      <protection hidden="1"/>
    </xf>
    <xf numFmtId="164" fontId="7" fillId="0" borderId="5" xfId="0" applyFont="1" applyBorder="1" applyAlignment="1" applyProtection="1">
      <alignment vertical="center" wrapText="1"/>
      <protection hidden="1"/>
    </xf>
    <xf numFmtId="164" fontId="7" fillId="0" borderId="0" xfId="0" applyFont="1" applyAlignment="1" applyProtection="1">
      <alignment horizontal="justify" wrapText="1"/>
      <protection hidden="1"/>
    </xf>
    <xf numFmtId="164" fontId="7" fillId="0" borderId="5" xfId="0" applyFont="1" applyBorder="1" applyAlignment="1" applyProtection="1">
      <alignment vertical="center" wrapText="1"/>
      <protection locked="0"/>
    </xf>
    <xf numFmtId="164" fontId="7" fillId="4" borderId="0" xfId="0" applyFont="1" applyFill="1" applyAlignment="1" applyProtection="1">
      <alignment vertical="center" wrapText="1"/>
      <protection hidden="1"/>
    </xf>
    <xf numFmtId="164" fontId="7" fillId="3" borderId="2" xfId="0" applyFont="1" applyFill="1" applyBorder="1" applyAlignment="1" applyProtection="1">
      <alignment horizontal="center" vertical="center" wrapText="1"/>
      <protection hidden="1"/>
    </xf>
    <xf numFmtId="164" fontId="7" fillId="0" borderId="8" xfId="0" applyFont="1" applyBorder="1" applyAlignment="1" applyProtection="1">
      <alignment horizontal="center" vertical="center" wrapText="1"/>
      <protection hidden="1"/>
    </xf>
    <xf numFmtId="164" fontId="7" fillId="0" borderId="0" xfId="0" applyFont="1" applyAlignment="1" applyProtection="1">
      <alignment horizontal="center" vertical="center" wrapText="1"/>
      <protection hidden="1"/>
    </xf>
    <xf numFmtId="164" fontId="21" fillId="0" borderId="0" xfId="0" applyFont="1" applyAlignment="1" applyProtection="1">
      <alignment horizontal="center" vertical="center" wrapText="1"/>
      <protection hidden="1"/>
    </xf>
    <xf numFmtId="164" fontId="7" fillId="0" borderId="5" xfId="0" applyFont="1" applyBorder="1" applyAlignment="1" applyProtection="1">
      <alignment horizontal="center" vertical="center" wrapText="1"/>
      <protection hidden="1"/>
    </xf>
    <xf numFmtId="164" fontId="7" fillId="0" borderId="14" xfId="0" applyFont="1" applyBorder="1" applyAlignment="1" applyProtection="1">
      <alignment vertical="center" wrapText="1"/>
      <protection locked="0"/>
    </xf>
    <xf numFmtId="164" fontId="22" fillId="0" borderId="5" xfId="0" applyFont="1" applyBorder="1" applyAlignment="1" applyProtection="1">
      <alignment vertical="center" wrapText="1"/>
      <protection hidden="1"/>
    </xf>
    <xf numFmtId="164" fontId="7" fillId="3" borderId="14" xfId="0" applyFont="1" applyFill="1" applyBorder="1" applyAlignment="1" applyProtection="1">
      <alignment vertical="center" wrapText="1"/>
      <protection hidden="1"/>
    </xf>
    <xf numFmtId="9" fontId="7" fillId="0" borderId="0" xfId="2" applyFont="1" applyAlignment="1" applyProtection="1">
      <alignment vertical="center" wrapText="1"/>
      <protection hidden="1"/>
    </xf>
    <xf numFmtId="9" fontId="7" fillId="0" borderId="0" xfId="0" applyNumberFormat="1" applyFont="1" applyAlignment="1" applyProtection="1">
      <alignment vertical="center" wrapText="1"/>
      <protection hidden="1"/>
    </xf>
    <xf numFmtId="43" fontId="7" fillId="0" borderId="0" xfId="1" applyFont="1" applyAlignment="1" applyProtection="1">
      <alignment vertical="center" wrapText="1"/>
      <protection hidden="1"/>
    </xf>
    <xf numFmtId="164" fontId="7" fillId="3" borderId="2" xfId="0" applyFont="1" applyFill="1" applyBorder="1" applyAlignment="1" applyProtection="1">
      <alignment vertical="center" wrapText="1"/>
      <protection hidden="1"/>
    </xf>
    <xf numFmtId="4" fontId="7" fillId="0" borderId="5" xfId="2" applyNumberFormat="1" applyFont="1" applyFill="1" applyBorder="1" applyAlignment="1" applyProtection="1">
      <alignment horizontal="right" vertical="center" wrapText="1" readingOrder="1"/>
      <protection locked="0"/>
    </xf>
    <xf numFmtId="4" fontId="7" fillId="0" borderId="1" xfId="2" applyNumberFormat="1" applyFont="1" applyFill="1" applyBorder="1" applyAlignment="1" applyProtection="1">
      <alignment horizontal="right" vertical="center" wrapText="1" readingOrder="1"/>
      <protection hidden="1"/>
    </xf>
    <xf numFmtId="10" fontId="7" fillId="0" borderId="0" xfId="2" applyNumberFormat="1" applyFont="1" applyBorder="1" applyAlignment="1" applyProtection="1">
      <alignment horizontal="right" vertical="center" wrapText="1"/>
      <protection hidden="1"/>
    </xf>
    <xf numFmtId="165" fontId="18" fillId="0" borderId="0" xfId="1" applyNumberFormat="1" applyFont="1" applyBorder="1" applyAlignment="1" applyProtection="1">
      <alignment horizontal="right" vertical="center" wrapText="1"/>
      <protection hidden="1"/>
    </xf>
    <xf numFmtId="10" fontId="18" fillId="0" borderId="0" xfId="0" applyNumberFormat="1" applyFont="1" applyAlignment="1" applyProtection="1">
      <alignment vertical="center" wrapText="1"/>
      <protection hidden="1"/>
    </xf>
    <xf numFmtId="4" fontId="18" fillId="0" borderId="0" xfId="0" applyNumberFormat="1" applyFont="1" applyAlignment="1" applyProtection="1">
      <alignment vertical="center" wrapText="1"/>
      <protection hidden="1"/>
    </xf>
    <xf numFmtId="164" fontId="7" fillId="0" borderId="8" xfId="0" applyFont="1" applyBorder="1" applyAlignment="1" applyProtection="1">
      <alignment horizontal="center" vertical="top" wrapText="1" readingOrder="1"/>
      <protection hidden="1"/>
    </xf>
    <xf numFmtId="164" fontId="22" fillId="0" borderId="0" xfId="0" applyFont="1" applyAlignment="1" applyProtection="1">
      <alignment vertical="center" wrapText="1"/>
      <protection hidden="1"/>
    </xf>
    <xf numFmtId="164" fontId="25" fillId="0" borderId="0" xfId="0" applyFont="1" applyAlignment="1" applyProtection="1">
      <alignment vertical="center" wrapText="1"/>
      <protection hidden="1"/>
    </xf>
    <xf numFmtId="164" fontId="22" fillId="0" borderId="0" xfId="0" applyFont="1" applyProtection="1">
      <protection hidden="1"/>
    </xf>
    <xf numFmtId="164" fontId="22" fillId="0" borderId="0" xfId="0" applyFont="1" applyAlignment="1" applyProtection="1">
      <alignment wrapText="1"/>
      <protection hidden="1"/>
    </xf>
    <xf numFmtId="164" fontId="22" fillId="0" borderId="0" xfId="0" applyFont="1" applyAlignment="1" applyProtection="1">
      <alignment horizontal="justify" wrapText="1"/>
      <protection hidden="1"/>
    </xf>
    <xf numFmtId="164" fontId="24" fillId="0" borderId="2" xfId="0" applyFont="1" applyBorder="1" applyAlignment="1" applyProtection="1">
      <alignment wrapText="1"/>
      <protection hidden="1"/>
    </xf>
    <xf numFmtId="164" fontId="22" fillId="0" borderId="2" xfId="0" applyFont="1" applyBorder="1" applyAlignment="1" applyProtection="1">
      <alignment vertical="center" wrapText="1"/>
      <protection hidden="1"/>
    </xf>
    <xf numFmtId="10" fontId="25" fillId="0" borderId="0" xfId="2" applyNumberFormat="1" applyFont="1" applyAlignment="1" applyProtection="1">
      <alignment vertical="center" wrapText="1"/>
      <protection hidden="1"/>
    </xf>
    <xf numFmtId="176" fontId="25" fillId="0" borderId="0" xfId="2" applyNumberFormat="1" applyFont="1" applyAlignment="1" applyProtection="1">
      <alignment vertical="center" wrapText="1"/>
      <protection hidden="1"/>
    </xf>
    <xf numFmtId="164" fontId="22" fillId="0" borderId="0" xfId="0" applyFont="1" applyAlignment="1" applyProtection="1">
      <alignment horizontal="distributed" wrapText="1"/>
      <protection hidden="1"/>
    </xf>
    <xf numFmtId="171" fontId="18" fillId="0" borderId="0" xfId="0" applyNumberFormat="1" applyFont="1" applyAlignment="1" applyProtection="1">
      <alignment vertical="center" wrapText="1"/>
      <protection hidden="1"/>
    </xf>
    <xf numFmtId="171" fontId="22" fillId="0" borderId="2" xfId="0" applyNumberFormat="1" applyFont="1" applyBorder="1" applyAlignment="1" applyProtection="1">
      <alignment horizontal="center" vertical="center" wrapText="1"/>
      <protection locked="0"/>
    </xf>
    <xf numFmtId="164" fontId="7" fillId="0" borderId="0" xfId="0" applyFont="1" applyAlignment="1" applyProtection="1">
      <alignment horizontal="left" vertical="center" wrapText="1"/>
      <protection hidden="1"/>
    </xf>
    <xf numFmtId="171" fontId="25" fillId="0" borderId="0" xfId="0" applyNumberFormat="1" applyFont="1" applyAlignment="1" applyProtection="1">
      <alignment vertical="center" wrapText="1"/>
      <protection hidden="1"/>
    </xf>
    <xf numFmtId="9" fontId="25" fillId="0" borderId="0" xfId="2" applyFont="1" applyAlignment="1" applyProtection="1">
      <alignment vertical="center" wrapText="1"/>
      <protection hidden="1"/>
    </xf>
    <xf numFmtId="2" fontId="7" fillId="0" borderId="5" xfId="0" applyNumberFormat="1" applyFont="1" applyBorder="1" applyAlignment="1" applyProtection="1">
      <alignment vertical="center" wrapText="1"/>
      <protection hidden="1"/>
    </xf>
    <xf numFmtId="164" fontId="28" fillId="0" borderId="0" xfId="0" applyFont="1" applyAlignment="1" applyProtection="1">
      <alignment horizontal="center" vertical="center" wrapText="1"/>
      <protection hidden="1"/>
    </xf>
    <xf numFmtId="164" fontId="22" fillId="0" borderId="3" xfId="0" applyFont="1" applyBorder="1" applyAlignment="1" applyProtection="1">
      <alignment wrapText="1"/>
      <protection hidden="1"/>
    </xf>
    <xf numFmtId="164" fontId="7" fillId="0" borderId="5" xfId="0" applyFont="1" applyBorder="1" applyAlignment="1" applyProtection="1">
      <alignment vertical="top" wrapText="1" readingOrder="1"/>
      <protection hidden="1"/>
    </xf>
    <xf numFmtId="164" fontId="22" fillId="0" borderId="4" xfId="0" applyFont="1" applyBorder="1" applyAlignment="1" applyProtection="1">
      <alignment vertical="top" wrapText="1"/>
      <protection hidden="1"/>
    </xf>
    <xf numFmtId="164" fontId="22" fillId="0" borderId="5" xfId="0" applyFont="1" applyBorder="1" applyAlignment="1" applyProtection="1">
      <alignment vertical="top" wrapText="1"/>
      <protection hidden="1"/>
    </xf>
    <xf numFmtId="164" fontId="22" fillId="0" borderId="6" xfId="0" applyFont="1" applyBorder="1" applyAlignment="1" applyProtection="1">
      <alignment vertical="top" wrapText="1"/>
      <protection hidden="1"/>
    </xf>
    <xf numFmtId="164" fontId="22" fillId="0" borderId="0" xfId="0" applyFont="1" applyAlignment="1" applyProtection="1">
      <alignment horizontal="center" vertical="center" wrapText="1"/>
      <protection hidden="1"/>
    </xf>
    <xf numFmtId="164" fontId="22" fillId="0" borderId="3" xfId="0" applyFont="1" applyBorder="1" applyAlignment="1" applyProtection="1">
      <alignment horizontal="center" wrapText="1"/>
      <protection locked="0"/>
    </xf>
    <xf numFmtId="171" fontId="7" fillId="0" borderId="5" xfId="0" applyNumberFormat="1" applyFont="1" applyBorder="1" applyAlignment="1" applyProtection="1">
      <alignment horizontal="center" vertical="center" wrapText="1"/>
      <protection hidden="1"/>
    </xf>
    <xf numFmtId="164" fontId="7" fillId="0" borderId="5" xfId="0" applyFont="1" applyBorder="1" applyAlignment="1" applyProtection="1">
      <alignment vertical="center" wrapText="1"/>
      <protection locked="0"/>
    </xf>
    <xf numFmtId="2" fontId="22" fillId="0" borderId="3" xfId="0" applyNumberFormat="1" applyFont="1" applyBorder="1" applyAlignment="1" applyProtection="1">
      <alignment horizontal="right" wrapText="1"/>
      <protection hidden="1"/>
    </xf>
    <xf numFmtId="175" fontId="22" fillId="0" borderId="3" xfId="2" applyNumberFormat="1" applyFont="1" applyBorder="1" applyAlignment="1" applyProtection="1">
      <alignment horizontal="right" wrapText="1"/>
      <protection hidden="1"/>
    </xf>
    <xf numFmtId="171" fontId="22" fillId="9" borderId="4" xfId="0" applyNumberFormat="1" applyFont="1" applyFill="1" applyBorder="1" applyAlignment="1" applyProtection="1">
      <alignment horizontal="center" vertical="top" wrapText="1"/>
      <protection hidden="1"/>
    </xf>
    <xf numFmtId="171" fontId="22" fillId="9" borderId="6" xfId="0" applyNumberFormat="1" applyFont="1" applyFill="1" applyBorder="1" applyAlignment="1" applyProtection="1">
      <alignment horizontal="center" vertical="top" wrapText="1"/>
      <protection hidden="1"/>
    </xf>
    <xf numFmtId="164" fontId="24" fillId="9" borderId="3" xfId="0" applyFont="1" applyFill="1" applyBorder="1" applyAlignment="1" applyProtection="1">
      <alignment horizontal="center" vertical="center" wrapText="1"/>
      <protection hidden="1"/>
    </xf>
    <xf numFmtId="164" fontId="22" fillId="0" borderId="0" xfId="0" applyFont="1" applyAlignment="1" applyProtection="1">
      <alignment horizontal="justify" vertical="center" wrapText="1"/>
      <protection hidden="1"/>
    </xf>
    <xf numFmtId="164" fontId="26" fillId="0" borderId="2" xfId="0" applyFont="1" applyBorder="1" applyAlignment="1" applyProtection="1">
      <alignment vertical="center" wrapText="1"/>
      <protection hidden="1"/>
    </xf>
    <xf numFmtId="170" fontId="22" fillId="0" borderId="2" xfId="0" applyNumberFormat="1" applyFont="1" applyBorder="1" applyAlignment="1" applyProtection="1">
      <alignment vertical="center" wrapText="1"/>
      <protection hidden="1"/>
    </xf>
    <xf numFmtId="164" fontId="22" fillId="0" borderId="2" xfId="0" applyFont="1" applyBorder="1" applyAlignment="1" applyProtection="1">
      <alignment horizontal="justify" vertical="center" wrapText="1"/>
      <protection hidden="1"/>
    </xf>
    <xf numFmtId="176" fontId="22" fillId="0" borderId="3" xfId="2" applyNumberFormat="1" applyFont="1" applyBorder="1" applyAlignment="1" applyProtection="1">
      <alignment horizontal="right" vertical="top" wrapText="1"/>
      <protection hidden="1"/>
    </xf>
    <xf numFmtId="164" fontId="24" fillId="9" borderId="4" xfId="0" applyFont="1" applyFill="1" applyBorder="1" applyAlignment="1" applyProtection="1">
      <alignment horizontal="center" vertical="center" wrapText="1"/>
      <protection hidden="1"/>
    </xf>
    <xf numFmtId="164" fontId="24" fillId="9" borderId="5" xfId="0" applyFont="1" applyFill="1" applyBorder="1" applyAlignment="1" applyProtection="1">
      <alignment horizontal="center" vertical="center" wrapText="1"/>
      <protection hidden="1"/>
    </xf>
    <xf numFmtId="164" fontId="24" fillId="9" borderId="6" xfId="0" applyFont="1" applyFill="1" applyBorder="1" applyAlignment="1" applyProtection="1">
      <alignment horizontal="center" vertical="center" wrapText="1"/>
      <protection hidden="1"/>
    </xf>
    <xf numFmtId="164" fontId="7" fillId="0" borderId="5" xfId="0" applyFont="1" applyBorder="1" applyAlignment="1" applyProtection="1">
      <alignment vertical="center" wrapText="1"/>
      <protection hidden="1"/>
    </xf>
    <xf numFmtId="4" fontId="7" fillId="0" borderId="5" xfId="0" applyNumberFormat="1" applyFont="1" applyBorder="1" applyAlignment="1" applyProtection="1">
      <alignment horizontal="right" vertical="top" wrapText="1" readingOrder="1"/>
      <protection locked="0"/>
    </xf>
    <xf numFmtId="9" fontId="7" fillId="0" borderId="5" xfId="2" applyFont="1" applyBorder="1" applyAlignment="1" applyProtection="1">
      <alignment horizontal="right" vertical="top" wrapText="1" readingOrder="1"/>
      <protection hidden="1"/>
    </xf>
    <xf numFmtId="2" fontId="7" fillId="0" borderId="5" xfId="0" applyNumberFormat="1" applyFont="1" applyBorder="1" applyAlignment="1" applyProtection="1">
      <alignment horizontal="right" vertical="top" wrapText="1" readingOrder="1"/>
      <protection hidden="1"/>
    </xf>
    <xf numFmtId="164" fontId="7" fillId="0" borderId="0" xfId="0" applyFont="1" applyAlignment="1" applyProtection="1">
      <alignment horizontal="justify" vertical="center" wrapText="1" readingOrder="1"/>
      <protection hidden="1"/>
    </xf>
    <xf numFmtId="171" fontId="22" fillId="9" borderId="35" xfId="0" applyNumberFormat="1" applyFont="1" applyFill="1" applyBorder="1" applyAlignment="1" applyProtection="1">
      <alignment horizontal="center" vertical="top" wrapText="1"/>
      <protection hidden="1"/>
    </xf>
    <xf numFmtId="171" fontId="22" fillId="9" borderId="36" xfId="0" applyNumberFormat="1" applyFont="1" applyFill="1" applyBorder="1" applyAlignment="1" applyProtection="1">
      <alignment horizontal="center" vertical="top" wrapText="1"/>
      <protection hidden="1"/>
    </xf>
    <xf numFmtId="171" fontId="22" fillId="9" borderId="37" xfId="0" applyNumberFormat="1" applyFont="1" applyFill="1" applyBorder="1" applyAlignment="1" applyProtection="1">
      <alignment horizontal="center" vertical="top" wrapText="1"/>
      <protection hidden="1"/>
    </xf>
    <xf numFmtId="171" fontId="22" fillId="9" borderId="38" xfId="0" applyNumberFormat="1" applyFont="1" applyFill="1" applyBorder="1" applyAlignment="1" applyProtection="1">
      <alignment horizontal="center" vertical="top" wrapText="1"/>
      <protection hidden="1"/>
    </xf>
    <xf numFmtId="164" fontId="7" fillId="0" borderId="5" xfId="0" applyFont="1" applyBorder="1" applyAlignment="1" applyProtection="1">
      <alignment horizontal="right" vertical="center" wrapText="1"/>
      <protection hidden="1"/>
    </xf>
    <xf numFmtId="164" fontId="7" fillId="0" borderId="2" xfId="0" applyFont="1" applyBorder="1" applyAlignment="1" applyProtection="1">
      <alignment vertical="center" wrapText="1"/>
      <protection hidden="1"/>
    </xf>
    <xf numFmtId="164" fontId="6" fillId="5" borderId="2" xfId="0" applyFont="1" applyFill="1" applyBorder="1" applyAlignment="1" applyProtection="1">
      <alignment vertical="center" wrapText="1"/>
      <protection hidden="1"/>
    </xf>
    <xf numFmtId="164" fontId="7" fillId="3" borderId="2" xfId="0" applyFont="1" applyFill="1" applyBorder="1" applyAlignment="1" applyProtection="1">
      <alignment horizontal="center" vertical="center" wrapText="1"/>
      <protection hidden="1"/>
    </xf>
    <xf numFmtId="164" fontId="7" fillId="0" borderId="0" xfId="0" applyFont="1" applyAlignment="1" applyProtection="1">
      <alignment vertical="center" wrapText="1"/>
      <protection locked="0"/>
    </xf>
    <xf numFmtId="164" fontId="7" fillId="3" borderId="0" xfId="0" applyFont="1" applyFill="1" applyAlignment="1" applyProtection="1">
      <alignment horizontal="center" vertical="center" wrapText="1"/>
      <protection hidden="1"/>
    </xf>
    <xf numFmtId="164" fontId="7" fillId="0" borderId="5" xfId="0" applyFont="1" applyBorder="1" applyAlignment="1" applyProtection="1">
      <alignment horizontal="center" vertical="center" wrapText="1"/>
      <protection hidden="1"/>
    </xf>
    <xf numFmtId="171" fontId="7" fillId="0" borderId="8" xfId="0" applyNumberFormat="1" applyFont="1" applyBorder="1" applyAlignment="1" applyProtection="1">
      <alignment horizontal="center" vertical="center" wrapText="1"/>
      <protection hidden="1"/>
    </xf>
    <xf numFmtId="164" fontId="7" fillId="0" borderId="0" xfId="0" applyFont="1" applyAlignment="1" applyProtection="1">
      <alignment vertical="center" wrapText="1"/>
      <protection hidden="1"/>
    </xf>
    <xf numFmtId="164" fontId="7" fillId="0" borderId="14" xfId="0" applyFont="1" applyBorder="1" applyAlignment="1" applyProtection="1">
      <alignment vertical="center" wrapText="1"/>
      <protection hidden="1"/>
    </xf>
    <xf numFmtId="10" fontId="7" fillId="0" borderId="2" xfId="2" applyNumberFormat="1" applyFont="1" applyBorder="1" applyAlignment="1" applyProtection="1">
      <alignment vertical="center" wrapText="1"/>
      <protection hidden="1"/>
    </xf>
    <xf numFmtId="164" fontId="22" fillId="3" borderId="2" xfId="0" applyFont="1" applyFill="1" applyBorder="1" applyAlignment="1" applyProtection="1">
      <alignment horizontal="center" vertical="center" wrapText="1"/>
      <protection hidden="1"/>
    </xf>
    <xf numFmtId="164" fontId="22" fillId="0" borderId="5" xfId="0" applyFont="1" applyBorder="1" applyAlignment="1" applyProtection="1">
      <alignment vertical="center" wrapText="1"/>
      <protection hidden="1"/>
    </xf>
    <xf numFmtId="164" fontId="22" fillId="0" borderId="0" xfId="0" applyFont="1" applyAlignment="1" applyProtection="1">
      <alignment vertical="center" wrapText="1"/>
      <protection hidden="1"/>
    </xf>
    <xf numFmtId="175" fontId="22" fillId="0" borderId="5" xfId="0" applyNumberFormat="1" applyFont="1" applyBorder="1" applyAlignment="1" applyProtection="1">
      <alignment vertical="center" wrapText="1"/>
      <protection hidden="1"/>
    </xf>
    <xf numFmtId="164" fontId="22" fillId="0" borderId="2" xfId="0" applyFont="1" applyBorder="1" applyAlignment="1" applyProtection="1">
      <alignment vertical="center" wrapText="1"/>
      <protection hidden="1"/>
    </xf>
    <xf numFmtId="164" fontId="22" fillId="0" borderId="2" xfId="0" applyFont="1" applyBorder="1" applyAlignment="1" applyProtection="1">
      <alignment horizontal="right" vertical="center" wrapText="1"/>
      <protection hidden="1"/>
    </xf>
    <xf numFmtId="164" fontId="22" fillId="0" borderId="0" xfId="0" applyFont="1" applyAlignment="1" applyProtection="1">
      <alignment horizontal="justify" wrapText="1"/>
      <protection hidden="1"/>
    </xf>
    <xf numFmtId="164" fontId="22" fillId="0" borderId="2" xfId="0" applyFont="1" applyBorder="1" applyAlignment="1" applyProtection="1">
      <alignment horizontal="justify" wrapText="1"/>
      <protection hidden="1"/>
    </xf>
    <xf numFmtId="175" fontId="22" fillId="0" borderId="2" xfId="0" applyNumberFormat="1" applyFont="1" applyBorder="1" applyAlignment="1" applyProtection="1">
      <alignment wrapText="1"/>
      <protection hidden="1"/>
    </xf>
    <xf numFmtId="10" fontId="22" fillId="0" borderId="2" xfId="2" applyNumberFormat="1" applyFont="1" applyBorder="1" applyAlignment="1" applyProtection="1">
      <alignment horizontal="right" wrapText="1" indent="1"/>
      <protection hidden="1"/>
    </xf>
    <xf numFmtId="164" fontId="24" fillId="0" borderId="2" xfId="0" applyFont="1" applyBorder="1" applyAlignment="1" applyProtection="1">
      <alignment wrapText="1"/>
      <protection hidden="1"/>
    </xf>
    <xf numFmtId="164" fontId="22" fillId="0" borderId="2" xfId="0" applyFont="1" applyBorder="1" applyAlignment="1" applyProtection="1">
      <alignment horizontal="center" vertical="center" wrapText="1"/>
      <protection hidden="1"/>
    </xf>
    <xf numFmtId="10" fontId="22" fillId="0" borderId="2" xfId="2" applyNumberFormat="1" applyFont="1" applyBorder="1" applyAlignment="1" applyProtection="1">
      <alignment vertical="center" wrapText="1"/>
      <protection hidden="1"/>
    </xf>
    <xf numFmtId="175" fontId="22" fillId="0" borderId="2" xfId="0" applyNumberFormat="1" applyFont="1" applyBorder="1" applyAlignment="1" applyProtection="1">
      <alignment vertical="center" wrapText="1"/>
      <protection hidden="1"/>
    </xf>
    <xf numFmtId="176" fontId="22" fillId="0" borderId="3" xfId="2" applyNumberFormat="1" applyFont="1" applyBorder="1" applyAlignment="1" applyProtection="1">
      <alignment horizontal="right" wrapText="1"/>
      <protection hidden="1"/>
    </xf>
    <xf numFmtId="4" fontId="7" fillId="0" borderId="5" xfId="2" applyNumberFormat="1" applyFont="1" applyFill="1" applyBorder="1" applyAlignment="1" applyProtection="1">
      <alignment horizontal="right" vertical="center" wrapText="1" readingOrder="1"/>
      <protection hidden="1"/>
    </xf>
    <xf numFmtId="164" fontId="24" fillId="0" borderId="0" xfId="0" applyFont="1" applyAlignment="1" applyProtection="1">
      <alignment vertical="center" wrapText="1"/>
      <protection hidden="1"/>
    </xf>
    <xf numFmtId="171" fontId="22" fillId="0" borderId="2" xfId="0" applyNumberFormat="1" applyFont="1" applyBorder="1" applyAlignment="1" applyProtection="1">
      <alignment vertical="center" wrapText="1"/>
      <protection locked="0"/>
    </xf>
    <xf numFmtId="164" fontId="24" fillId="0" borderId="2" xfId="0" applyFont="1" applyBorder="1" applyAlignment="1" applyProtection="1">
      <alignment vertical="center" wrapText="1"/>
      <protection hidden="1"/>
    </xf>
    <xf numFmtId="164" fontId="22" fillId="0" borderId="2" xfId="0" applyFont="1" applyBorder="1" applyAlignment="1" applyProtection="1">
      <alignment vertical="center" wrapText="1"/>
      <protection locked="0"/>
    </xf>
    <xf numFmtId="171" fontId="22" fillId="9" borderId="3" xfId="0" applyNumberFormat="1" applyFont="1" applyFill="1" applyBorder="1" applyAlignment="1" applyProtection="1">
      <alignment horizontal="center" vertical="center" wrapText="1"/>
      <protection hidden="1"/>
    </xf>
    <xf numFmtId="10" fontId="22" fillId="0" borderId="5" xfId="2" applyNumberFormat="1" applyFont="1" applyFill="1" applyBorder="1" applyAlignment="1" applyProtection="1">
      <alignment vertical="center" wrapText="1"/>
      <protection hidden="1"/>
    </xf>
    <xf numFmtId="164" fontId="24" fillId="0" borderId="2" xfId="0" applyFont="1" applyBorder="1" applyAlignment="1" applyProtection="1">
      <alignment horizontal="right" vertical="center" wrapText="1"/>
      <protection hidden="1"/>
    </xf>
    <xf numFmtId="175" fontId="22" fillId="0" borderId="5" xfId="0" applyNumberFormat="1" applyFont="1" applyBorder="1" applyAlignment="1" applyProtection="1">
      <alignment horizontal="right" vertical="center" wrapText="1"/>
      <protection hidden="1"/>
    </xf>
    <xf numFmtId="164" fontId="22" fillId="0" borderId="5" xfId="0" applyFont="1" applyBorder="1" applyAlignment="1" applyProtection="1">
      <alignment horizontal="right" vertical="center" wrapText="1"/>
      <protection hidden="1"/>
    </xf>
    <xf numFmtId="2" fontId="22" fillId="0" borderId="2" xfId="0" applyNumberFormat="1" applyFont="1" applyBorder="1" applyAlignment="1" applyProtection="1">
      <alignment vertical="center" wrapText="1"/>
      <protection hidden="1"/>
    </xf>
    <xf numFmtId="164" fontId="22" fillId="0" borderId="35" xfId="0" applyFont="1" applyBorder="1" applyAlignment="1" applyProtection="1">
      <alignment vertical="top" wrapText="1"/>
      <protection hidden="1"/>
    </xf>
    <xf numFmtId="164" fontId="22" fillId="0" borderId="8" xfId="0" applyFont="1" applyBorder="1" applyAlignment="1" applyProtection="1">
      <alignment vertical="top" wrapText="1"/>
      <protection hidden="1"/>
    </xf>
    <xf numFmtId="164" fontId="22" fillId="0" borderId="36" xfId="0" applyFont="1" applyBorder="1" applyAlignment="1" applyProtection="1">
      <alignment vertical="top" wrapText="1"/>
      <protection hidden="1"/>
    </xf>
    <xf numFmtId="164" fontId="22" fillId="0" borderId="37" xfId="0" applyFont="1" applyBorder="1" applyAlignment="1" applyProtection="1">
      <alignment vertical="top" wrapText="1"/>
      <protection hidden="1"/>
    </xf>
    <xf numFmtId="164" fontId="22" fillId="0" borderId="2" xfId="0" applyFont="1" applyBorder="1" applyAlignment="1" applyProtection="1">
      <alignment vertical="top" wrapText="1"/>
      <protection hidden="1"/>
    </xf>
    <xf numFmtId="164" fontId="22" fillId="0" borderId="38" xfId="0" applyFont="1" applyBorder="1" applyAlignment="1" applyProtection="1">
      <alignment vertical="top" wrapText="1"/>
      <protection hidden="1"/>
    </xf>
    <xf numFmtId="168" fontId="7" fillId="0" borderId="5" xfId="0" applyNumberFormat="1" applyFont="1" applyBorder="1" applyAlignment="1" applyProtection="1">
      <alignment vertical="center" wrapText="1"/>
      <protection locked="0"/>
    </xf>
    <xf numFmtId="164" fontId="7" fillId="0" borderId="5" xfId="0" applyFont="1" applyBorder="1" applyAlignment="1" applyProtection="1">
      <alignment horizontal="left" vertical="center" wrapText="1"/>
      <protection locked="0"/>
    </xf>
    <xf numFmtId="164" fontId="7" fillId="3" borderId="2" xfId="0" applyFont="1" applyFill="1" applyBorder="1" applyAlignment="1" applyProtection="1">
      <alignment horizontal="center" vertical="center" wrapText="1" readingOrder="1"/>
      <protection hidden="1"/>
    </xf>
    <xf numFmtId="4" fontId="7" fillId="0" borderId="2" xfId="0" applyNumberFormat="1" applyFont="1" applyBorder="1" applyAlignment="1" applyProtection="1">
      <alignment horizontal="right" vertical="center" wrapText="1" readingOrder="1"/>
      <protection hidden="1"/>
    </xf>
    <xf numFmtId="164" fontId="7" fillId="0" borderId="2" xfId="0" applyFont="1" applyBorder="1" applyAlignment="1" applyProtection="1">
      <alignment horizontal="left" vertical="center" wrapText="1" readingOrder="1"/>
      <protection hidden="1"/>
    </xf>
    <xf numFmtId="2" fontId="7" fillId="0" borderId="2" xfId="0" applyNumberFormat="1" applyFont="1" applyBorder="1" applyAlignment="1" applyProtection="1">
      <alignment horizontal="right" vertical="center" wrapText="1" readingOrder="1"/>
      <protection hidden="1"/>
    </xf>
    <xf numFmtId="164" fontId="7" fillId="0" borderId="2" xfId="0" applyFont="1" applyBorder="1" applyAlignment="1" applyProtection="1">
      <alignment horizontal="right" vertical="center" wrapText="1"/>
      <protection hidden="1"/>
    </xf>
    <xf numFmtId="4" fontId="7" fillId="0" borderId="8" xfId="0" applyNumberFormat="1" applyFont="1" applyBorder="1" applyAlignment="1" applyProtection="1">
      <alignment horizontal="right" vertical="top" wrapText="1" readingOrder="1"/>
      <protection locked="0"/>
    </xf>
    <xf numFmtId="9" fontId="7" fillId="0" borderId="8" xfId="2" applyFont="1" applyBorder="1" applyAlignment="1" applyProtection="1">
      <alignment horizontal="right" vertical="top" wrapText="1" readingOrder="1"/>
      <protection hidden="1"/>
    </xf>
    <xf numFmtId="4" fontId="7" fillId="0" borderId="8" xfId="0" applyNumberFormat="1" applyFont="1" applyBorder="1" applyAlignment="1" applyProtection="1">
      <alignment horizontal="right" vertical="top" wrapText="1" readingOrder="1"/>
      <protection hidden="1"/>
    </xf>
    <xf numFmtId="2" fontId="7" fillId="0" borderId="8" xfId="0" applyNumberFormat="1" applyFont="1" applyBorder="1" applyAlignment="1" applyProtection="1">
      <alignment horizontal="right" vertical="top" wrapText="1" readingOrder="1"/>
      <protection hidden="1"/>
    </xf>
    <xf numFmtId="164" fontId="7" fillId="0" borderId="2" xfId="0" applyFont="1" applyBorder="1" applyAlignment="1" applyProtection="1">
      <alignment horizontal="right" vertical="center" wrapText="1"/>
      <protection locked="0"/>
    </xf>
    <xf numFmtId="171" fontId="7" fillId="0" borderId="0" xfId="0" applyNumberFormat="1" applyFont="1" applyAlignment="1" applyProtection="1">
      <alignment horizontal="right" vertical="center" wrapText="1"/>
      <protection locked="0"/>
    </xf>
    <xf numFmtId="164" fontId="6" fillId="0" borderId="2" xfId="0" applyFont="1" applyBorder="1" applyAlignment="1" applyProtection="1">
      <alignment vertical="center" wrapText="1"/>
      <protection hidden="1"/>
    </xf>
    <xf numFmtId="171" fontId="7" fillId="0" borderId="5" xfId="0" applyNumberFormat="1" applyFont="1" applyBorder="1" applyAlignment="1" applyProtection="1">
      <alignment horizontal="right" vertical="center" wrapText="1"/>
      <protection locked="0"/>
    </xf>
    <xf numFmtId="10" fontId="7" fillId="0" borderId="5" xfId="2" applyNumberFormat="1" applyFont="1" applyBorder="1" applyAlignment="1" applyProtection="1">
      <alignment vertical="center" wrapText="1"/>
      <protection hidden="1"/>
    </xf>
    <xf numFmtId="164" fontId="6" fillId="0" borderId="3" xfId="0" applyFont="1" applyBorder="1" applyAlignment="1" applyProtection="1">
      <alignment horizontal="center" vertical="center" wrapText="1"/>
      <protection hidden="1"/>
    </xf>
    <xf numFmtId="171" fontId="7" fillId="0" borderId="2" xfId="0" applyNumberFormat="1" applyFont="1" applyBorder="1" applyAlignment="1" applyProtection="1">
      <alignment vertical="center" wrapText="1"/>
      <protection hidden="1"/>
    </xf>
    <xf numFmtId="164" fontId="7" fillId="0" borderId="2" xfId="0" applyFont="1" applyBorder="1" applyAlignment="1" applyProtection="1">
      <alignment vertical="center" wrapText="1"/>
      <protection locked="0"/>
    </xf>
    <xf numFmtId="164" fontId="7" fillId="0" borderId="2" xfId="0" applyFont="1" applyBorder="1" applyAlignment="1" applyProtection="1">
      <alignment horizontal="left" vertical="center" wrapText="1"/>
      <protection locked="0"/>
    </xf>
    <xf numFmtId="164" fontId="24" fillId="0" borderId="2" xfId="0" applyFont="1" applyBorder="1" applyAlignment="1" applyProtection="1">
      <alignment horizontal="left" vertical="center" wrapText="1"/>
      <protection hidden="1"/>
    </xf>
    <xf numFmtId="164" fontId="7" fillId="0" borderId="3" xfId="0" applyFont="1" applyBorder="1" applyAlignment="1" applyProtection="1">
      <alignment horizontal="center" vertical="center" wrapText="1"/>
      <protection hidden="1"/>
    </xf>
    <xf numFmtId="4" fontId="7" fillId="0" borderId="0" xfId="2" applyNumberFormat="1" applyFont="1" applyFill="1" applyAlignment="1" applyProtection="1">
      <alignment horizontal="right" vertical="center" wrapText="1" readingOrder="1"/>
      <protection hidden="1"/>
    </xf>
    <xf numFmtId="164" fontId="7" fillId="0" borderId="0" xfId="0" applyFont="1" applyAlignment="1" applyProtection="1">
      <alignment horizontal="justify" vertical="center" wrapText="1"/>
      <protection hidden="1"/>
    </xf>
    <xf numFmtId="164" fontId="7" fillId="0" borderId="0" xfId="0" applyFont="1" applyAlignment="1" applyProtection="1">
      <alignment horizontal="justify" wrapText="1"/>
      <protection hidden="1"/>
    </xf>
    <xf numFmtId="1" fontId="7" fillId="0" borderId="2" xfId="1" applyNumberFormat="1" applyFont="1" applyBorder="1" applyAlignment="1" applyProtection="1">
      <alignment vertical="center" wrapText="1"/>
      <protection locked="0"/>
    </xf>
    <xf numFmtId="164" fontId="18" fillId="0" borderId="0" xfId="0" applyFont="1" applyAlignment="1" applyProtection="1">
      <alignment vertical="center" wrapText="1"/>
      <protection hidden="1"/>
    </xf>
    <xf numFmtId="9" fontId="7" fillId="0" borderId="3" xfId="2" applyFont="1" applyFill="1" applyBorder="1" applyAlignment="1" applyProtection="1">
      <alignment horizontal="center" vertical="center" wrapText="1"/>
      <protection hidden="1"/>
    </xf>
    <xf numFmtId="164" fontId="27" fillId="3" borderId="0" xfId="0" applyFont="1" applyFill="1" applyAlignment="1" applyProtection="1">
      <alignment horizontal="center" vertical="center" wrapText="1"/>
      <protection hidden="1"/>
    </xf>
    <xf numFmtId="166" fontId="7" fillId="0" borderId="5" xfId="0" applyNumberFormat="1" applyFont="1" applyBorder="1" applyAlignment="1" applyProtection="1">
      <alignment horizontal="right" vertical="center" wrapText="1"/>
      <protection hidden="1"/>
    </xf>
    <xf numFmtId="164" fontId="7" fillId="0" borderId="0" xfId="0" applyFont="1" applyAlignment="1" applyProtection="1">
      <alignment horizontal="right" vertical="center" wrapText="1"/>
      <protection hidden="1"/>
    </xf>
    <xf numFmtId="164" fontId="6" fillId="5" borderId="0" xfId="0" applyFont="1" applyFill="1" applyAlignment="1" applyProtection="1">
      <alignment horizontal="center" vertical="center" wrapText="1"/>
      <protection hidden="1"/>
    </xf>
    <xf numFmtId="10" fontId="7" fillId="0" borderId="0" xfId="0" applyNumberFormat="1" applyFont="1" applyAlignment="1" applyProtection="1">
      <alignment vertical="center" wrapText="1"/>
      <protection hidden="1"/>
    </xf>
    <xf numFmtId="164" fontId="6" fillId="0" borderId="0" xfId="0" applyFont="1" applyAlignment="1" applyProtection="1">
      <alignment horizontal="center" vertical="center" wrapText="1"/>
      <protection hidden="1"/>
    </xf>
    <xf numFmtId="164" fontId="7" fillId="0" borderId="0" xfId="0" applyFont="1" applyAlignment="1" applyProtection="1">
      <alignment horizontal="center" vertical="center" wrapText="1"/>
      <protection hidden="1"/>
    </xf>
    <xf numFmtId="164" fontId="6" fillId="2" borderId="2" xfId="0" applyFont="1" applyFill="1" applyBorder="1" applyAlignment="1" applyProtection="1">
      <alignment vertical="center" wrapText="1"/>
      <protection hidden="1"/>
    </xf>
    <xf numFmtId="10" fontId="7" fillId="0" borderId="2" xfId="0" applyNumberFormat="1" applyFont="1" applyBorder="1" applyAlignment="1" applyProtection="1">
      <alignment vertical="center" wrapText="1"/>
      <protection hidden="1"/>
    </xf>
    <xf numFmtId="9" fontId="7" fillId="0" borderId="2" xfId="2" applyFont="1" applyBorder="1" applyAlignment="1" applyProtection="1">
      <alignment vertical="center" wrapText="1"/>
      <protection hidden="1"/>
    </xf>
    <xf numFmtId="165" fontId="7" fillId="0" borderId="5" xfId="1" applyNumberFormat="1" applyFont="1" applyBorder="1" applyAlignment="1" applyProtection="1">
      <alignment horizontal="right" vertical="center" wrapText="1"/>
      <protection hidden="1"/>
    </xf>
    <xf numFmtId="10" fontId="7" fillId="0" borderId="2" xfId="2" applyNumberFormat="1" applyFont="1" applyBorder="1" applyAlignment="1" applyProtection="1">
      <alignment horizontal="right" vertical="center" wrapText="1"/>
      <protection hidden="1"/>
    </xf>
    <xf numFmtId="4" fontId="7" fillId="0" borderId="2" xfId="0" applyNumberFormat="1" applyFont="1" applyBorder="1" applyAlignment="1" applyProtection="1">
      <alignment horizontal="right" vertical="center" wrapText="1"/>
      <protection hidden="1"/>
    </xf>
    <xf numFmtId="164" fontId="6" fillId="3" borderId="0" xfId="0" applyFont="1" applyFill="1" applyAlignment="1" applyProtection="1">
      <alignment horizontal="center" vertical="center" wrapText="1"/>
      <protection hidden="1"/>
    </xf>
    <xf numFmtId="164" fontId="6" fillId="3" borderId="2" xfId="0" applyFont="1" applyFill="1" applyBorder="1" applyAlignment="1" applyProtection="1">
      <alignment horizontal="center" vertical="center" wrapText="1"/>
      <protection hidden="1"/>
    </xf>
    <xf numFmtId="164" fontId="7" fillId="0" borderId="2" xfId="0" applyFont="1" applyBorder="1" applyAlignment="1" applyProtection="1">
      <alignment horizontal="justify" vertical="center" wrapText="1"/>
      <protection hidden="1"/>
    </xf>
    <xf numFmtId="164" fontId="6" fillId="0" borderId="1" xfId="0" applyFont="1" applyBorder="1" applyAlignment="1" applyProtection="1">
      <alignment horizontal="center" vertical="center" wrapText="1"/>
      <protection hidden="1"/>
    </xf>
    <xf numFmtId="164" fontId="6" fillId="5" borderId="0" xfId="0" applyFont="1" applyFill="1" applyAlignment="1" applyProtection="1">
      <alignment vertical="center" wrapText="1"/>
      <protection hidden="1"/>
    </xf>
    <xf numFmtId="164" fontId="7" fillId="0" borderId="1" xfId="0" applyFont="1" applyBorder="1" applyAlignment="1" applyProtection="1">
      <alignment horizontal="center" vertical="center" wrapText="1"/>
      <protection hidden="1"/>
    </xf>
    <xf numFmtId="164" fontId="6" fillId="3" borderId="1" xfId="0" applyFont="1" applyFill="1" applyBorder="1" applyAlignment="1" applyProtection="1">
      <alignment horizontal="center" vertical="center" wrapText="1"/>
      <protection hidden="1"/>
    </xf>
    <xf numFmtId="164" fontId="7" fillId="0" borderId="5" xfId="0" applyFont="1" applyBorder="1" applyAlignment="1" applyProtection="1">
      <alignment horizontal="right" vertical="center" wrapText="1"/>
      <protection locked="0"/>
    </xf>
    <xf numFmtId="9" fontId="7" fillId="0" borderId="5" xfId="2" applyFont="1" applyBorder="1" applyAlignment="1" applyProtection="1">
      <alignment horizontal="right" vertical="center" wrapText="1"/>
      <protection hidden="1"/>
    </xf>
    <xf numFmtId="10" fontId="7" fillId="0" borderId="2" xfId="2" applyNumberFormat="1" applyFont="1" applyFill="1" applyBorder="1" applyAlignment="1" applyProtection="1">
      <alignment horizontal="right" vertical="center" wrapText="1"/>
      <protection hidden="1"/>
    </xf>
    <xf numFmtId="10" fontId="7" fillId="0" borderId="5" xfId="0" applyNumberFormat="1" applyFont="1" applyBorder="1" applyAlignment="1" applyProtection="1">
      <alignment vertical="center" wrapText="1"/>
      <protection hidden="1"/>
    </xf>
    <xf numFmtId="171" fontId="7" fillId="0" borderId="3" xfId="0" applyNumberFormat="1" applyFont="1" applyBorder="1" applyAlignment="1" applyProtection="1">
      <alignment horizontal="center" vertical="center" wrapText="1"/>
      <protection hidden="1"/>
    </xf>
    <xf numFmtId="164" fontId="7" fillId="3" borderId="3" xfId="0" applyFont="1" applyFill="1" applyBorder="1" applyAlignment="1" applyProtection="1">
      <alignment horizontal="center" vertical="center" wrapText="1"/>
      <protection hidden="1"/>
    </xf>
    <xf numFmtId="1" fontId="7" fillId="0" borderId="5" xfId="1" applyNumberFormat="1" applyFont="1" applyBorder="1" applyAlignment="1" applyProtection="1">
      <alignment horizontal="right" vertical="center" wrapText="1"/>
      <protection hidden="1"/>
    </xf>
    <xf numFmtId="1" fontId="7" fillId="0" borderId="2" xfId="1" applyNumberFormat="1" applyFont="1" applyBorder="1" applyAlignment="1" applyProtection="1">
      <alignment horizontal="right" vertical="center" wrapText="1"/>
      <protection locked="0"/>
    </xf>
    <xf numFmtId="164" fontId="22" fillId="3" borderId="0" xfId="0" applyFont="1" applyFill="1" applyAlignment="1" applyProtection="1">
      <alignment horizontal="center" vertical="center" wrapText="1"/>
      <protection hidden="1"/>
    </xf>
    <xf numFmtId="164" fontId="7" fillId="0" borderId="2" xfId="0" applyFont="1" applyBorder="1" applyAlignment="1" applyProtection="1">
      <alignment horizontal="center" vertical="center" wrapText="1"/>
      <protection hidden="1"/>
    </xf>
    <xf numFmtId="164" fontId="7" fillId="0" borderId="8" xfId="0" applyFont="1" applyBorder="1" applyAlignment="1" applyProtection="1">
      <alignment vertical="center" wrapText="1"/>
      <protection hidden="1"/>
    </xf>
    <xf numFmtId="171" fontId="7" fillId="3" borderId="3" xfId="0" applyNumberFormat="1" applyFont="1" applyFill="1" applyBorder="1" applyAlignment="1" applyProtection="1">
      <alignment horizontal="center" vertical="center" wrapText="1"/>
      <protection hidden="1"/>
    </xf>
    <xf numFmtId="10" fontId="3" fillId="0" borderId="24" xfId="0" applyNumberFormat="1" applyFont="1" applyBorder="1" applyAlignment="1" applyProtection="1">
      <alignment horizontal="center" vertical="center" wrapText="1"/>
      <protection hidden="1"/>
    </xf>
    <xf numFmtId="164" fontId="3" fillId="6" borderId="24" xfId="0" applyFont="1" applyFill="1" applyBorder="1" applyAlignment="1" applyProtection="1">
      <alignment horizontal="justify" vertical="center" wrapText="1"/>
      <protection hidden="1"/>
    </xf>
    <xf numFmtId="164" fontId="20" fillId="0" borderId="0" xfId="0" applyFont="1" applyAlignment="1" applyProtection="1">
      <alignment horizontal="center" vertical="center" wrapText="1"/>
      <protection hidden="1"/>
    </xf>
    <xf numFmtId="164" fontId="20" fillId="0" borderId="0" xfId="0" applyFont="1" applyAlignment="1" applyProtection="1">
      <alignment horizontal="center" vertical="center" textRotation="90" wrapText="1"/>
      <protection hidden="1"/>
    </xf>
    <xf numFmtId="164" fontId="3" fillId="0" borderId="0" xfId="0" applyFont="1" applyAlignment="1" applyProtection="1">
      <alignment vertical="center" wrapText="1"/>
      <protection hidden="1"/>
    </xf>
    <xf numFmtId="164" fontId="3" fillId="0" borderId="0" xfId="0" applyFont="1" applyAlignment="1" applyProtection="1">
      <alignment horizontal="justify" vertical="top" wrapText="1"/>
      <protection hidden="1"/>
    </xf>
    <xf numFmtId="164" fontId="3" fillId="0" borderId="0" xfId="0" applyFont="1" applyAlignment="1" applyProtection="1">
      <alignment vertical="top" wrapText="1"/>
      <protection hidden="1"/>
    </xf>
    <xf numFmtId="164" fontId="2" fillId="3" borderId="1" xfId="0" applyFont="1" applyFill="1" applyBorder="1" applyAlignment="1" applyProtection="1">
      <alignment horizontal="left" vertical="center" wrapText="1"/>
      <protection hidden="1"/>
    </xf>
    <xf numFmtId="164" fontId="3" fillId="0" borderId="0" xfId="0" applyFont="1" applyAlignment="1" applyProtection="1">
      <alignment wrapText="1"/>
      <protection hidden="1"/>
    </xf>
    <xf numFmtId="164" fontId="2" fillId="6" borderId="24" xfId="0" applyFont="1" applyFill="1" applyBorder="1" applyAlignment="1" applyProtection="1">
      <alignment horizontal="center" vertical="center" wrapText="1"/>
      <protection hidden="1"/>
    </xf>
    <xf numFmtId="164" fontId="13" fillId="0" borderId="0" xfId="0" applyFont="1" applyAlignment="1" applyProtection="1">
      <alignment horizontal="justify" vertical="center" wrapText="1"/>
      <protection hidden="1"/>
    </xf>
    <xf numFmtId="164" fontId="2" fillId="7" borderId="32" xfId="0" applyFont="1" applyFill="1" applyBorder="1" applyAlignment="1" applyProtection="1">
      <alignment horizontal="center" vertical="center" wrapText="1"/>
      <protection hidden="1"/>
    </xf>
    <xf numFmtId="164" fontId="2" fillId="7" borderId="33" xfId="0" applyFont="1" applyFill="1" applyBorder="1" applyAlignment="1" applyProtection="1">
      <alignment horizontal="center" vertical="center" wrapText="1"/>
      <protection hidden="1"/>
    </xf>
    <xf numFmtId="164" fontId="2" fillId="7" borderId="34" xfId="0" applyFont="1" applyFill="1" applyBorder="1" applyAlignment="1" applyProtection="1">
      <alignment horizontal="center" vertical="center" wrapText="1"/>
      <protection hidden="1"/>
    </xf>
    <xf numFmtId="164" fontId="3" fillId="7" borderId="3" xfId="0" applyFont="1" applyFill="1" applyBorder="1" applyAlignment="1" applyProtection="1">
      <alignment horizontal="center" vertical="center" wrapText="1"/>
      <protection hidden="1"/>
    </xf>
    <xf numFmtId="164" fontId="13" fillId="0" borderId="3" xfId="0" applyFont="1" applyBorder="1" applyAlignment="1" applyProtection="1">
      <alignment horizontal="center" vertical="center" wrapText="1"/>
      <protection hidden="1"/>
    </xf>
    <xf numFmtId="164" fontId="13" fillId="7" borderId="3" xfId="0" applyFont="1" applyFill="1" applyBorder="1" applyAlignment="1" applyProtection="1">
      <alignment horizontal="center" vertical="center" wrapText="1"/>
      <protection hidden="1"/>
    </xf>
    <xf numFmtId="164" fontId="3" fillId="8" borderId="3" xfId="0" applyFont="1" applyFill="1" applyBorder="1" applyAlignment="1" applyProtection="1">
      <alignment horizontal="center" vertical="center" wrapText="1"/>
      <protection hidden="1"/>
    </xf>
    <xf numFmtId="164" fontId="2" fillId="8" borderId="4" xfId="0" applyFont="1" applyFill="1" applyBorder="1" applyAlignment="1" applyProtection="1">
      <alignment horizontal="center" vertical="center" wrapText="1"/>
      <protection hidden="1"/>
    </xf>
    <xf numFmtId="164" fontId="2" fillId="8" borderId="5" xfId="0" applyFont="1" applyFill="1" applyBorder="1" applyAlignment="1" applyProtection="1">
      <alignment horizontal="center" vertical="center" wrapText="1"/>
      <protection hidden="1"/>
    </xf>
    <xf numFmtId="164" fontId="2" fillId="8" borderId="6" xfId="0" applyFont="1" applyFill="1" applyBorder="1" applyAlignment="1" applyProtection="1">
      <alignment horizontal="center" vertical="center" wrapText="1"/>
      <protection hidden="1"/>
    </xf>
    <xf numFmtId="10" fontId="13" fillId="0" borderId="3" xfId="0" applyNumberFormat="1" applyFont="1" applyBorder="1" applyAlignment="1" applyProtection="1">
      <alignment horizontal="right" vertical="center" wrapText="1"/>
      <protection hidden="1"/>
    </xf>
    <xf numFmtId="164" fontId="13" fillId="0" borderId="3" xfId="0" applyFont="1" applyBorder="1" applyAlignment="1" applyProtection="1">
      <alignment horizontal="right" vertical="center" wrapText="1"/>
      <protection hidden="1"/>
    </xf>
    <xf numFmtId="164" fontId="2" fillId="3" borderId="0" xfId="0" applyFont="1" applyFill="1" applyAlignment="1" applyProtection="1">
      <alignment horizontal="center" vertical="center" wrapText="1" readingOrder="1"/>
      <protection hidden="1"/>
    </xf>
    <xf numFmtId="164" fontId="13" fillId="0" borderId="31" xfId="0" applyFont="1" applyBorder="1" applyAlignment="1" applyProtection="1">
      <alignment horizontal="left" vertical="center" wrapText="1"/>
      <protection hidden="1"/>
    </xf>
    <xf numFmtId="164" fontId="13" fillId="0" borderId="31" xfId="0" applyFont="1" applyBorder="1" applyAlignment="1" applyProtection="1">
      <alignment horizontal="justify" vertical="center" wrapText="1"/>
      <protection hidden="1"/>
    </xf>
    <xf numFmtId="164" fontId="3" fillId="0" borderId="24" xfId="0" applyFont="1" applyBorder="1" applyAlignment="1" applyProtection="1">
      <alignment horizontal="center" vertical="center" wrapText="1"/>
      <protection hidden="1"/>
    </xf>
    <xf numFmtId="164" fontId="13" fillId="0" borderId="24" xfId="0" applyFont="1" applyBorder="1" applyAlignment="1" applyProtection="1">
      <alignment horizontal="left" vertical="center" wrapText="1"/>
      <protection hidden="1"/>
    </xf>
    <xf numFmtId="174" fontId="13" fillId="0" borderId="24" xfId="0" applyNumberFormat="1" applyFont="1" applyBorder="1" applyAlignment="1" applyProtection="1">
      <alignment horizontal="right" vertical="center" wrapText="1"/>
      <protection hidden="1"/>
    </xf>
    <xf numFmtId="164" fontId="13" fillId="0" borderId="24" xfId="0" applyFont="1" applyBorder="1" applyAlignment="1" applyProtection="1">
      <alignment horizontal="justify" vertical="center" wrapText="1"/>
      <protection hidden="1"/>
    </xf>
    <xf numFmtId="2" fontId="13" fillId="0" borderId="24" xfId="0" applyNumberFormat="1" applyFont="1" applyBorder="1" applyAlignment="1" applyProtection="1">
      <alignment horizontal="right" vertical="center" wrapText="1"/>
      <protection hidden="1"/>
    </xf>
    <xf numFmtId="164" fontId="3" fillId="0" borderId="0" xfId="0" applyFont="1" applyAlignment="1" applyProtection="1">
      <alignment horizontal="justify" vertical="center" wrapText="1"/>
      <protection hidden="1"/>
    </xf>
    <xf numFmtId="164" fontId="3" fillId="3" borderId="0" xfId="0" applyFont="1" applyFill="1" applyAlignment="1" applyProtection="1">
      <alignment horizontal="center" vertical="center" wrapText="1" readingOrder="1"/>
      <protection hidden="1"/>
    </xf>
    <xf numFmtId="164" fontId="3" fillId="3" borderId="25" xfId="0" applyFont="1" applyFill="1" applyBorder="1" applyAlignment="1" applyProtection="1">
      <alignment horizontal="center" vertical="center" wrapText="1" readingOrder="1"/>
      <protection hidden="1"/>
    </xf>
    <xf numFmtId="164" fontId="3" fillId="3" borderId="24" xfId="0" applyFont="1" applyFill="1" applyBorder="1" applyAlignment="1" applyProtection="1">
      <alignment horizontal="center" vertical="center" wrapText="1"/>
      <protection hidden="1"/>
    </xf>
    <xf numFmtId="164" fontId="3" fillId="7" borderId="24" xfId="0" applyFont="1" applyFill="1" applyBorder="1" applyAlignment="1" applyProtection="1">
      <alignment horizontal="center" vertical="center" wrapText="1"/>
      <protection hidden="1"/>
    </xf>
    <xf numFmtId="164" fontId="14" fillId="0" borderId="24" xfId="0" applyFont="1" applyBorder="1" applyAlignment="1" applyProtection="1">
      <alignment horizontal="left" vertical="center" wrapText="1"/>
      <protection hidden="1"/>
    </xf>
    <xf numFmtId="164" fontId="14" fillId="0" borderId="24" xfId="0" applyFont="1" applyBorder="1" applyAlignment="1" applyProtection="1">
      <alignment horizontal="right" vertical="center" wrapText="1"/>
      <protection hidden="1"/>
    </xf>
    <xf numFmtId="9" fontId="14" fillId="0" borderId="24" xfId="0" applyNumberFormat="1" applyFont="1" applyBorder="1" applyAlignment="1" applyProtection="1">
      <alignment horizontal="right" vertical="center" wrapText="1"/>
      <protection hidden="1"/>
    </xf>
    <xf numFmtId="164" fontId="3" fillId="7" borderId="24" xfId="0" applyFont="1" applyFill="1" applyBorder="1" applyAlignment="1" applyProtection="1">
      <alignment horizontal="center" vertical="center" textRotation="90" wrapText="1"/>
      <protection hidden="1"/>
    </xf>
    <xf numFmtId="164" fontId="2" fillId="3" borderId="25" xfId="0" applyFont="1" applyFill="1" applyBorder="1" applyAlignment="1" applyProtection="1">
      <alignment horizontal="center" vertical="center" wrapText="1" readingOrder="1"/>
      <protection hidden="1"/>
    </xf>
    <xf numFmtId="164" fontId="3" fillId="7" borderId="27" xfId="0" applyFont="1" applyFill="1" applyBorder="1" applyAlignment="1" applyProtection="1">
      <alignment horizontal="center" vertical="center" wrapText="1"/>
      <protection hidden="1"/>
    </xf>
    <xf numFmtId="164" fontId="3" fillId="7" borderId="28" xfId="0" applyFont="1" applyFill="1" applyBorder="1" applyAlignment="1" applyProtection="1">
      <alignment horizontal="center" vertical="center" wrapText="1"/>
      <protection hidden="1"/>
    </xf>
    <xf numFmtId="164" fontId="3" fillId="7" borderId="29" xfId="0" applyFont="1" applyFill="1" applyBorder="1" applyAlignment="1" applyProtection="1">
      <alignment horizontal="center" vertical="center" wrapText="1"/>
      <protection hidden="1"/>
    </xf>
    <xf numFmtId="164" fontId="3" fillId="7" borderId="30" xfId="0" applyFont="1" applyFill="1" applyBorder="1" applyAlignment="1" applyProtection="1">
      <alignment horizontal="center" vertical="center" wrapText="1"/>
      <protection hidden="1"/>
    </xf>
    <xf numFmtId="169" fontId="6" fillId="5" borderId="11" xfId="0" applyNumberFormat="1" applyFont="1" applyFill="1" applyBorder="1" applyAlignment="1" applyProtection="1">
      <alignment horizontal="left" vertical="center"/>
      <protection hidden="1"/>
    </xf>
    <xf numFmtId="169" fontId="6" fillId="5" borderId="7" xfId="0" applyNumberFormat="1" applyFont="1" applyFill="1" applyBorder="1" applyAlignment="1" applyProtection="1">
      <alignment horizontal="left" vertical="center"/>
      <protection hidden="1"/>
    </xf>
    <xf numFmtId="169" fontId="6" fillId="5" borderId="12" xfId="0" applyNumberFormat="1" applyFont="1" applyFill="1" applyBorder="1" applyAlignment="1" applyProtection="1">
      <alignment horizontal="left" vertical="center"/>
      <protection hidden="1"/>
    </xf>
    <xf numFmtId="164" fontId="6" fillId="0" borderId="3" xfId="0" applyFont="1" applyBorder="1" applyAlignment="1">
      <alignment vertical="center" wrapText="1"/>
    </xf>
    <xf numFmtId="164" fontId="0" fillId="0" borderId="3" xfId="0" applyBorder="1" applyAlignment="1">
      <alignment vertical="center"/>
    </xf>
    <xf numFmtId="164" fontId="6" fillId="0" borderId="4" xfId="0" applyFont="1" applyBorder="1" applyAlignment="1">
      <alignment vertical="center" wrapText="1"/>
    </xf>
    <xf numFmtId="164" fontId="6" fillId="0" borderId="5" xfId="0" applyFont="1" applyBorder="1" applyAlignment="1">
      <alignment vertical="center" wrapText="1"/>
    </xf>
    <xf numFmtId="164" fontId="8" fillId="0" borderId="4" xfId="0" applyFont="1" applyBorder="1"/>
    <xf numFmtId="164" fontId="8" fillId="0" borderId="5" xfId="0" applyFont="1" applyBorder="1"/>
    <xf numFmtId="164" fontId="8" fillId="0" borderId="6" xfId="0" applyFont="1" applyBorder="1"/>
    <xf numFmtId="169" fontId="6" fillId="5" borderId="9" xfId="0" applyNumberFormat="1" applyFont="1" applyFill="1" applyBorder="1" applyAlignment="1" applyProtection="1">
      <alignment horizontal="left" vertical="center"/>
      <protection hidden="1"/>
    </xf>
    <xf numFmtId="169" fontId="6" fillId="5" borderId="0" xfId="0" applyNumberFormat="1" applyFont="1" applyFill="1" applyAlignment="1" applyProtection="1">
      <alignment horizontal="left" vertical="center"/>
      <protection hidden="1"/>
    </xf>
    <xf numFmtId="169" fontId="6" fillId="5" borderId="10" xfId="0" applyNumberFormat="1" applyFont="1" applyFill="1" applyBorder="1" applyAlignment="1" applyProtection="1">
      <alignment horizontal="left" vertical="center"/>
      <protection hidden="1"/>
    </xf>
    <xf numFmtId="164" fontId="8" fillId="0" borderId="3" xfId="0" applyFont="1" applyBorder="1"/>
    <xf numFmtId="164" fontId="6" fillId="0" borderId="0" xfId="0" applyFont="1" applyAlignment="1">
      <alignment vertical="center"/>
    </xf>
    <xf numFmtId="164" fontId="0" fillId="0" borderId="3" xfId="0" applyBorder="1"/>
    <xf numFmtId="164" fontId="0" fillId="0" borderId="4" xfId="0" applyBorder="1" applyAlignment="1">
      <alignment vertical="center"/>
    </xf>
    <xf numFmtId="164" fontId="0" fillId="0" borderId="5" xfId="0" applyBorder="1" applyAlignment="1">
      <alignment vertical="center"/>
    </xf>
    <xf numFmtId="164" fontId="0" fillId="0" borderId="6" xfId="0" applyBorder="1" applyAlignment="1">
      <alignment vertical="center"/>
    </xf>
    <xf numFmtId="164" fontId="0" fillId="0" borderId="3" xfId="0" applyBorder="1" applyAlignment="1">
      <alignment vertical="center" shrinkToFit="1"/>
    </xf>
    <xf numFmtId="164" fontId="0" fillId="0" borderId="4" xfId="0" applyBorder="1"/>
    <xf numFmtId="164" fontId="0" fillId="0" borderId="5" xfId="0" applyBorder="1"/>
    <xf numFmtId="164" fontId="0" fillId="0" borderId="6" xfId="0" applyBorder="1"/>
    <xf numFmtId="164" fontId="9" fillId="0" borderId="0" xfId="0" applyFont="1" applyAlignment="1">
      <alignment horizontal="center" vertical="center"/>
    </xf>
    <xf numFmtId="3" fontId="0" fillId="0" borderId="3" xfId="0" applyNumberFormat="1" applyBorder="1" applyAlignment="1">
      <alignment vertical="center"/>
    </xf>
    <xf numFmtId="164" fontId="0" fillId="0" borderId="0" xfId="0"/>
    <xf numFmtId="164" fontId="7" fillId="0" borderId="0" xfId="0" applyFont="1" applyAlignment="1">
      <alignment vertical="center" wrapText="1"/>
    </xf>
    <xf numFmtId="164" fontId="7" fillId="0" borderId="0" xfId="0" applyFont="1" applyAlignment="1">
      <alignment vertical="center"/>
    </xf>
    <xf numFmtId="164" fontId="7" fillId="0" borderId="0" xfId="0" applyFont="1" applyAlignment="1" applyProtection="1">
      <alignment vertical="center"/>
      <protection locked="0"/>
    </xf>
    <xf numFmtId="164" fontId="0" fillId="0" borderId="18" xfId="0" applyBorder="1"/>
    <xf numFmtId="164" fontId="0" fillId="0" borderId="19" xfId="0" applyBorder="1"/>
    <xf numFmtId="164" fontId="0" fillId="0" borderId="20" xfId="0" applyBorder="1"/>
    <xf numFmtId="20" fontId="0" fillId="0" borderId="22" xfId="0" applyNumberFormat="1" applyBorder="1"/>
    <xf numFmtId="20" fontId="0" fillId="0" borderId="21" xfId="0" applyNumberFormat="1" applyBorder="1"/>
    <xf numFmtId="20" fontId="0" fillId="0" borderId="23" xfId="0" applyNumberFormat="1" applyBorder="1"/>
    <xf numFmtId="164" fontId="0" fillId="0" borderId="18" xfId="0" applyBorder="1" applyAlignment="1">
      <alignment vertical="center"/>
    </xf>
    <xf numFmtId="164" fontId="0" fillId="0" borderId="19" xfId="0" applyBorder="1" applyAlignment="1">
      <alignment vertical="center"/>
    </xf>
    <xf numFmtId="164" fontId="0" fillId="0" borderId="20" xfId="0" applyBorder="1" applyAlignment="1">
      <alignment vertical="center"/>
    </xf>
    <xf numFmtId="164" fontId="0" fillId="0" borderId="22" xfId="0" applyBorder="1" applyAlignment="1">
      <alignment vertical="center"/>
    </xf>
    <xf numFmtId="164" fontId="0" fillId="0" borderId="21" xfId="0" applyBorder="1" applyAlignment="1">
      <alignment vertical="center"/>
    </xf>
    <xf numFmtId="164" fontId="0" fillId="0" borderId="23" xfId="0" applyBorder="1" applyAlignment="1">
      <alignment vertical="center"/>
    </xf>
    <xf numFmtId="164" fontId="0" fillId="0" borderId="2" xfId="0" applyBorder="1"/>
  </cellXfs>
  <cellStyles count="3">
    <cellStyle name="Normal" xfId="0" builtinId="0" customBuiltin="1"/>
    <cellStyle name="Porcentagem" xfId="2" builtinId="5"/>
    <cellStyle name="Vírgula" xfId="1" builtinId="3"/>
  </cellStyles>
  <dxfs count="27">
    <dxf>
      <fill>
        <patternFill>
          <bgColor rgb="FFFF0000"/>
        </patternFill>
      </fill>
    </dxf>
    <dxf>
      <fill>
        <patternFill>
          <bgColor rgb="FFFF0000"/>
        </patternFill>
      </fill>
    </dxf>
    <dxf>
      <fill>
        <patternFill>
          <bgColor rgb="FFFFFF00"/>
        </patternFill>
      </fill>
    </dxf>
    <dxf>
      <font>
        <color rgb="FFFF0000"/>
      </font>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ont>
        <color auto="1"/>
      </font>
      <fill>
        <patternFill>
          <bgColor rgb="FFFFFF00"/>
        </patternFill>
      </fill>
    </dxf>
    <dxf>
      <fill>
        <patternFill>
          <bgColor rgb="FFFFFF00"/>
        </patternFill>
      </fill>
    </dxf>
    <dxf>
      <font>
        <color rgb="FFFF0000"/>
      </font>
    </dxf>
    <dxf>
      <font>
        <color rgb="FFFF0000"/>
      </font>
    </dxf>
    <dxf>
      <font>
        <color rgb="FFFF0000"/>
      </font>
    </dxf>
    <dxf>
      <font>
        <color rgb="FFFF0000"/>
      </font>
    </dxf>
    <dxf>
      <font>
        <color rgb="FFFF0000"/>
      </font>
    </dxf>
    <dxf>
      <font>
        <b/>
        <i val="0"/>
      </font>
      <fill>
        <patternFill>
          <bgColor theme="7" tint="0.59996337778862885"/>
        </patternFill>
      </fill>
      <border>
        <left/>
        <right/>
        <top/>
        <bottom/>
      </border>
    </dxf>
    <dxf>
      <font>
        <b/>
        <i val="0"/>
      </font>
      <fill>
        <patternFill>
          <bgColor theme="7" tint="0.59996337778862885"/>
        </patternFill>
      </fill>
      <border>
        <left/>
        <right/>
        <top/>
        <bottom/>
      </border>
    </dxf>
    <dxf>
      <font>
        <color rgb="FFFF0000"/>
      </font>
    </dxf>
    <dxf>
      <font>
        <color rgb="FFFF0000"/>
      </font>
    </dxf>
    <dxf>
      <font>
        <b/>
        <i val="0"/>
      </font>
      <fill>
        <patternFill>
          <bgColor theme="7" tint="0.59996337778862885"/>
        </patternFill>
      </fill>
      <border>
        <left/>
        <right/>
        <top/>
        <bottom/>
      </border>
    </dxf>
    <dxf>
      <font>
        <b/>
        <i val="0"/>
      </font>
      <fill>
        <patternFill>
          <bgColor theme="7" tint="0.59996337778862885"/>
        </patternFill>
      </fill>
      <border>
        <left/>
        <right/>
        <top/>
        <bottom/>
      </border>
    </dxf>
    <dxf>
      <font>
        <color rgb="FFFF0000"/>
      </font>
    </dxf>
    <dxf>
      <font>
        <color rgb="FFFF0000"/>
      </font>
    </dxf>
    <dxf>
      <font>
        <color rgb="FFFF0000"/>
      </font>
    </dxf>
    <dxf>
      <font>
        <color rgb="FFFF0000"/>
      </font>
    </dxf>
  </dxfs>
  <tableStyles count="0" defaultTableStyle="TableStyleMedium2" defaultPivotStyle="PivotStyleLight16"/>
  <colors>
    <mruColors>
      <color rgb="FFB9CFD9"/>
      <color rgb="FF213A8F"/>
      <color rgb="FFB8C5EE"/>
      <color rgb="FFE52621"/>
      <color rgb="FFFFFFFF"/>
      <color rgb="FF010101"/>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itens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BENFEITORIAS'!$L$53:$L$64</c:f>
              <c:numCache>
                <c:formatCode>#,##0.00_ ;[Red]\-#,##0.00\ </c:formatCode>
                <c:ptCount val="12"/>
                <c:pt idx="0">
                  <c:v>0.90000000000000036</c:v>
                </c:pt>
                <c:pt idx="1">
                  <c:v>0.95000000000000018</c:v>
                </c:pt>
                <c:pt idx="2">
                  <c:v>1</c:v>
                </c:pt>
                <c:pt idx="3">
                  <c:v>1.25</c:v>
                </c:pt>
                <c:pt idx="4">
                  <c:v>1</c:v>
                </c:pt>
                <c:pt idx="5">
                  <c:v>1</c:v>
                </c:pt>
                <c:pt idx="6">
                  <c:v>0.79999999999999982</c:v>
                </c:pt>
                <c:pt idx="7">
                  <c:v>1</c:v>
                </c:pt>
                <c:pt idx="8">
                  <c:v>1</c:v>
                </c:pt>
                <c:pt idx="9">
                  <c:v>1</c:v>
                </c:pt>
                <c:pt idx="10">
                  <c:v>0.60000000000000053</c:v>
                </c:pt>
                <c:pt idx="11">
                  <c:v>1</c:v>
                </c:pt>
              </c:numCache>
            </c:numRef>
          </c:val>
          <c:extLst>
            <c:ext xmlns:c16="http://schemas.microsoft.com/office/drawing/2014/chart" uri="{C3380CC4-5D6E-409C-BE32-E72D297353CC}">
              <c16:uniqueId val="{00000000-856B-4272-AB9B-2BD4692A542C}"/>
            </c:ext>
          </c:extLst>
        </c:ser>
        <c:dLbls>
          <c:showLegendKey val="0"/>
          <c:showVal val="0"/>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itens 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BENFEITORIAS'!$L$53:$L$64</c:f>
              <c:numCache>
                <c:formatCode>#,##0.00_ ;[Red]\-#,##0.00\ </c:formatCode>
                <c:ptCount val="12"/>
                <c:pt idx="0">
                  <c:v>0.90000000000000036</c:v>
                </c:pt>
                <c:pt idx="1">
                  <c:v>0.95000000000000018</c:v>
                </c:pt>
                <c:pt idx="2">
                  <c:v>1</c:v>
                </c:pt>
                <c:pt idx="3">
                  <c:v>1.25</c:v>
                </c:pt>
                <c:pt idx="4">
                  <c:v>1</c:v>
                </c:pt>
                <c:pt idx="5">
                  <c:v>1</c:v>
                </c:pt>
                <c:pt idx="6">
                  <c:v>0.79999999999999982</c:v>
                </c:pt>
                <c:pt idx="7">
                  <c:v>1</c:v>
                </c:pt>
                <c:pt idx="8">
                  <c:v>1</c:v>
                </c:pt>
                <c:pt idx="9">
                  <c:v>1</c:v>
                </c:pt>
                <c:pt idx="10">
                  <c:v>0.60000000000000053</c:v>
                </c:pt>
                <c:pt idx="11">
                  <c:v>1</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itens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val>
            <c:numRef>
              <c:f>'TERRENO E BENFEITORIAS'!$N$53:$N$64</c:f>
              <c:numCache>
                <c:formatCode>#,##0.00_ ;[Red]\-#,##0.00\ </c:formatCode>
                <c:ptCount val="12"/>
                <c:pt idx="0">
                  <c:v>0.90000000000000036</c:v>
                </c:pt>
                <c:pt idx="1">
                  <c:v>0.90000000000000036</c:v>
                </c:pt>
                <c:pt idx="2">
                  <c:v>0.90000000000000036</c:v>
                </c:pt>
                <c:pt idx="3">
                  <c:v>0.90000000000000036</c:v>
                </c:pt>
                <c:pt idx="4">
                  <c:v>0.90000000000000036</c:v>
                </c:pt>
                <c:pt idx="5">
                  <c:v>0.90000000000000036</c:v>
                </c:pt>
                <c:pt idx="6">
                  <c:v>0.90000000000000036</c:v>
                </c:pt>
                <c:pt idx="7">
                  <c:v>0.90000000000000036</c:v>
                </c:pt>
                <c:pt idx="8">
                  <c:v>0.90000000000000036</c:v>
                </c:pt>
                <c:pt idx="9">
                  <c:v>0.90000000000000036</c:v>
                </c:pt>
                <c:pt idx="10">
                  <c:v>0.90000000000000036</c:v>
                </c:pt>
                <c:pt idx="11">
                  <c:v>0.90000000000000036</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pt-BR" sz="1050" b="1"/>
              <a:t>Proporções</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spPr>
            <a:ln w="0">
              <a:noFill/>
            </a:ln>
          </c:spPr>
          <c:dPt>
            <c:idx val="0"/>
            <c:bubble3D val="0"/>
            <c:spPr>
              <a:solidFill>
                <a:schemeClr val="accent1"/>
              </a:solidFill>
              <a:ln w="0">
                <a:noFill/>
              </a:ln>
              <a:effectLst/>
            </c:spPr>
            <c:extLst>
              <c:ext xmlns:c16="http://schemas.microsoft.com/office/drawing/2014/chart" uri="{C3380CC4-5D6E-409C-BE32-E72D297353CC}">
                <c16:uniqueId val="{00000001-1C04-4B3B-9C74-E95F21BA7D4C}"/>
              </c:ext>
            </c:extLst>
          </c:dPt>
          <c:dPt>
            <c:idx val="1"/>
            <c:bubble3D val="0"/>
            <c:spPr>
              <a:solidFill>
                <a:srgbClr val="B9CFD9"/>
              </a:solidFill>
              <a:ln w="0">
                <a:noFill/>
              </a:ln>
              <a:effectLst/>
            </c:spPr>
            <c:extLst>
              <c:ext xmlns:c16="http://schemas.microsoft.com/office/drawing/2014/chart" uri="{C3380CC4-5D6E-409C-BE32-E72D297353CC}">
                <c16:uniqueId val="{00000003-1C04-4B3B-9C74-E95F21BA7D4C}"/>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Terreno</c:v>
              </c:pt>
              <c:pt idx="1">
                <c:v>Edificações</c:v>
              </c:pt>
            </c:strLit>
          </c:cat>
          <c:val>
            <c:numRef>
              <c:f>'TERRENO E BENFEITORIAS'!$Z$520:$Z$521</c:f>
              <c:numCache>
                <c:formatCode>0.0%</c:formatCode>
                <c:ptCount val="2"/>
                <c:pt idx="0">
                  <c:v>0.46190070064494765</c:v>
                </c:pt>
                <c:pt idx="1">
                  <c:v>0.53809929935505241</c:v>
                </c:pt>
              </c:numCache>
            </c:numRef>
          </c:val>
          <c:extLst>
            <c:ext xmlns:c16="http://schemas.microsoft.com/office/drawing/2014/chart" uri="{C3380CC4-5D6E-409C-BE32-E72D297353CC}">
              <c16:uniqueId val="{00000004-1C04-4B3B-9C74-E95F21BA7D4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a:outerShdw blurRad="50800" dist="38100" dir="2700000" algn="tl" rotWithShape="0">
        <a:prstClr val="black">
          <a:alpha val="40000"/>
        </a:prstClr>
      </a:outerShdw>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'TERRENO E BENFEITORIAS'!$AA$208</c:f>
              <c:strCache>
                <c:ptCount val="1"/>
                <c:pt idx="0">
                  <c:v>Média</c:v>
                </c:pt>
              </c:strCache>
            </c:strRef>
          </c:tx>
          <c:spPr>
            <a:ln w="19050" cap="sq">
              <a:solidFill>
                <a:schemeClr val="tx1">
                  <a:lumMod val="65000"/>
                  <a:lumOff val="35000"/>
                </a:schemeClr>
              </a:solidFill>
              <a:prstDash val="dash"/>
              <a:round/>
            </a:ln>
            <a:effectLst/>
          </c:spPr>
          <c:marker>
            <c:symbol val="none"/>
          </c:marker>
          <c:val>
            <c:numRef>
              <c:f>'TERRENO E BENFEITORIAS'!$AA$209:$AA$220</c:f>
              <c:numCache>
                <c:formatCode>#,##0.00_ ;[Red]\-#,##0.00\ </c:formatCode>
                <c:ptCount val="12"/>
                <c:pt idx="0">
                  <c:v>506.78875273700447</c:v>
                </c:pt>
                <c:pt idx="1">
                  <c:v>506.78875273700447</c:v>
                </c:pt>
                <c:pt idx="2">
                  <c:v>506.78875273700447</c:v>
                </c:pt>
                <c:pt idx="3">
                  <c:v>506.78875273700447</c:v>
                </c:pt>
                <c:pt idx="4">
                  <c:v>506.78875273700447</c:v>
                </c:pt>
                <c:pt idx="5">
                  <c:v>506.78875273700447</c:v>
                </c:pt>
                <c:pt idx="6">
                  <c:v>506.78875273700447</c:v>
                </c:pt>
                <c:pt idx="7">
                  <c:v>506.78875273700447</c:v>
                </c:pt>
                <c:pt idx="8">
                  <c:v>506.78875273700447</c:v>
                </c:pt>
                <c:pt idx="9">
                  <c:v>506.78875273700447</c:v>
                </c:pt>
                <c:pt idx="10">
                  <c:v>506.78875273700447</c:v>
                </c:pt>
                <c:pt idx="11">
                  <c:v>506.78875273700447</c:v>
                </c:pt>
              </c:numCache>
            </c:numRef>
          </c:val>
          <c:smooth val="0"/>
          <c:extLst>
            <c:ext xmlns:c16="http://schemas.microsoft.com/office/drawing/2014/chart" uri="{C3380CC4-5D6E-409C-BE32-E72D297353CC}">
              <c16:uniqueId val="{00000000-1678-446D-B6C4-E59F60D21F0F}"/>
            </c:ext>
          </c:extLst>
        </c:ser>
        <c:ser>
          <c:idx val="2"/>
          <c:order val="2"/>
          <c:tx>
            <c:strRef>
              <c:f>'TERRENO E BENFEITORIAS'!$Z$208</c:f>
              <c:strCache>
                <c:ptCount val="1"/>
                <c:pt idx="0">
                  <c:v>Limite superior</c:v>
                </c:pt>
              </c:strCache>
            </c:strRef>
          </c:tx>
          <c:spPr>
            <a:ln w="12700" cap="sq">
              <a:solidFill>
                <a:srgbClr val="0070C0"/>
              </a:solidFill>
              <a:prstDash val="solid"/>
              <a:round/>
            </a:ln>
            <a:effectLst/>
          </c:spPr>
          <c:marker>
            <c:symbol val="none"/>
          </c:marker>
          <c:val>
            <c:numRef>
              <c:f>'TERRENO E BENFEITORIAS'!$Z$209:$Z$220</c:f>
              <c:numCache>
                <c:formatCode>#,##0.00_ ;[Red]\-#,##0.00\ </c:formatCode>
                <c:ptCount val="12"/>
                <c:pt idx="0">
                  <c:v>658.82537855810585</c:v>
                </c:pt>
                <c:pt idx="1">
                  <c:v>658.82537855810585</c:v>
                </c:pt>
                <c:pt idx="2">
                  <c:v>658.82537855810585</c:v>
                </c:pt>
                <c:pt idx="3">
                  <c:v>658.82537855810585</c:v>
                </c:pt>
                <c:pt idx="4">
                  <c:v>658.82537855810585</c:v>
                </c:pt>
                <c:pt idx="5">
                  <c:v>658.82537855810585</c:v>
                </c:pt>
                <c:pt idx="6">
                  <c:v>658.82537855810585</c:v>
                </c:pt>
                <c:pt idx="7">
                  <c:v>658.82537855810585</c:v>
                </c:pt>
                <c:pt idx="8">
                  <c:v>658.82537855810585</c:v>
                </c:pt>
                <c:pt idx="9">
                  <c:v>658.82537855810585</c:v>
                </c:pt>
                <c:pt idx="10">
                  <c:v>658.82537855810585</c:v>
                </c:pt>
                <c:pt idx="11">
                  <c:v>658.82537855810585</c:v>
                </c:pt>
              </c:numCache>
            </c:numRef>
          </c:val>
          <c:smooth val="0"/>
          <c:extLst>
            <c:ext xmlns:c16="http://schemas.microsoft.com/office/drawing/2014/chart" uri="{C3380CC4-5D6E-409C-BE32-E72D297353CC}">
              <c16:uniqueId val="{00000001-1678-446D-B6C4-E59F60D21F0F}"/>
            </c:ext>
          </c:extLst>
        </c:ser>
        <c:ser>
          <c:idx val="1"/>
          <c:order val="3"/>
          <c:tx>
            <c:strRef>
              <c:f>'TERRENO E BENFEITORIAS'!$Y$208</c:f>
              <c:strCache>
                <c:ptCount val="1"/>
                <c:pt idx="0">
                  <c:v>Limite inferior</c:v>
                </c:pt>
              </c:strCache>
            </c:strRef>
          </c:tx>
          <c:spPr>
            <a:ln w="12700" cap="sq">
              <a:solidFill>
                <a:srgbClr val="FF0000"/>
              </a:solidFill>
              <a:round/>
            </a:ln>
            <a:effectLst/>
          </c:spPr>
          <c:marker>
            <c:symbol val="none"/>
          </c:marker>
          <c:val>
            <c:numRef>
              <c:f>'TERRENO E BENFEITORIAS'!$Y$209:$Y$220</c:f>
              <c:numCache>
                <c:formatCode>#,##0.00_ ;[Red]\-#,##0.00\ </c:formatCode>
                <c:ptCount val="12"/>
                <c:pt idx="0">
                  <c:v>354.75212691590309</c:v>
                </c:pt>
                <c:pt idx="1">
                  <c:v>354.75212691590309</c:v>
                </c:pt>
                <c:pt idx="2">
                  <c:v>354.75212691590309</c:v>
                </c:pt>
                <c:pt idx="3">
                  <c:v>354.75212691590309</c:v>
                </c:pt>
                <c:pt idx="4">
                  <c:v>354.75212691590309</c:v>
                </c:pt>
                <c:pt idx="5">
                  <c:v>354.75212691590309</c:v>
                </c:pt>
                <c:pt idx="6">
                  <c:v>354.75212691590309</c:v>
                </c:pt>
                <c:pt idx="7">
                  <c:v>354.75212691590309</c:v>
                </c:pt>
                <c:pt idx="8">
                  <c:v>354.75212691590309</c:v>
                </c:pt>
                <c:pt idx="9">
                  <c:v>354.75212691590309</c:v>
                </c:pt>
                <c:pt idx="10">
                  <c:v>354.75212691590309</c:v>
                </c:pt>
                <c:pt idx="11">
                  <c:v>354.75212691590309</c:v>
                </c:pt>
              </c:numCache>
            </c:numRef>
          </c:val>
          <c:smooth val="0"/>
          <c:extLst>
            <c:ext xmlns:c16="http://schemas.microsoft.com/office/drawing/2014/chart" uri="{C3380CC4-5D6E-409C-BE32-E72D297353CC}">
              <c16:uniqueId val="{00000002-1678-446D-B6C4-E59F60D21F0F}"/>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'TERRENO E BENFEITORIAS'!$D$200</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BENFEITORIAS'!$D$201:$D$212</c:f>
              <c:numCache>
                <c:formatCode>#,##0.00_ ;[Red]\-#,##0.00\ </c:formatCode>
                <c:ptCount val="12"/>
                <c:pt idx="0">
                  <c:v>500</c:v>
                </c:pt>
                <c:pt idx="1">
                  <c:v>479.6052631578948</c:v>
                </c:pt>
                <c:pt idx="2">
                  <c:v>499.50000000000017</c:v>
                </c:pt>
                <c:pt idx="3">
                  <c:v>456.00000000000023</c:v>
                </c:pt>
                <c:pt idx="4">
                  <c:v>499.50000000000017</c:v>
                </c:pt>
                <c:pt idx="5">
                  <c:v>486.00000000000017</c:v>
                </c:pt>
                <c:pt idx="6">
                  <c:v>506.25000000000028</c:v>
                </c:pt>
                <c:pt idx="7">
                  <c:v>502.20000000000022</c:v>
                </c:pt>
                <c:pt idx="8">
                  <c:v>498.96000000000015</c:v>
                </c:pt>
                <c:pt idx="9">
                  <c:v>567.00000000000023</c:v>
                </c:pt>
                <c:pt idx="11">
                  <c:v>579.66101694915278</c:v>
                </c:pt>
              </c:numCache>
            </c:numRef>
          </c:yVal>
          <c:smooth val="0"/>
          <c:extLst>
            <c:ext xmlns:c16="http://schemas.microsoft.com/office/drawing/2014/chart" uri="{C3380CC4-5D6E-409C-BE32-E72D297353CC}">
              <c16:uniqueId val="{00000003-1678-446D-B6C4-E59F60D21F0F}"/>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'TERRENO E BENFEITORIAS'!$AA$247</c:f>
              <c:strCache>
                <c:ptCount val="1"/>
                <c:pt idx="0">
                  <c:v>Média</c:v>
                </c:pt>
              </c:strCache>
            </c:strRef>
          </c:tx>
          <c:spPr>
            <a:ln w="19050" cap="rnd">
              <a:solidFill>
                <a:schemeClr val="tx1">
                  <a:lumMod val="65000"/>
                  <a:lumOff val="35000"/>
                </a:schemeClr>
              </a:solidFill>
              <a:prstDash val="dash"/>
              <a:round/>
            </a:ln>
            <a:effectLst/>
          </c:spPr>
          <c:marker>
            <c:symbol val="none"/>
          </c:marker>
          <c:val>
            <c:numRef>
              <c:f>'TERRENO E BENFEITORIAS'!$AA$248:$AA$259</c:f>
              <c:numCache>
                <c:formatCode>#,##0.00_ ;[Red]\-#,##0.00\ </c:formatCode>
                <c:ptCount val="12"/>
                <c:pt idx="0">
                  <c:v>506.78875273700447</c:v>
                </c:pt>
                <c:pt idx="1">
                  <c:v>506.78875273700447</c:v>
                </c:pt>
                <c:pt idx="2">
                  <c:v>506.78875273700447</c:v>
                </c:pt>
                <c:pt idx="3">
                  <c:v>506.78875273700447</c:v>
                </c:pt>
                <c:pt idx="4">
                  <c:v>506.78875273700447</c:v>
                </c:pt>
                <c:pt idx="5">
                  <c:v>506.78875273700447</c:v>
                </c:pt>
                <c:pt idx="6">
                  <c:v>506.78875273700447</c:v>
                </c:pt>
                <c:pt idx="7">
                  <c:v>506.78875273700447</c:v>
                </c:pt>
                <c:pt idx="8">
                  <c:v>506.78875273700447</c:v>
                </c:pt>
                <c:pt idx="9">
                  <c:v>506.78875273700447</c:v>
                </c:pt>
                <c:pt idx="10">
                  <c:v>506.78875273700447</c:v>
                </c:pt>
                <c:pt idx="11">
                  <c:v>506.78875273700447</c:v>
                </c:pt>
              </c:numCache>
            </c:numRef>
          </c:val>
          <c:smooth val="0"/>
          <c:extLst>
            <c:ext xmlns:c16="http://schemas.microsoft.com/office/drawing/2014/chart" uri="{C3380CC4-5D6E-409C-BE32-E72D297353CC}">
              <c16:uniqueId val="{00000000-8CCA-487D-8646-07C89F285775}"/>
            </c:ext>
          </c:extLst>
        </c:ser>
        <c:ser>
          <c:idx val="1"/>
          <c:order val="2"/>
          <c:tx>
            <c:strRef>
              <c:f>'TERRENO E BENFEITORIAS'!$Y$247</c:f>
              <c:strCache>
                <c:ptCount val="1"/>
                <c:pt idx="0">
                  <c:v>Limite inferior</c:v>
                </c:pt>
              </c:strCache>
            </c:strRef>
          </c:tx>
          <c:spPr>
            <a:ln w="12700" cap="sq">
              <a:solidFill>
                <a:srgbClr val="FF0000"/>
              </a:solidFill>
              <a:round/>
            </a:ln>
            <a:effectLst/>
          </c:spPr>
          <c:marker>
            <c:symbol val="none"/>
          </c:marker>
          <c:val>
            <c:numRef>
              <c:f>'TERRENO E BENFEITORIAS'!$Y$248:$Y$259</c:f>
              <c:numCache>
                <c:formatCode>#,##0.00_ ;[Red]\-#,##0.00\ </c:formatCode>
                <c:ptCount val="12"/>
                <c:pt idx="0">
                  <c:v>430.59615383664084</c:v>
                </c:pt>
                <c:pt idx="1">
                  <c:v>430.59615383664084</c:v>
                </c:pt>
                <c:pt idx="2">
                  <c:v>430.59615383664084</c:v>
                </c:pt>
                <c:pt idx="3">
                  <c:v>430.59615383664084</c:v>
                </c:pt>
                <c:pt idx="4">
                  <c:v>430.59615383664084</c:v>
                </c:pt>
                <c:pt idx="5">
                  <c:v>430.59615383664084</c:v>
                </c:pt>
                <c:pt idx="6">
                  <c:v>430.59615383664084</c:v>
                </c:pt>
                <c:pt idx="7">
                  <c:v>430.59615383664084</c:v>
                </c:pt>
                <c:pt idx="8">
                  <c:v>430.59615383664084</c:v>
                </c:pt>
                <c:pt idx="9">
                  <c:v>430.59615383664084</c:v>
                </c:pt>
                <c:pt idx="10">
                  <c:v>430.59615383664084</c:v>
                </c:pt>
                <c:pt idx="11">
                  <c:v>430.59615383664084</c:v>
                </c:pt>
              </c:numCache>
            </c:numRef>
          </c:val>
          <c:smooth val="0"/>
          <c:extLst>
            <c:ext xmlns:c16="http://schemas.microsoft.com/office/drawing/2014/chart" uri="{C3380CC4-5D6E-409C-BE32-E72D297353CC}">
              <c16:uniqueId val="{00000001-8CCA-487D-8646-07C89F285775}"/>
            </c:ext>
          </c:extLst>
        </c:ser>
        <c:ser>
          <c:idx val="3"/>
          <c:order val="3"/>
          <c:tx>
            <c:strRef>
              <c:f>'TERRENO E BENFEITORIAS'!$Z$247</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'TERRENO E BENFEITORIAS'!$Z$248:$Z$259</c:f>
              <c:numCache>
                <c:formatCode>#,##0.00_ ;[Red]\-#,##0.00\ </c:formatCode>
                <c:ptCount val="12"/>
                <c:pt idx="0">
                  <c:v>584.54710218476919</c:v>
                </c:pt>
                <c:pt idx="1">
                  <c:v>584.54710218476919</c:v>
                </c:pt>
                <c:pt idx="2">
                  <c:v>584.54710218476919</c:v>
                </c:pt>
                <c:pt idx="3">
                  <c:v>584.54710218476919</c:v>
                </c:pt>
                <c:pt idx="4">
                  <c:v>584.54710218476919</c:v>
                </c:pt>
                <c:pt idx="5">
                  <c:v>584.54710218476919</c:v>
                </c:pt>
                <c:pt idx="6">
                  <c:v>584.54710218476919</c:v>
                </c:pt>
                <c:pt idx="7">
                  <c:v>584.54710218476919</c:v>
                </c:pt>
                <c:pt idx="8">
                  <c:v>584.54710218476919</c:v>
                </c:pt>
                <c:pt idx="9">
                  <c:v>584.54710218476919</c:v>
                </c:pt>
                <c:pt idx="10">
                  <c:v>584.54710218476919</c:v>
                </c:pt>
                <c:pt idx="11">
                  <c:v>584.54710218476919</c:v>
                </c:pt>
              </c:numCache>
            </c:numRef>
          </c:val>
          <c:smooth val="0"/>
          <c:extLst>
            <c:ext xmlns:c16="http://schemas.microsoft.com/office/drawing/2014/chart" uri="{C3380CC4-5D6E-409C-BE32-E72D297353CC}">
              <c16:uniqueId val="{00000002-8CCA-487D-8646-07C89F285775}"/>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BENFEITORIAS'!$D$233</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BENFEITORIAS'!$D$234:$D$245</c:f>
              <c:numCache>
                <c:formatCode>#,##0.00_ ;[Red]\-#,##0.00\ </c:formatCode>
                <c:ptCount val="12"/>
                <c:pt idx="0">
                  <c:v>500</c:v>
                </c:pt>
                <c:pt idx="1">
                  <c:v>479.6052631578948</c:v>
                </c:pt>
                <c:pt idx="2">
                  <c:v>499.50000000000017</c:v>
                </c:pt>
                <c:pt idx="3">
                  <c:v>456.00000000000023</c:v>
                </c:pt>
                <c:pt idx="4">
                  <c:v>499.50000000000017</c:v>
                </c:pt>
                <c:pt idx="5">
                  <c:v>486.00000000000017</c:v>
                </c:pt>
                <c:pt idx="6">
                  <c:v>506.25000000000028</c:v>
                </c:pt>
                <c:pt idx="7">
                  <c:v>502.20000000000022</c:v>
                </c:pt>
                <c:pt idx="9">
                  <c:v>567.00000000000023</c:v>
                </c:pt>
                <c:pt idx="11">
                  <c:v>579.66101694915278</c:v>
                </c:pt>
              </c:numCache>
            </c:numRef>
          </c:yVal>
          <c:smooth val="0"/>
          <c:extLst>
            <c:ext xmlns:c16="http://schemas.microsoft.com/office/drawing/2014/chart" uri="{C3380CC4-5D6E-409C-BE32-E72D297353CC}">
              <c16:uniqueId val="{00000003-8CCA-487D-8646-07C89F285775}"/>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'TERRENO E BENFEITORIAS'!$AA$286</c:f>
              <c:strCache>
                <c:ptCount val="1"/>
                <c:pt idx="0">
                  <c:v>Média</c:v>
                </c:pt>
              </c:strCache>
            </c:strRef>
          </c:tx>
          <c:spPr>
            <a:ln w="19050" cap="sq">
              <a:solidFill>
                <a:schemeClr val="tx1">
                  <a:lumMod val="75000"/>
                  <a:lumOff val="25000"/>
                </a:schemeClr>
              </a:solidFill>
              <a:prstDash val="dash"/>
              <a:round/>
            </a:ln>
            <a:effectLst/>
          </c:spPr>
          <c:marker>
            <c:symbol val="none"/>
          </c:marker>
          <c:val>
            <c:numRef>
              <c:f>'TERRENO E BENFEITORIAS'!$AA$287:$AA$298</c:f>
              <c:numCache>
                <c:formatCode>#,##0.00_ ;[Red]\-#,##0.00\ </c:formatCode>
                <c:ptCount val="12"/>
                <c:pt idx="0">
                  <c:v>507.57162801070501</c:v>
                </c:pt>
                <c:pt idx="1">
                  <c:v>507.57162801070501</c:v>
                </c:pt>
                <c:pt idx="2">
                  <c:v>507.57162801070501</c:v>
                </c:pt>
                <c:pt idx="3">
                  <c:v>507.57162801070501</c:v>
                </c:pt>
                <c:pt idx="4">
                  <c:v>507.57162801070501</c:v>
                </c:pt>
                <c:pt idx="5">
                  <c:v>507.57162801070501</c:v>
                </c:pt>
                <c:pt idx="6">
                  <c:v>507.57162801070501</c:v>
                </c:pt>
                <c:pt idx="7">
                  <c:v>507.57162801070501</c:v>
                </c:pt>
                <c:pt idx="8">
                  <c:v>507.57162801070501</c:v>
                </c:pt>
                <c:pt idx="9">
                  <c:v>507.57162801070501</c:v>
                </c:pt>
                <c:pt idx="10">
                  <c:v>507.57162801070501</c:v>
                </c:pt>
                <c:pt idx="11">
                  <c:v>507.57162801070501</c:v>
                </c:pt>
              </c:numCache>
            </c:numRef>
          </c:val>
          <c:smooth val="0"/>
          <c:extLst>
            <c:ext xmlns:c16="http://schemas.microsoft.com/office/drawing/2014/chart" uri="{C3380CC4-5D6E-409C-BE32-E72D297353CC}">
              <c16:uniqueId val="{00000000-DCDB-44FD-A0F1-14807E83307E}"/>
            </c:ext>
          </c:extLst>
        </c:ser>
        <c:ser>
          <c:idx val="3"/>
          <c:order val="2"/>
          <c:tx>
            <c:strRef>
              <c:f>'TERRENO E BENFEITORIAS'!$Y$286</c:f>
              <c:strCache>
                <c:ptCount val="1"/>
                <c:pt idx="0">
                  <c:v>Limite inferior</c:v>
                </c:pt>
              </c:strCache>
            </c:strRef>
          </c:tx>
          <c:spPr>
            <a:ln w="12700" cap="sq">
              <a:solidFill>
                <a:srgbClr val="FF0000"/>
              </a:solidFill>
              <a:round/>
            </a:ln>
            <a:effectLst/>
          </c:spPr>
          <c:marker>
            <c:symbol val="none"/>
          </c:marker>
          <c:val>
            <c:numRef>
              <c:f>'TERRENO E BENFEITORIAS'!$Y$287:$Y$298</c:f>
              <c:numCache>
                <c:formatCode>#,##0.00_ ;[Red]\-#,##0.00\ </c:formatCode>
                <c:ptCount val="12"/>
                <c:pt idx="0">
                  <c:v>418.8443156418474</c:v>
                </c:pt>
                <c:pt idx="1">
                  <c:v>418.8443156418474</c:v>
                </c:pt>
                <c:pt idx="2">
                  <c:v>418.8443156418474</c:v>
                </c:pt>
                <c:pt idx="3">
                  <c:v>418.8443156418474</c:v>
                </c:pt>
                <c:pt idx="4">
                  <c:v>418.8443156418474</c:v>
                </c:pt>
                <c:pt idx="5">
                  <c:v>418.8443156418474</c:v>
                </c:pt>
                <c:pt idx="6">
                  <c:v>418.8443156418474</c:v>
                </c:pt>
                <c:pt idx="7">
                  <c:v>418.8443156418474</c:v>
                </c:pt>
                <c:pt idx="8">
                  <c:v>418.8443156418474</c:v>
                </c:pt>
                <c:pt idx="9">
                  <c:v>418.8443156418474</c:v>
                </c:pt>
                <c:pt idx="10">
                  <c:v>418.8443156418474</c:v>
                </c:pt>
                <c:pt idx="11">
                  <c:v>418.8443156418474</c:v>
                </c:pt>
              </c:numCache>
            </c:numRef>
          </c:val>
          <c:smooth val="0"/>
          <c:extLst>
            <c:ext xmlns:c16="http://schemas.microsoft.com/office/drawing/2014/chart" uri="{C3380CC4-5D6E-409C-BE32-E72D297353CC}">
              <c16:uniqueId val="{00000001-DCDB-44FD-A0F1-14807E83307E}"/>
            </c:ext>
          </c:extLst>
        </c:ser>
        <c:ser>
          <c:idx val="2"/>
          <c:order val="3"/>
          <c:tx>
            <c:strRef>
              <c:f>'TERRENO E BENFEITORIAS'!$Z$286</c:f>
              <c:strCache>
                <c:ptCount val="1"/>
                <c:pt idx="0">
                  <c:v>Limite superior</c:v>
                </c:pt>
              </c:strCache>
            </c:strRef>
          </c:tx>
          <c:spPr>
            <a:ln w="12700" cap="sq">
              <a:solidFill>
                <a:schemeClr val="tx2">
                  <a:lumMod val="50000"/>
                  <a:lumOff val="50000"/>
                </a:schemeClr>
              </a:solidFill>
              <a:round/>
            </a:ln>
            <a:effectLst/>
          </c:spPr>
          <c:marker>
            <c:symbol val="none"/>
          </c:marker>
          <c:val>
            <c:numRef>
              <c:f>'TERRENO E BENFEITORIAS'!$Z$287:$Z$298</c:f>
              <c:numCache>
                <c:formatCode>#,##0.00_ ;[Red]\-#,##0.00\ </c:formatCode>
                <c:ptCount val="12"/>
                <c:pt idx="0">
                  <c:v>596.29894037956262</c:v>
                </c:pt>
                <c:pt idx="1">
                  <c:v>596.29894037956262</c:v>
                </c:pt>
                <c:pt idx="2">
                  <c:v>596.29894037956262</c:v>
                </c:pt>
                <c:pt idx="3">
                  <c:v>596.29894037956262</c:v>
                </c:pt>
                <c:pt idx="4">
                  <c:v>596.29894037956262</c:v>
                </c:pt>
                <c:pt idx="5">
                  <c:v>596.29894037956262</c:v>
                </c:pt>
                <c:pt idx="6">
                  <c:v>596.29894037956262</c:v>
                </c:pt>
                <c:pt idx="7">
                  <c:v>596.29894037956262</c:v>
                </c:pt>
                <c:pt idx="8">
                  <c:v>596.29894037956262</c:v>
                </c:pt>
                <c:pt idx="9">
                  <c:v>596.29894037956262</c:v>
                </c:pt>
                <c:pt idx="10">
                  <c:v>596.29894037956262</c:v>
                </c:pt>
                <c:pt idx="11">
                  <c:v>596.29894037956262</c:v>
                </c:pt>
              </c:numCache>
            </c:numRef>
          </c:val>
          <c:smooth val="0"/>
          <c:extLst>
            <c:ext xmlns:c16="http://schemas.microsoft.com/office/drawing/2014/chart" uri="{C3380CC4-5D6E-409C-BE32-E72D297353CC}">
              <c16:uniqueId val="{00000002-DCDB-44FD-A0F1-14807E83307E}"/>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BENFEITORIAS'!$D$269</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BENFEITORIAS'!$D$270:$D$281</c:f>
              <c:numCache>
                <c:formatCode>#,##0.00_ ;[Red]\-#,##0.00\ </c:formatCode>
                <c:ptCount val="12"/>
                <c:pt idx="0">
                  <c:v>500</c:v>
                </c:pt>
                <c:pt idx="1">
                  <c:v>479.6052631578948</c:v>
                </c:pt>
                <c:pt idx="2">
                  <c:v>499.50000000000017</c:v>
                </c:pt>
                <c:pt idx="3">
                  <c:v>456.00000000000023</c:v>
                </c:pt>
                <c:pt idx="4">
                  <c:v>499.50000000000017</c:v>
                </c:pt>
                <c:pt idx="5">
                  <c:v>486.00000000000017</c:v>
                </c:pt>
                <c:pt idx="6">
                  <c:v>506.25000000000028</c:v>
                </c:pt>
                <c:pt idx="7">
                  <c:v>502.20000000000022</c:v>
                </c:pt>
                <c:pt idx="9">
                  <c:v>567.00000000000023</c:v>
                </c:pt>
                <c:pt idx="11">
                  <c:v>579.66101694915278</c:v>
                </c:pt>
              </c:numCache>
            </c:numRef>
          </c:yVal>
          <c:smooth val="0"/>
          <c:extLst>
            <c:ext xmlns:c16="http://schemas.microsoft.com/office/drawing/2014/chart" uri="{C3380CC4-5D6E-409C-BE32-E72D297353CC}">
              <c16:uniqueId val="{00000003-DCDB-44FD-A0F1-14807E83307E}"/>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chart" Target="../charts/chart2.xml"/><Relationship Id="rId7" Type="http://schemas.openxmlformats.org/officeDocument/2006/relationships/chart" Target="../charts/chart5.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image" Target="../media/image2.png"/><Relationship Id="rId11" Type="http://schemas.openxmlformats.org/officeDocument/2006/relationships/chart" Target="../charts/chart7.xml"/><Relationship Id="rId5" Type="http://schemas.openxmlformats.org/officeDocument/2006/relationships/chart" Target="../charts/chart4.xml"/><Relationship Id="rId10" Type="http://schemas.openxmlformats.org/officeDocument/2006/relationships/chart" Target="../charts/chart6.xml"/><Relationship Id="rId4" Type="http://schemas.openxmlformats.org/officeDocument/2006/relationships/chart" Target="../charts/chart3.xml"/><Relationship Id="rId9"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38101</xdr:rowOff>
    </xdr:from>
    <xdr:to>
      <xdr:col>11</xdr:col>
      <xdr:colOff>228601</xdr:colOff>
      <xdr:row>0</xdr:row>
      <xdr:rowOff>1552576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38101"/>
          <a:ext cx="7429500" cy="1514475"/>
        </a:xfrm>
        <a:prstGeom prst="rect">
          <a:avLst/>
        </a:prstGeom>
      </xdr:spPr>
    </xdr:pic>
    <xdr:clientData/>
  </xdr:twoCellAnchor>
  <xdr:twoCellAnchor editAs="oneCell">
    <xdr:from>
      <xdr:col>4</xdr:col>
      <xdr:colOff>0</xdr:colOff>
      <xdr:row>72</xdr:row>
      <xdr:rowOff>0</xdr:rowOff>
    </xdr:from>
    <xdr:to>
      <xdr:col>13</xdr:col>
      <xdr:colOff>564975</xdr:colOff>
      <xdr:row>86</xdr:row>
      <xdr:rowOff>132900</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0</xdr:colOff>
      <xdr:row>88</xdr:row>
      <xdr:rowOff>0</xdr:rowOff>
    </xdr:from>
    <xdr:to>
      <xdr:col>13</xdr:col>
      <xdr:colOff>564975</xdr:colOff>
      <xdr:row>102</xdr:row>
      <xdr:rowOff>132900</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0</xdr:colOff>
      <xdr:row>106</xdr:row>
      <xdr:rowOff>0</xdr:rowOff>
    </xdr:from>
    <xdr:to>
      <xdr:col>13</xdr:col>
      <xdr:colOff>564975</xdr:colOff>
      <xdr:row>120</xdr:row>
      <xdr:rowOff>132900</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0</xdr:colOff>
      <xdr:row>124</xdr:row>
      <xdr:rowOff>0</xdr:rowOff>
    </xdr:from>
    <xdr:to>
      <xdr:col>13</xdr:col>
      <xdr:colOff>564975</xdr:colOff>
      <xdr:row>138</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4</xdr:col>
      <xdr:colOff>0</xdr:colOff>
      <xdr:row>476</xdr:row>
      <xdr:rowOff>0</xdr:rowOff>
    </xdr:from>
    <xdr:to>
      <xdr:col>10</xdr:col>
      <xdr:colOff>518275</xdr:colOff>
      <xdr:row>487</xdr:row>
      <xdr:rowOff>202462</xdr:rowOff>
    </xdr:to>
    <xdr:pic>
      <xdr:nvPicPr>
        <xdr:cNvPr id="21" name="Imagem 20"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F85F553E-B1CA-46FC-8C2B-B27CD4308C6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bwMode="auto">
        <a:xfrm>
          <a:off x="1512794" y="118883206"/>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520</xdr:row>
      <xdr:rowOff>0</xdr:rowOff>
    </xdr:from>
    <xdr:to>
      <xdr:col>12</xdr:col>
      <xdr:colOff>87320</xdr:colOff>
      <xdr:row>530</xdr:row>
      <xdr:rowOff>208846</xdr:rowOff>
    </xdr:to>
    <xdr:graphicFrame macro="">
      <xdr:nvGraphicFramePr>
        <xdr:cNvPr id="22" name="Gráfico 21">
          <a:extLst>
            <a:ext uri="{FF2B5EF4-FFF2-40B4-BE49-F238E27FC236}">
              <a16:creationId xmlns:a16="http://schemas.microsoft.com/office/drawing/2014/main" id="{4BFFB613-9DBA-4950-B53B-0DDE55DAA27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407</xdr:row>
      <xdr:rowOff>0</xdr:rowOff>
    </xdr:from>
    <xdr:to>
      <xdr:col>4</xdr:col>
      <xdr:colOff>601576</xdr:colOff>
      <xdr:row>411</xdr:row>
      <xdr:rowOff>159877</xdr:rowOff>
    </xdr:to>
    <xdr:pic>
      <xdr:nvPicPr>
        <xdr:cNvPr id="25" name="Imagem 24" descr=" \alpha = \left ( \dfrac{t}{T} + \dfrac{t^2}{T^2} \right ) \cdot \dfrac{1}{2}  \vspace{0.5cm} \\ \begin{tabular}{llcl} \\ Sendo: &amp; &amp; &amp; \\ &amp; t &amp; = &amp; idade real ou aparente da edificação \\ &amp; T &amp; = &amp; vida útil referencial \\ \end{tabular} ">
          <a:extLst>
            <a:ext uri="{FF2B5EF4-FFF2-40B4-BE49-F238E27FC236}">
              <a16:creationId xmlns:a16="http://schemas.microsoft.com/office/drawing/2014/main" id="{59E4D41A-75CE-4478-B1D1-205A32B9A49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101357206"/>
          <a:ext cx="3227114" cy="1145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489</xdr:row>
      <xdr:rowOff>0</xdr:rowOff>
    </xdr:from>
    <xdr:to>
      <xdr:col>17</xdr:col>
      <xdr:colOff>181431</xdr:colOff>
      <xdr:row>490</xdr:row>
      <xdr:rowOff>115376</xdr:rowOff>
    </xdr:to>
    <xdr:pic>
      <xdr:nvPicPr>
        <xdr:cNvPr id="27" name="Imagem 26" descr="  k_d = -d \\ f_d = 1 + k_d ">
          <a:extLst>
            <a:ext uri="{FF2B5EF4-FFF2-40B4-BE49-F238E27FC236}">
              <a16:creationId xmlns:a16="http://schemas.microsoft.com/office/drawing/2014/main" id="{DDB53A9D-3196-4AD5-BDBE-E994E00D371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7563971" y="122088088"/>
          <a:ext cx="838095" cy="36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212</xdr:row>
      <xdr:rowOff>247649</xdr:rowOff>
    </xdr:from>
    <xdr:to>
      <xdr:col>12</xdr:col>
      <xdr:colOff>564975</xdr:colOff>
      <xdr:row>227</xdr:row>
      <xdr:rowOff>132899</xdr:rowOff>
    </xdr:to>
    <xdr:graphicFrame macro="">
      <xdr:nvGraphicFramePr>
        <xdr:cNvPr id="3" name="Gráfico 2">
          <a:extLst>
            <a:ext uri="{FF2B5EF4-FFF2-40B4-BE49-F238E27FC236}">
              <a16:creationId xmlns:a16="http://schemas.microsoft.com/office/drawing/2014/main" id="{712FFC62-9741-48B1-A686-C555E0124E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3</xdr:col>
      <xdr:colOff>0</xdr:colOff>
      <xdr:row>249</xdr:row>
      <xdr:rowOff>0</xdr:rowOff>
    </xdr:from>
    <xdr:to>
      <xdr:col>12</xdr:col>
      <xdr:colOff>564975</xdr:colOff>
      <xdr:row>263</xdr:row>
      <xdr:rowOff>132900</xdr:rowOff>
    </xdr:to>
    <xdr:graphicFrame macro="">
      <xdr:nvGraphicFramePr>
        <xdr:cNvPr id="5" name="Gráfico 4">
          <a:extLst>
            <a:ext uri="{FF2B5EF4-FFF2-40B4-BE49-F238E27FC236}">
              <a16:creationId xmlns:a16="http://schemas.microsoft.com/office/drawing/2014/main" id="{BD00EC85-6828-46BB-B546-AD83C13843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3</xdr:col>
      <xdr:colOff>0</xdr:colOff>
      <xdr:row>286</xdr:row>
      <xdr:rowOff>247639</xdr:rowOff>
    </xdr:from>
    <xdr:to>
      <xdr:col>12</xdr:col>
      <xdr:colOff>564975</xdr:colOff>
      <xdr:row>301</xdr:row>
      <xdr:rowOff>132889</xdr:rowOff>
    </xdr:to>
    <xdr:graphicFrame macro="">
      <xdr:nvGraphicFramePr>
        <xdr:cNvPr id="12" name="Gráfico 11">
          <a:extLst>
            <a:ext uri="{FF2B5EF4-FFF2-40B4-BE49-F238E27FC236}">
              <a16:creationId xmlns:a16="http://schemas.microsoft.com/office/drawing/2014/main" id="{3E65E460-B35A-4CD1-B9E0-D5B673C87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6</xdr:col>
      <xdr:colOff>409018</xdr:colOff>
      <xdr:row>186</xdr:row>
      <xdr:rowOff>190136</xdr:rowOff>
    </xdr:to>
    <xdr:pic>
      <xdr:nvPicPr>
        <xdr:cNvPr id="2" name="Imagem 1"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8AFFF2C6-B96B-408E-B432-021CDB32A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09625" y="43338750"/>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xdr:colOff>
      <xdr:row>248</xdr:row>
      <xdr:rowOff>4</xdr:rowOff>
    </xdr:from>
    <xdr:to>
      <xdr:col>8</xdr:col>
      <xdr:colOff>227867</xdr:colOff>
      <xdr:row>254</xdr:row>
      <xdr:rowOff>9342</xdr:rowOff>
    </xdr:to>
    <xdr:pic>
      <xdr:nvPicPr>
        <xdr:cNvPr id="3" name="Imagem 2" descr="     k_d = \dfrac{-d}{100} \\  \vspace{0.5cm} \\  \begin{tabular}{llll} \\  Na equação acima: &amp;  &amp; &amp; \\  &amp; d  &amp; = &amp; valor bruto resultado da equação inicial; \\  &amp; k_d  &amp; = &amp; coeficiente de depreciação (percentual negativo);  \end{tabular}  ">
          <a:extLst>
            <a:ext uri="{FF2B5EF4-FFF2-40B4-BE49-F238E27FC236}">
              <a16:creationId xmlns:a16="http://schemas.microsoft.com/office/drawing/2014/main" id="{1ECD457D-B8D7-420B-AD7A-8A4D34309C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09629" y="61417204"/>
          <a:ext cx="5895238" cy="149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xdr:colOff>
      <xdr:row>314</xdr:row>
      <xdr:rowOff>3</xdr:rowOff>
    </xdr:from>
    <xdr:to>
      <xdr:col>6</xdr:col>
      <xdr:colOff>580553</xdr:colOff>
      <xdr:row>318</xdr:row>
      <xdr:rowOff>180832</xdr:rowOff>
    </xdr:to>
    <xdr:pic>
      <xdr:nvPicPr>
        <xdr:cNvPr id="4" name="Imagem 3" descr="  f_d = 1 + k_d \\  \vspace{0.5cm} \\  \begin{tabular}{llll} \\  Na equação acima: &amp; &amp; &amp;  \\  &amp; f_d &amp; = &amp; fator de depreciação. \\  \end{tabular}  ">
          <a:extLst>
            <a:ext uri="{FF2B5EF4-FFF2-40B4-BE49-F238E27FC236}">
              <a16:creationId xmlns:a16="http://schemas.microsoft.com/office/drawing/2014/main" id="{A6DD36C2-3696-40EF-B445-7501E088F5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619255" y="77762103"/>
          <a:ext cx="3819048" cy="1171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BP570"/>
  <sheetViews>
    <sheetView tabSelected="1" zoomScaleNormal="100" workbookViewId="0"/>
  </sheetViews>
  <sheetFormatPr defaultColWidth="4.75" defaultRowHeight="20.100000000000001" customHeight="1" x14ac:dyDescent="0.25"/>
  <cols>
    <col min="1" max="20" width="8.625" style="57" customWidth="1"/>
    <col min="21" max="22" width="20.625" style="57" customWidth="1"/>
    <col min="23" max="30" width="20.625" style="58" customWidth="1"/>
    <col min="31" max="31" width="20.625" style="57" customWidth="1"/>
    <col min="32" max="34" width="20.625" style="58" customWidth="1"/>
    <col min="35" max="130" width="4.75" style="58" customWidth="1"/>
    <col min="131" max="16384" width="4.75" style="58"/>
  </cols>
  <sheetData>
    <row r="1" spans="1:23" ht="140.1" customHeight="1" x14ac:dyDescent="0.25">
      <c r="A1" s="79"/>
      <c r="B1" s="79"/>
      <c r="C1" s="79"/>
      <c r="D1" s="79"/>
      <c r="E1" s="79"/>
      <c r="F1" s="79"/>
      <c r="G1" s="79"/>
      <c r="H1" s="79"/>
      <c r="I1" s="79"/>
      <c r="J1" s="79"/>
      <c r="K1" s="79"/>
      <c r="L1" s="79"/>
      <c r="M1" s="79"/>
      <c r="N1" s="79"/>
      <c r="O1" s="79"/>
      <c r="P1" s="79"/>
      <c r="Q1" s="79"/>
      <c r="R1" s="79"/>
      <c r="S1" s="79"/>
      <c r="T1" s="79"/>
    </row>
    <row r="2" spans="1:23" ht="5.0999999999999996" customHeight="1" x14ac:dyDescent="0.25"/>
    <row r="3" spans="1:23" ht="5.0999999999999996" customHeight="1" x14ac:dyDescent="0.25">
      <c r="A3" s="79"/>
      <c r="B3" s="79"/>
      <c r="C3" s="79"/>
      <c r="D3" s="79"/>
      <c r="E3" s="79"/>
      <c r="F3" s="79"/>
      <c r="G3" s="79"/>
      <c r="H3" s="79"/>
      <c r="I3" s="79"/>
      <c r="J3" s="79"/>
      <c r="K3" s="79"/>
      <c r="L3" s="79"/>
      <c r="M3" s="79"/>
      <c r="N3" s="79"/>
      <c r="O3" s="79"/>
      <c r="P3" s="79"/>
      <c r="Q3" s="79"/>
      <c r="R3" s="79"/>
      <c r="S3" s="79"/>
      <c r="T3" s="79"/>
    </row>
    <row r="5" spans="1:23" ht="20.100000000000001" customHeight="1" x14ac:dyDescent="0.25">
      <c r="A5" s="225" t="s">
        <v>250</v>
      </c>
      <c r="B5" s="225"/>
      <c r="C5" s="225"/>
      <c r="D5" s="225"/>
      <c r="E5" s="225"/>
      <c r="F5" s="225"/>
      <c r="G5" s="225"/>
      <c r="H5" s="225"/>
      <c r="I5" s="225"/>
      <c r="J5" s="225"/>
      <c r="K5" s="225"/>
      <c r="L5" s="225"/>
      <c r="M5" s="225"/>
      <c r="N5" s="225"/>
      <c r="O5" s="225"/>
      <c r="P5" s="225"/>
      <c r="Q5" s="225"/>
      <c r="R5" s="225"/>
      <c r="S5" s="225"/>
      <c r="T5" s="225"/>
    </row>
    <row r="7" spans="1:23" ht="20.100000000000001" customHeight="1" x14ac:dyDescent="0.25">
      <c r="A7" s="225" t="s">
        <v>249</v>
      </c>
      <c r="B7" s="225"/>
      <c r="C7" s="225"/>
      <c r="D7" s="225"/>
      <c r="E7" s="225"/>
      <c r="F7" s="225"/>
      <c r="G7" s="225"/>
      <c r="H7" s="225"/>
      <c r="I7" s="225"/>
      <c r="J7" s="225"/>
      <c r="K7" s="225"/>
      <c r="L7" s="225"/>
      <c r="M7" s="225"/>
      <c r="N7" s="225"/>
      <c r="O7" s="225"/>
      <c r="P7" s="225"/>
      <c r="Q7" s="225"/>
      <c r="R7" s="225"/>
      <c r="S7" s="225"/>
      <c r="T7" s="225"/>
    </row>
    <row r="9" spans="1:23" ht="20.100000000000001" customHeight="1" x14ac:dyDescent="0.25">
      <c r="A9" s="223" t="s">
        <v>256</v>
      </c>
      <c r="B9" s="223"/>
      <c r="C9" s="223"/>
      <c r="D9" s="223"/>
      <c r="E9" s="223"/>
      <c r="F9" s="223"/>
      <c r="G9" s="223"/>
      <c r="H9" s="223"/>
      <c r="I9" s="223"/>
      <c r="J9" s="223"/>
      <c r="K9" s="223"/>
      <c r="L9" s="223"/>
      <c r="M9" s="223"/>
      <c r="N9" s="223"/>
      <c r="O9" s="223"/>
      <c r="P9" s="223"/>
      <c r="Q9" s="223"/>
      <c r="R9" s="223"/>
      <c r="S9" s="223"/>
      <c r="T9" s="223"/>
    </row>
    <row r="10" spans="1:23" ht="20.100000000000001" customHeight="1" x14ac:dyDescent="0.25">
      <c r="A10" s="206" t="s">
        <v>17</v>
      </c>
      <c r="B10" s="206"/>
      <c r="C10" s="206"/>
      <c r="D10" s="206"/>
      <c r="E10" s="206" t="s">
        <v>88</v>
      </c>
      <c r="F10" s="206"/>
      <c r="G10" s="206"/>
      <c r="H10" s="206"/>
      <c r="I10" s="206"/>
      <c r="J10" s="206"/>
      <c r="K10" s="206"/>
      <c r="L10" s="206" t="s">
        <v>89</v>
      </c>
      <c r="M10" s="206"/>
      <c r="N10" s="206"/>
      <c r="O10" s="206"/>
      <c r="P10" s="206"/>
      <c r="Q10" s="206"/>
      <c r="R10" s="206"/>
      <c r="S10" s="206"/>
      <c r="T10" s="206"/>
    </row>
    <row r="11" spans="1:23" ht="20.100000000000001" customHeight="1" x14ac:dyDescent="0.25">
      <c r="A11" s="242">
        <v>2</v>
      </c>
      <c r="B11" s="242"/>
      <c r="C11" s="242"/>
      <c r="D11" s="242"/>
      <c r="E11" s="211" t="s">
        <v>255</v>
      </c>
      <c r="F11" s="211"/>
      <c r="G11" s="211"/>
      <c r="H11" s="211"/>
      <c r="I11" s="211"/>
      <c r="J11" s="211"/>
      <c r="K11" s="211"/>
      <c r="L11" s="243" t="s">
        <v>92</v>
      </c>
      <c r="M11" s="243"/>
      <c r="N11" s="243"/>
      <c r="O11" s="211" t="s">
        <v>93</v>
      </c>
      <c r="P11" s="211"/>
      <c r="Q11" s="211"/>
      <c r="R11" s="211" t="s">
        <v>83</v>
      </c>
      <c r="S11" s="211"/>
      <c r="T11" s="211"/>
    </row>
    <row r="12" spans="1:23" ht="20.100000000000001" customHeight="1" x14ac:dyDescent="0.25">
      <c r="A12" s="242"/>
      <c r="B12" s="242"/>
      <c r="C12" s="242"/>
      <c r="D12" s="242"/>
      <c r="E12" s="211"/>
      <c r="F12" s="211"/>
      <c r="G12" s="211"/>
      <c r="H12" s="211"/>
      <c r="I12" s="211"/>
      <c r="J12" s="211"/>
      <c r="K12" s="211"/>
      <c r="L12" s="249">
        <v>12</v>
      </c>
      <c r="M12" s="249"/>
      <c r="N12" s="249"/>
      <c r="O12" s="242">
        <v>5</v>
      </c>
      <c r="P12" s="242"/>
      <c r="Q12" s="242"/>
      <c r="R12" s="242">
        <v>3</v>
      </c>
      <c r="S12" s="242"/>
      <c r="T12" s="242"/>
    </row>
    <row r="15" spans="1:23" ht="20.100000000000001" customHeight="1" x14ac:dyDescent="0.25">
      <c r="A15" s="149" t="s">
        <v>20</v>
      </c>
      <c r="B15" s="149"/>
      <c r="C15" s="149"/>
      <c r="D15" s="149"/>
      <c r="E15" s="149"/>
      <c r="F15" s="149"/>
      <c r="G15" s="149"/>
      <c r="H15" s="149"/>
      <c r="I15" s="149"/>
      <c r="J15" s="149"/>
      <c r="K15" s="149"/>
      <c r="L15" s="149"/>
      <c r="M15" s="149"/>
      <c r="N15" s="149"/>
      <c r="O15" s="149"/>
      <c r="P15" s="149"/>
      <c r="Q15" s="149"/>
      <c r="R15" s="149"/>
      <c r="S15" s="149"/>
      <c r="T15" s="149"/>
    </row>
    <row r="16" spans="1:23" ht="20.100000000000001" customHeight="1" x14ac:dyDescent="0.25">
      <c r="W16" s="57"/>
    </row>
    <row r="17" spans="1:23" ht="39.950000000000003" customHeight="1" thickBot="1" x14ac:dyDescent="0.3">
      <c r="A17" s="150" t="s">
        <v>17</v>
      </c>
      <c r="B17" s="150"/>
      <c r="C17" s="80"/>
      <c r="D17" s="150" t="s">
        <v>501</v>
      </c>
      <c r="E17" s="150"/>
      <c r="F17" s="150"/>
      <c r="G17" s="150" t="s">
        <v>18</v>
      </c>
      <c r="H17" s="150"/>
      <c r="I17" s="150"/>
      <c r="J17" s="150" t="s">
        <v>19</v>
      </c>
      <c r="K17" s="150"/>
      <c r="L17" s="150"/>
      <c r="M17" s="150" t="s">
        <v>247</v>
      </c>
      <c r="N17" s="150"/>
      <c r="O17" s="150"/>
      <c r="P17" s="150" t="s">
        <v>21</v>
      </c>
      <c r="Q17" s="150"/>
      <c r="R17" s="150" t="s">
        <v>22</v>
      </c>
      <c r="S17" s="150"/>
      <c r="T17" s="150"/>
      <c r="V17" s="234" t="s">
        <v>14</v>
      </c>
      <c r="W17" s="234"/>
    </row>
    <row r="18" spans="1:23" ht="20.100000000000001" customHeight="1" x14ac:dyDescent="0.25">
      <c r="A18" s="154">
        <v>1</v>
      </c>
      <c r="B18" s="154"/>
      <c r="C18" s="81"/>
      <c r="D18" s="248">
        <v>200000</v>
      </c>
      <c r="E18" s="248"/>
      <c r="F18" s="248"/>
      <c r="G18" s="151">
        <v>360</v>
      </c>
      <c r="H18" s="151"/>
      <c r="I18" s="151"/>
      <c r="J18" s="155">
        <f>D18/G18</f>
        <v>555.55555555555554</v>
      </c>
      <c r="K18" s="155"/>
      <c r="L18" s="155"/>
      <c r="M18" s="124" t="s">
        <v>544</v>
      </c>
      <c r="N18" s="124"/>
      <c r="O18" s="124"/>
      <c r="P18" s="224">
        <f>VLOOKUP(M18,$V$19:$W$20,2,0)</f>
        <v>0.9</v>
      </c>
      <c r="Q18" s="224"/>
      <c r="R18" s="155">
        <f>J18*P18</f>
        <v>500</v>
      </c>
      <c r="S18" s="155"/>
      <c r="T18" s="155"/>
      <c r="V18" s="115" t="s">
        <v>545</v>
      </c>
      <c r="W18" s="83" t="s">
        <v>15</v>
      </c>
    </row>
    <row r="19" spans="1:23" ht="20.100000000000001" customHeight="1" x14ac:dyDescent="0.25">
      <c r="A19" s="123">
        <v>2</v>
      </c>
      <c r="B19" s="123"/>
      <c r="C19" s="84"/>
      <c r="D19" s="138">
        <v>180000</v>
      </c>
      <c r="E19" s="138"/>
      <c r="F19" s="138"/>
      <c r="G19" s="124">
        <v>320</v>
      </c>
      <c r="H19" s="124"/>
      <c r="I19" s="124"/>
      <c r="J19" s="138">
        <f t="shared" ref="J19:J29" si="0">D19/G19</f>
        <v>562.5</v>
      </c>
      <c r="K19" s="138"/>
      <c r="L19" s="138"/>
      <c r="M19" s="124" t="s">
        <v>544</v>
      </c>
      <c r="N19" s="124"/>
      <c r="O19" s="124"/>
      <c r="P19" s="153">
        <f>VLOOKUP(M19,$V$19:$W$20,2,0)</f>
        <v>0.9</v>
      </c>
      <c r="Q19" s="153"/>
      <c r="R19" s="138">
        <f>J19*P19</f>
        <v>506.25</v>
      </c>
      <c r="S19" s="138"/>
      <c r="T19" s="138"/>
      <c r="V19" s="76" t="s">
        <v>544</v>
      </c>
      <c r="W19" s="114">
        <v>0.9</v>
      </c>
    </row>
    <row r="20" spans="1:23" ht="20.100000000000001" customHeight="1" x14ac:dyDescent="0.25">
      <c r="A20" s="123">
        <v>3</v>
      </c>
      <c r="B20" s="123"/>
      <c r="C20" s="84"/>
      <c r="D20" s="138">
        <v>185000</v>
      </c>
      <c r="E20" s="138"/>
      <c r="F20" s="138"/>
      <c r="G20" s="124">
        <v>300</v>
      </c>
      <c r="H20" s="124"/>
      <c r="I20" s="124"/>
      <c r="J20" s="138">
        <f t="shared" si="0"/>
        <v>616.66666666666663</v>
      </c>
      <c r="K20" s="138"/>
      <c r="L20" s="138"/>
      <c r="M20" s="124" t="s">
        <v>544</v>
      </c>
      <c r="N20" s="124"/>
      <c r="O20" s="124"/>
      <c r="P20" s="153">
        <f>VLOOKUP(M20,$V$19:$W$20,2,0)</f>
        <v>0.9</v>
      </c>
      <c r="Q20" s="153"/>
      <c r="R20" s="138">
        <f t="shared" ref="R20:R21" si="1">J20*P20</f>
        <v>555</v>
      </c>
      <c r="S20" s="138"/>
      <c r="T20" s="138"/>
      <c r="V20" s="76" t="s">
        <v>16</v>
      </c>
      <c r="W20" s="114">
        <v>1</v>
      </c>
    </row>
    <row r="21" spans="1:23" ht="20.100000000000001" customHeight="1" x14ac:dyDescent="0.25">
      <c r="A21" s="123">
        <v>4</v>
      </c>
      <c r="B21" s="123"/>
      <c r="C21" s="84"/>
      <c r="D21" s="138">
        <v>190000</v>
      </c>
      <c r="E21" s="138"/>
      <c r="F21" s="138"/>
      <c r="G21" s="124">
        <v>300</v>
      </c>
      <c r="H21" s="124"/>
      <c r="I21" s="124"/>
      <c r="J21" s="138">
        <f t="shared" si="0"/>
        <v>633.33333333333337</v>
      </c>
      <c r="K21" s="138"/>
      <c r="L21" s="138"/>
      <c r="M21" s="124" t="s">
        <v>16</v>
      </c>
      <c r="N21" s="124"/>
      <c r="O21" s="124"/>
      <c r="P21" s="153">
        <f>VLOOKUP(M21,$V$19:$W$20,2,0)</f>
        <v>1</v>
      </c>
      <c r="Q21" s="153"/>
      <c r="R21" s="138">
        <f t="shared" si="1"/>
        <v>633.33333333333337</v>
      </c>
      <c r="S21" s="138"/>
      <c r="T21" s="138"/>
    </row>
    <row r="22" spans="1:23" ht="20.100000000000001" customHeight="1" x14ac:dyDescent="0.25">
      <c r="A22" s="154">
        <v>5</v>
      </c>
      <c r="B22" s="154"/>
      <c r="C22" s="81"/>
      <c r="D22" s="138">
        <v>185000</v>
      </c>
      <c r="E22" s="138"/>
      <c r="F22" s="138"/>
      <c r="G22" s="124">
        <v>300</v>
      </c>
      <c r="H22" s="124"/>
      <c r="I22" s="124"/>
      <c r="J22" s="138">
        <f t="shared" ref="J22:J28" si="2">D22/G22</f>
        <v>616.66666666666663</v>
      </c>
      <c r="K22" s="138"/>
      <c r="L22" s="138"/>
      <c r="M22" s="124" t="s">
        <v>544</v>
      </c>
      <c r="N22" s="124"/>
      <c r="O22" s="124"/>
      <c r="P22" s="153">
        <f t="shared" ref="P22:P28" si="3">VLOOKUP(M22,$V$19:$W$20,2,0)</f>
        <v>0.9</v>
      </c>
      <c r="Q22" s="153"/>
      <c r="R22" s="138">
        <f t="shared" ref="R22:R28" si="4">J22*P22</f>
        <v>555</v>
      </c>
      <c r="S22" s="138"/>
      <c r="T22" s="138"/>
    </row>
    <row r="23" spans="1:23" ht="20.100000000000001" customHeight="1" x14ac:dyDescent="0.25">
      <c r="A23" s="123">
        <v>6</v>
      </c>
      <c r="B23" s="123"/>
      <c r="C23" s="84"/>
      <c r="D23" s="138">
        <v>150000</v>
      </c>
      <c r="E23" s="138"/>
      <c r="F23" s="138"/>
      <c r="G23" s="124">
        <v>250</v>
      </c>
      <c r="H23" s="124"/>
      <c r="I23" s="124"/>
      <c r="J23" s="138">
        <f t="shared" si="2"/>
        <v>600</v>
      </c>
      <c r="K23" s="138"/>
      <c r="L23" s="138"/>
      <c r="M23" s="124" t="s">
        <v>544</v>
      </c>
      <c r="N23" s="124"/>
      <c r="O23" s="124"/>
      <c r="P23" s="153">
        <f t="shared" si="3"/>
        <v>0.9</v>
      </c>
      <c r="Q23" s="153"/>
      <c r="R23" s="138">
        <f t="shared" si="4"/>
        <v>540</v>
      </c>
      <c r="S23" s="138"/>
      <c r="T23" s="138"/>
    </row>
    <row r="24" spans="1:23" ht="20.100000000000001" customHeight="1" x14ac:dyDescent="0.25">
      <c r="A24" s="123">
        <v>7</v>
      </c>
      <c r="B24" s="123"/>
      <c r="C24" s="84"/>
      <c r="D24" s="138">
        <v>125000</v>
      </c>
      <c r="E24" s="138"/>
      <c r="F24" s="138"/>
      <c r="G24" s="124">
        <v>250</v>
      </c>
      <c r="H24" s="124"/>
      <c r="I24" s="124"/>
      <c r="J24" s="138">
        <f t="shared" si="2"/>
        <v>500</v>
      </c>
      <c r="K24" s="138"/>
      <c r="L24" s="138"/>
      <c r="M24" s="124" t="s">
        <v>544</v>
      </c>
      <c r="N24" s="124"/>
      <c r="O24" s="124"/>
      <c r="P24" s="153">
        <f t="shared" si="3"/>
        <v>0.9</v>
      </c>
      <c r="Q24" s="153"/>
      <c r="R24" s="138">
        <f t="shared" si="4"/>
        <v>450</v>
      </c>
      <c r="S24" s="138"/>
      <c r="T24" s="138"/>
    </row>
    <row r="25" spans="1:23" ht="20.100000000000001" customHeight="1" x14ac:dyDescent="0.25">
      <c r="A25" s="123">
        <v>8</v>
      </c>
      <c r="B25" s="123"/>
      <c r="C25" s="84"/>
      <c r="D25" s="138">
        <v>186000</v>
      </c>
      <c r="E25" s="138"/>
      <c r="F25" s="138"/>
      <c r="G25" s="124">
        <v>300</v>
      </c>
      <c r="H25" s="124"/>
      <c r="I25" s="124"/>
      <c r="J25" s="138">
        <f t="shared" si="2"/>
        <v>620</v>
      </c>
      <c r="K25" s="138"/>
      <c r="L25" s="138"/>
      <c r="M25" s="124" t="s">
        <v>544</v>
      </c>
      <c r="N25" s="124"/>
      <c r="O25" s="124"/>
      <c r="P25" s="153">
        <f t="shared" si="3"/>
        <v>0.9</v>
      </c>
      <c r="Q25" s="153"/>
      <c r="R25" s="138">
        <f t="shared" si="4"/>
        <v>558</v>
      </c>
      <c r="S25" s="138"/>
      <c r="T25" s="138"/>
    </row>
    <row r="26" spans="1:23" ht="20.100000000000001" customHeight="1" x14ac:dyDescent="0.25">
      <c r="A26" s="154">
        <v>9</v>
      </c>
      <c r="B26" s="154"/>
      <c r="C26" s="81"/>
      <c r="D26" s="138">
        <v>154000</v>
      </c>
      <c r="E26" s="138"/>
      <c r="F26" s="138"/>
      <c r="G26" s="124">
        <v>250</v>
      </c>
      <c r="H26" s="124"/>
      <c r="I26" s="124"/>
      <c r="J26" s="138">
        <f t="shared" si="2"/>
        <v>616</v>
      </c>
      <c r="K26" s="138"/>
      <c r="L26" s="138"/>
      <c r="M26" s="124" t="s">
        <v>544</v>
      </c>
      <c r="N26" s="124"/>
      <c r="O26" s="124"/>
      <c r="P26" s="153">
        <f t="shared" si="3"/>
        <v>0.9</v>
      </c>
      <c r="Q26" s="153"/>
      <c r="R26" s="138">
        <f t="shared" si="4"/>
        <v>554.4</v>
      </c>
      <c r="S26" s="138"/>
      <c r="T26" s="138"/>
    </row>
    <row r="27" spans="1:23" ht="20.100000000000001" customHeight="1" x14ac:dyDescent="0.25">
      <c r="A27" s="123">
        <v>10</v>
      </c>
      <c r="B27" s="123"/>
      <c r="C27" s="84"/>
      <c r="D27" s="138">
        <v>189000</v>
      </c>
      <c r="E27" s="138"/>
      <c r="F27" s="138"/>
      <c r="G27" s="124">
        <v>300</v>
      </c>
      <c r="H27" s="124"/>
      <c r="I27" s="124"/>
      <c r="J27" s="138">
        <f t="shared" si="2"/>
        <v>630</v>
      </c>
      <c r="K27" s="138"/>
      <c r="L27" s="138"/>
      <c r="M27" s="124" t="s">
        <v>16</v>
      </c>
      <c r="N27" s="124"/>
      <c r="O27" s="124"/>
      <c r="P27" s="153">
        <f t="shared" si="3"/>
        <v>1</v>
      </c>
      <c r="Q27" s="153"/>
      <c r="R27" s="138">
        <f t="shared" si="4"/>
        <v>630</v>
      </c>
      <c r="S27" s="138"/>
      <c r="T27" s="138"/>
    </row>
    <row r="28" spans="1:23" ht="20.100000000000001" customHeight="1" x14ac:dyDescent="0.25">
      <c r="A28" s="123">
        <v>11</v>
      </c>
      <c r="B28" s="123"/>
      <c r="C28" s="84"/>
      <c r="D28" s="138">
        <v>125000</v>
      </c>
      <c r="E28" s="138"/>
      <c r="F28" s="138"/>
      <c r="G28" s="124">
        <v>250</v>
      </c>
      <c r="H28" s="124"/>
      <c r="I28" s="124"/>
      <c r="J28" s="138">
        <f t="shared" si="2"/>
        <v>500</v>
      </c>
      <c r="K28" s="138"/>
      <c r="L28" s="138"/>
      <c r="M28" s="124" t="s">
        <v>544</v>
      </c>
      <c r="N28" s="124"/>
      <c r="O28" s="124"/>
      <c r="P28" s="153">
        <f t="shared" si="3"/>
        <v>0.9</v>
      </c>
      <c r="Q28" s="153"/>
      <c r="R28" s="138">
        <f t="shared" si="4"/>
        <v>450</v>
      </c>
      <c r="S28" s="138"/>
      <c r="T28" s="138"/>
    </row>
    <row r="29" spans="1:23" ht="20.100000000000001" customHeight="1" x14ac:dyDescent="0.25">
      <c r="A29" s="123">
        <v>12</v>
      </c>
      <c r="B29" s="123"/>
      <c r="C29" s="84"/>
      <c r="D29" s="138">
        <v>190000</v>
      </c>
      <c r="E29" s="138"/>
      <c r="F29" s="138"/>
      <c r="G29" s="124">
        <v>295</v>
      </c>
      <c r="H29" s="124"/>
      <c r="I29" s="124"/>
      <c r="J29" s="138">
        <f t="shared" si="0"/>
        <v>644.06779661016947</v>
      </c>
      <c r="K29" s="138"/>
      <c r="L29" s="138"/>
      <c r="M29" s="124" t="s">
        <v>16</v>
      </c>
      <c r="N29" s="124"/>
      <c r="O29" s="124"/>
      <c r="P29" s="153">
        <f>VLOOKUP(M29,$V$19:$W$20,2,0)</f>
        <v>1</v>
      </c>
      <c r="Q29" s="153"/>
      <c r="R29" s="138">
        <f>J29*P29</f>
        <v>644.06779661016947</v>
      </c>
      <c r="S29" s="138"/>
      <c r="T29" s="138"/>
    </row>
    <row r="31" spans="1:23" ht="20.100000000000001" customHeight="1" x14ac:dyDescent="0.25">
      <c r="N31" s="148" t="s">
        <v>36</v>
      </c>
      <c r="O31" s="148"/>
      <c r="P31" s="148"/>
      <c r="Q31" s="148"/>
      <c r="R31" s="148">
        <f>AVERAGE(R18:T29)</f>
        <v>548.00426082862521</v>
      </c>
      <c r="S31" s="148"/>
      <c r="T31" s="148"/>
    </row>
    <row r="32" spans="1:23" ht="20.100000000000001" customHeight="1" x14ac:dyDescent="0.25">
      <c r="N32" s="155" t="s">
        <v>37</v>
      </c>
      <c r="O32" s="155"/>
      <c r="P32" s="155"/>
      <c r="Q32" s="155"/>
      <c r="R32" s="148">
        <f>STDEVA(R18:T29)</f>
        <v>65.221874192812862</v>
      </c>
      <c r="S32" s="148"/>
      <c r="T32" s="148"/>
    </row>
    <row r="33" spans="1:20" ht="20.100000000000001" customHeight="1" x14ac:dyDescent="0.25">
      <c r="N33" s="138" t="s">
        <v>35</v>
      </c>
      <c r="O33" s="138"/>
      <c r="P33" s="138"/>
      <c r="Q33" s="138"/>
      <c r="R33" s="157">
        <f>R32/R31</f>
        <v>0.11901709321418834</v>
      </c>
      <c r="S33" s="157"/>
      <c r="T33" s="157"/>
    </row>
    <row r="36" spans="1:20" ht="20.100000000000001" customHeight="1" x14ac:dyDescent="0.25">
      <c r="A36" s="149" t="s">
        <v>29</v>
      </c>
      <c r="B36" s="149"/>
      <c r="C36" s="149"/>
      <c r="D36" s="149"/>
      <c r="E36" s="149"/>
      <c r="F36" s="149"/>
      <c r="G36" s="149"/>
      <c r="H36" s="149"/>
      <c r="I36" s="149"/>
      <c r="J36" s="149"/>
      <c r="K36" s="149"/>
      <c r="L36" s="149"/>
      <c r="M36" s="149"/>
      <c r="N36" s="149"/>
      <c r="O36" s="149"/>
      <c r="P36" s="149"/>
      <c r="Q36" s="149"/>
      <c r="R36" s="149"/>
      <c r="S36" s="149"/>
      <c r="T36" s="149"/>
    </row>
    <row r="38" spans="1:20" ht="80.099999999999994" customHeight="1" x14ac:dyDescent="0.25">
      <c r="A38" s="213" t="s">
        <v>86</v>
      </c>
      <c r="B38" s="213"/>
      <c r="C38" s="213"/>
      <c r="D38" s="213"/>
      <c r="E38" s="213"/>
      <c r="F38" s="213"/>
      <c r="G38" s="213"/>
      <c r="H38" s="213"/>
      <c r="I38" s="213"/>
      <c r="J38" s="213"/>
      <c r="K38" s="213"/>
      <c r="L38" s="213"/>
      <c r="M38" s="213"/>
      <c r="N38" s="213"/>
      <c r="O38" s="213"/>
      <c r="P38" s="213"/>
      <c r="Q38" s="213"/>
      <c r="R38" s="213"/>
      <c r="S38" s="213"/>
      <c r="T38" s="213"/>
    </row>
    <row r="40" spans="1:20" ht="20.100000000000001" customHeight="1" x14ac:dyDescent="0.25">
      <c r="A40" s="150" t="s">
        <v>23</v>
      </c>
      <c r="B40" s="150"/>
      <c r="C40" s="150"/>
      <c r="D40" s="150"/>
      <c r="E40" s="150"/>
      <c r="F40" s="150"/>
      <c r="G40" s="150"/>
      <c r="H40" s="150"/>
      <c r="I40" s="150"/>
      <c r="J40" s="150" t="s">
        <v>87</v>
      </c>
      <c r="K40" s="150"/>
      <c r="L40" s="158" t="s">
        <v>525</v>
      </c>
      <c r="M40" s="158"/>
      <c r="N40" s="158"/>
      <c r="O40" s="158"/>
      <c r="P40" s="158"/>
      <c r="Q40" s="246" t="s">
        <v>524</v>
      </c>
      <c r="R40" s="246"/>
      <c r="S40" s="246"/>
      <c r="T40" s="246"/>
    </row>
    <row r="41" spans="1:20" ht="20.100000000000001" customHeight="1" x14ac:dyDescent="0.25">
      <c r="A41" s="138" t="s">
        <v>24</v>
      </c>
      <c r="B41" s="138"/>
      <c r="C41" s="138"/>
      <c r="D41" s="138"/>
      <c r="E41" s="138"/>
      <c r="F41" s="138"/>
      <c r="G41" s="138"/>
      <c r="H41" s="138"/>
      <c r="I41" s="138"/>
      <c r="J41" s="224" t="s">
        <v>526</v>
      </c>
      <c r="K41" s="224"/>
      <c r="L41" s="159" t="s">
        <v>519</v>
      </c>
      <c r="M41" s="159"/>
      <c r="N41" s="159"/>
      <c r="O41" s="159"/>
      <c r="P41" s="159"/>
      <c r="Q41" s="159">
        <v>1</v>
      </c>
      <c r="R41" s="159"/>
      <c r="S41" s="159"/>
      <c r="T41" s="159"/>
    </row>
    <row r="42" spans="1:20" ht="20.100000000000001" customHeight="1" x14ac:dyDescent="0.25">
      <c r="A42" s="138" t="s">
        <v>27</v>
      </c>
      <c r="B42" s="138"/>
      <c r="C42" s="138"/>
      <c r="D42" s="138"/>
      <c r="E42" s="138"/>
      <c r="F42" s="138"/>
      <c r="G42" s="138"/>
      <c r="H42" s="138"/>
      <c r="I42" s="138"/>
      <c r="J42" s="153" t="s">
        <v>527</v>
      </c>
      <c r="K42" s="153"/>
      <c r="L42" s="159" t="s">
        <v>520</v>
      </c>
      <c r="M42" s="159"/>
      <c r="N42" s="159"/>
      <c r="O42" s="159"/>
      <c r="P42" s="159"/>
      <c r="Q42" s="159">
        <v>1</v>
      </c>
      <c r="R42" s="159"/>
      <c r="S42" s="159"/>
      <c r="T42" s="159"/>
    </row>
    <row r="43" spans="1:20" ht="20.100000000000001" customHeight="1" x14ac:dyDescent="0.25">
      <c r="A43" s="138" t="s">
        <v>28</v>
      </c>
      <c r="B43" s="138"/>
      <c r="C43" s="138"/>
      <c r="D43" s="138"/>
      <c r="E43" s="138"/>
      <c r="F43" s="138"/>
      <c r="G43" s="138"/>
      <c r="H43" s="138"/>
      <c r="I43" s="138"/>
      <c r="J43" s="153" t="s">
        <v>528</v>
      </c>
      <c r="K43" s="153"/>
      <c r="L43" s="159" t="s">
        <v>521</v>
      </c>
      <c r="M43" s="159"/>
      <c r="N43" s="159"/>
      <c r="O43" s="159"/>
      <c r="P43" s="159"/>
      <c r="Q43" s="159">
        <v>1</v>
      </c>
      <c r="R43" s="159"/>
      <c r="S43" s="159"/>
      <c r="T43" s="159"/>
    </row>
    <row r="44" spans="1:20" ht="20.100000000000001" customHeight="1" x14ac:dyDescent="0.25">
      <c r="A44" s="138" t="s">
        <v>25</v>
      </c>
      <c r="B44" s="138"/>
      <c r="C44" s="138"/>
      <c r="D44" s="138"/>
      <c r="E44" s="138"/>
      <c r="F44" s="138"/>
      <c r="G44" s="138"/>
      <c r="H44" s="138"/>
      <c r="I44" s="138"/>
      <c r="J44" s="153" t="s">
        <v>529</v>
      </c>
      <c r="K44" s="153"/>
      <c r="L44" s="159" t="s">
        <v>522</v>
      </c>
      <c r="M44" s="159"/>
      <c r="N44" s="159"/>
      <c r="O44" s="159"/>
      <c r="P44" s="159"/>
      <c r="Q44" s="159">
        <v>1</v>
      </c>
      <c r="R44" s="159"/>
      <c r="S44" s="159"/>
      <c r="T44" s="159"/>
    </row>
    <row r="45" spans="1:20" ht="20.100000000000001" customHeight="1" x14ac:dyDescent="0.25">
      <c r="A45" s="138" t="s">
        <v>26</v>
      </c>
      <c r="B45" s="138"/>
      <c r="C45" s="138"/>
      <c r="D45" s="138"/>
      <c r="E45" s="138"/>
      <c r="F45" s="138"/>
      <c r="G45" s="138"/>
      <c r="H45" s="138"/>
      <c r="I45" s="138"/>
      <c r="J45" s="153" t="s">
        <v>530</v>
      </c>
      <c r="K45" s="153"/>
      <c r="L45" s="159" t="s">
        <v>523</v>
      </c>
      <c r="M45" s="159"/>
      <c r="N45" s="159"/>
      <c r="O45" s="159"/>
      <c r="P45" s="159"/>
      <c r="Q45" s="159">
        <v>1</v>
      </c>
      <c r="R45" s="159"/>
      <c r="S45" s="159"/>
      <c r="T45" s="159"/>
    </row>
    <row r="48" spans="1:20" ht="20.100000000000001" customHeight="1" x14ac:dyDescent="0.25">
      <c r="A48" s="152" t="s">
        <v>33</v>
      </c>
      <c r="B48" s="152"/>
      <c r="C48" s="152"/>
      <c r="D48" s="152"/>
      <c r="E48" s="152"/>
      <c r="F48" s="152"/>
      <c r="G48" s="152" t="s">
        <v>34</v>
      </c>
      <c r="H48" s="152"/>
      <c r="I48" s="152"/>
      <c r="J48" s="152"/>
      <c r="K48" s="152"/>
      <c r="L48" s="152" t="s">
        <v>30</v>
      </c>
      <c r="M48" s="152"/>
    </row>
    <row r="49" spans="1:20" ht="20.100000000000001" customHeight="1" x14ac:dyDescent="0.25">
      <c r="A49" s="150"/>
      <c r="B49" s="150"/>
      <c r="C49" s="150"/>
      <c r="D49" s="150"/>
      <c r="E49" s="150"/>
      <c r="F49" s="150"/>
      <c r="G49" s="80" t="s">
        <v>526</v>
      </c>
      <c r="H49" s="80" t="s">
        <v>527</v>
      </c>
      <c r="I49" s="80" t="s">
        <v>528</v>
      </c>
      <c r="J49" s="80" t="s">
        <v>529</v>
      </c>
      <c r="K49" s="80" t="s">
        <v>530</v>
      </c>
      <c r="L49" s="150"/>
      <c r="M49" s="150"/>
    </row>
    <row r="50" spans="1:20" ht="20.100000000000001" customHeight="1" thickBot="1" x14ac:dyDescent="0.3">
      <c r="A50" s="87"/>
      <c r="B50" s="87"/>
      <c r="C50" s="87"/>
      <c r="D50" s="87"/>
      <c r="E50" s="87"/>
      <c r="F50" s="87"/>
      <c r="G50" s="85">
        <v>0.9</v>
      </c>
      <c r="H50" s="85">
        <v>1</v>
      </c>
      <c r="I50" s="85">
        <v>1</v>
      </c>
      <c r="J50" s="85">
        <v>1</v>
      </c>
      <c r="K50" s="85">
        <v>1</v>
      </c>
      <c r="L50" s="156">
        <f>SUM(G50:K50)-COUNT(G50:K50)+1</f>
        <v>0.90000000000000036</v>
      </c>
      <c r="M50" s="156"/>
    </row>
    <row r="52" spans="1:20" ht="39.950000000000003" customHeight="1" x14ac:dyDescent="0.25">
      <c r="A52" s="150" t="s">
        <v>17</v>
      </c>
      <c r="B52" s="150"/>
      <c r="C52" s="80"/>
      <c r="D52" s="150" t="str">
        <f>R17</f>
        <v>Valor unitário ajustado</v>
      </c>
      <c r="E52" s="150"/>
      <c r="F52" s="150"/>
      <c r="G52" s="80" t="s">
        <v>526</v>
      </c>
      <c r="H52" s="80" t="s">
        <v>527</v>
      </c>
      <c r="I52" s="80" t="s">
        <v>528</v>
      </c>
      <c r="J52" s="80" t="s">
        <v>529</v>
      </c>
      <c r="K52" s="80" t="s">
        <v>530</v>
      </c>
      <c r="L52" s="150" t="s">
        <v>30</v>
      </c>
      <c r="M52" s="150"/>
      <c r="N52" s="150" t="s">
        <v>31</v>
      </c>
      <c r="O52" s="150"/>
      <c r="P52" s="150" t="s">
        <v>23</v>
      </c>
      <c r="Q52" s="150"/>
      <c r="R52" s="150" t="s">
        <v>32</v>
      </c>
      <c r="S52" s="150"/>
      <c r="T52" s="150"/>
    </row>
    <row r="53" spans="1:20" ht="20.100000000000001" customHeight="1" x14ac:dyDescent="0.25">
      <c r="A53" s="154">
        <v>1</v>
      </c>
      <c r="B53" s="154"/>
      <c r="C53" s="82"/>
      <c r="D53" s="155">
        <f>R18</f>
        <v>500</v>
      </c>
      <c r="E53" s="155"/>
      <c r="F53" s="155"/>
      <c r="G53" s="33">
        <v>0.95</v>
      </c>
      <c r="H53" s="33">
        <v>0.95</v>
      </c>
      <c r="I53" s="33">
        <v>1</v>
      </c>
      <c r="J53" s="33">
        <v>1</v>
      </c>
      <c r="K53" s="33">
        <v>1</v>
      </c>
      <c r="L53" s="155">
        <f>SUM(G53:K53)-COUNT(G53:K53)+1</f>
        <v>0.90000000000000036</v>
      </c>
      <c r="M53" s="155"/>
      <c r="N53" s="155">
        <f t="shared" ref="N53:N64" si="5">$L$50</f>
        <v>0.90000000000000036</v>
      </c>
      <c r="O53" s="155"/>
      <c r="P53" s="155">
        <f t="shared" ref="P53:P64" si="6">N53/L53</f>
        <v>1</v>
      </c>
      <c r="Q53" s="155"/>
      <c r="R53" s="155">
        <f t="shared" ref="R53:R64" si="7">D53*P53</f>
        <v>500</v>
      </c>
      <c r="S53" s="155"/>
      <c r="T53" s="155"/>
    </row>
    <row r="54" spans="1:20" ht="20.100000000000001" customHeight="1" x14ac:dyDescent="0.25">
      <c r="A54" s="123">
        <v>2</v>
      </c>
      <c r="B54" s="123"/>
      <c r="C54" s="84"/>
      <c r="D54" s="138">
        <f>R19</f>
        <v>506.25</v>
      </c>
      <c r="E54" s="138"/>
      <c r="F54" s="138"/>
      <c r="G54" s="78">
        <v>1</v>
      </c>
      <c r="H54" s="78">
        <v>1</v>
      </c>
      <c r="I54" s="78">
        <v>1</v>
      </c>
      <c r="J54" s="78">
        <v>0.95</v>
      </c>
      <c r="K54" s="78">
        <v>1</v>
      </c>
      <c r="L54" s="138">
        <f t="shared" ref="L54:L64" si="8">SUM(G54:K54)-COUNT(G54:K54)+1</f>
        <v>0.95000000000000018</v>
      </c>
      <c r="M54" s="138"/>
      <c r="N54" s="138">
        <f t="shared" si="5"/>
        <v>0.90000000000000036</v>
      </c>
      <c r="O54" s="138"/>
      <c r="P54" s="138">
        <f t="shared" si="6"/>
        <v>0.94736842105263175</v>
      </c>
      <c r="Q54" s="138"/>
      <c r="R54" s="138">
        <f t="shared" si="7"/>
        <v>479.6052631578948</v>
      </c>
      <c r="S54" s="138"/>
      <c r="T54" s="138"/>
    </row>
    <row r="55" spans="1:20" ht="20.100000000000001" customHeight="1" x14ac:dyDescent="0.25">
      <c r="A55" s="123">
        <v>3</v>
      </c>
      <c r="B55" s="123"/>
      <c r="C55" s="84"/>
      <c r="D55" s="138">
        <f>R20</f>
        <v>555</v>
      </c>
      <c r="E55" s="138"/>
      <c r="F55" s="138"/>
      <c r="G55" s="78">
        <v>1</v>
      </c>
      <c r="H55" s="78">
        <v>1</v>
      </c>
      <c r="I55" s="78">
        <v>1</v>
      </c>
      <c r="J55" s="78">
        <v>1</v>
      </c>
      <c r="K55" s="78">
        <v>1</v>
      </c>
      <c r="L55" s="138">
        <f t="shared" ref="L55:L56" si="9">SUM(G55:K55)-COUNT(G55:K55)+1</f>
        <v>1</v>
      </c>
      <c r="M55" s="138"/>
      <c r="N55" s="138">
        <f t="shared" si="5"/>
        <v>0.90000000000000036</v>
      </c>
      <c r="O55" s="138"/>
      <c r="P55" s="138">
        <f t="shared" ref="P55:P56" si="10">N55/L55</f>
        <v>0.90000000000000036</v>
      </c>
      <c r="Q55" s="138"/>
      <c r="R55" s="138">
        <f t="shared" ref="R55:R56" si="11">D55*P55</f>
        <v>499.50000000000017</v>
      </c>
      <c r="S55" s="138"/>
      <c r="T55" s="138"/>
    </row>
    <row r="56" spans="1:20" ht="20.100000000000001" customHeight="1" x14ac:dyDescent="0.25">
      <c r="A56" s="123">
        <v>4</v>
      </c>
      <c r="B56" s="123"/>
      <c r="C56" s="84"/>
      <c r="D56" s="138">
        <f>R21</f>
        <v>633.33333333333337</v>
      </c>
      <c r="E56" s="138"/>
      <c r="F56" s="138"/>
      <c r="G56" s="78">
        <v>1</v>
      </c>
      <c r="H56" s="78">
        <v>1</v>
      </c>
      <c r="I56" s="78">
        <v>1</v>
      </c>
      <c r="J56" s="78">
        <v>1</v>
      </c>
      <c r="K56" s="78">
        <v>1.25</v>
      </c>
      <c r="L56" s="138">
        <f t="shared" si="9"/>
        <v>1.25</v>
      </c>
      <c r="M56" s="138"/>
      <c r="N56" s="138">
        <f t="shared" si="5"/>
        <v>0.90000000000000036</v>
      </c>
      <c r="O56" s="138"/>
      <c r="P56" s="138">
        <f t="shared" si="10"/>
        <v>0.72000000000000031</v>
      </c>
      <c r="Q56" s="138"/>
      <c r="R56" s="138">
        <f t="shared" si="11"/>
        <v>456.00000000000023</v>
      </c>
      <c r="S56" s="138"/>
      <c r="T56" s="138"/>
    </row>
    <row r="57" spans="1:20" ht="20.100000000000001" customHeight="1" x14ac:dyDescent="0.25">
      <c r="A57" s="154">
        <v>5</v>
      </c>
      <c r="B57" s="154"/>
      <c r="C57" s="82"/>
      <c r="D57" s="155">
        <f t="shared" ref="D57:D63" si="12">R22</f>
        <v>555</v>
      </c>
      <c r="E57" s="155"/>
      <c r="F57" s="155"/>
      <c r="G57" s="78">
        <v>1</v>
      </c>
      <c r="H57" s="78">
        <v>1</v>
      </c>
      <c r="I57" s="78">
        <v>1</v>
      </c>
      <c r="J57" s="78">
        <v>1</v>
      </c>
      <c r="K57" s="78">
        <v>1</v>
      </c>
      <c r="L57" s="138">
        <f t="shared" ref="L57:L63" si="13">SUM(G57:K57)-COUNT(G57:K57)+1</f>
        <v>1</v>
      </c>
      <c r="M57" s="138"/>
      <c r="N57" s="138">
        <f t="shared" si="5"/>
        <v>0.90000000000000036</v>
      </c>
      <c r="O57" s="138"/>
      <c r="P57" s="138">
        <f t="shared" ref="P57:P63" si="14">N57/L57</f>
        <v>0.90000000000000036</v>
      </c>
      <c r="Q57" s="138"/>
      <c r="R57" s="138">
        <f t="shared" ref="R57:R63" si="15">D57*P57</f>
        <v>499.50000000000017</v>
      </c>
      <c r="S57" s="138"/>
      <c r="T57" s="138"/>
    </row>
    <row r="58" spans="1:20" ht="20.100000000000001" customHeight="1" x14ac:dyDescent="0.25">
      <c r="A58" s="123">
        <v>6</v>
      </c>
      <c r="B58" s="123"/>
      <c r="C58" s="84"/>
      <c r="D58" s="138">
        <f t="shared" si="12"/>
        <v>540</v>
      </c>
      <c r="E58" s="138"/>
      <c r="F58" s="138"/>
      <c r="G58" s="78">
        <v>1</v>
      </c>
      <c r="H58" s="78">
        <v>1</v>
      </c>
      <c r="I58" s="78">
        <v>1</v>
      </c>
      <c r="J58" s="78">
        <v>1</v>
      </c>
      <c r="K58" s="78">
        <v>1</v>
      </c>
      <c r="L58" s="138">
        <f t="shared" si="13"/>
        <v>1</v>
      </c>
      <c r="M58" s="138"/>
      <c r="N58" s="138">
        <f t="shared" si="5"/>
        <v>0.90000000000000036</v>
      </c>
      <c r="O58" s="138"/>
      <c r="P58" s="138">
        <f t="shared" si="14"/>
        <v>0.90000000000000036</v>
      </c>
      <c r="Q58" s="138"/>
      <c r="R58" s="138">
        <f t="shared" si="15"/>
        <v>486.00000000000017</v>
      </c>
      <c r="S58" s="138"/>
      <c r="T58" s="138"/>
    </row>
    <row r="59" spans="1:20" ht="20.100000000000001" customHeight="1" x14ac:dyDescent="0.25">
      <c r="A59" s="123">
        <v>7</v>
      </c>
      <c r="B59" s="123"/>
      <c r="C59" s="84"/>
      <c r="D59" s="138">
        <f t="shared" si="12"/>
        <v>450</v>
      </c>
      <c r="E59" s="138"/>
      <c r="F59" s="138"/>
      <c r="G59" s="78">
        <v>0.9</v>
      </c>
      <c r="H59" s="78">
        <v>1</v>
      </c>
      <c r="I59" s="78">
        <v>0.9</v>
      </c>
      <c r="J59" s="78">
        <v>1</v>
      </c>
      <c r="K59" s="78">
        <v>1</v>
      </c>
      <c r="L59" s="138">
        <f t="shared" si="13"/>
        <v>0.79999999999999982</v>
      </c>
      <c r="M59" s="138"/>
      <c r="N59" s="138">
        <f t="shared" si="5"/>
        <v>0.90000000000000036</v>
      </c>
      <c r="O59" s="138"/>
      <c r="P59" s="138">
        <f t="shared" si="14"/>
        <v>1.1250000000000007</v>
      </c>
      <c r="Q59" s="138"/>
      <c r="R59" s="138">
        <f t="shared" si="15"/>
        <v>506.25000000000028</v>
      </c>
      <c r="S59" s="138"/>
      <c r="T59" s="138"/>
    </row>
    <row r="60" spans="1:20" ht="20.100000000000001" customHeight="1" x14ac:dyDescent="0.25">
      <c r="A60" s="123">
        <v>8</v>
      </c>
      <c r="B60" s="123"/>
      <c r="C60" s="84"/>
      <c r="D60" s="138">
        <f t="shared" si="12"/>
        <v>558</v>
      </c>
      <c r="E60" s="138"/>
      <c r="F60" s="138"/>
      <c r="G60" s="78">
        <v>1</v>
      </c>
      <c r="H60" s="78">
        <v>1</v>
      </c>
      <c r="I60" s="78">
        <v>1</v>
      </c>
      <c r="J60" s="78">
        <v>1</v>
      </c>
      <c r="K60" s="78">
        <v>1</v>
      </c>
      <c r="L60" s="138">
        <f t="shared" si="13"/>
        <v>1</v>
      </c>
      <c r="M60" s="138"/>
      <c r="N60" s="138">
        <f t="shared" si="5"/>
        <v>0.90000000000000036</v>
      </c>
      <c r="O60" s="138"/>
      <c r="P60" s="138">
        <f t="shared" si="14"/>
        <v>0.90000000000000036</v>
      </c>
      <c r="Q60" s="138"/>
      <c r="R60" s="138">
        <f t="shared" si="15"/>
        <v>502.20000000000022</v>
      </c>
      <c r="S60" s="138"/>
      <c r="T60" s="138"/>
    </row>
    <row r="61" spans="1:20" ht="20.100000000000001" customHeight="1" x14ac:dyDescent="0.25">
      <c r="A61" s="154">
        <v>9</v>
      </c>
      <c r="B61" s="154"/>
      <c r="C61" s="82"/>
      <c r="D61" s="155">
        <f t="shared" si="12"/>
        <v>554.4</v>
      </c>
      <c r="E61" s="155"/>
      <c r="F61" s="155"/>
      <c r="G61" s="78">
        <v>1</v>
      </c>
      <c r="H61" s="78">
        <v>1</v>
      </c>
      <c r="I61" s="78">
        <v>1</v>
      </c>
      <c r="J61" s="78">
        <v>1</v>
      </c>
      <c r="K61" s="78">
        <v>1</v>
      </c>
      <c r="L61" s="138">
        <f t="shared" si="13"/>
        <v>1</v>
      </c>
      <c r="M61" s="138"/>
      <c r="N61" s="138">
        <f t="shared" si="5"/>
        <v>0.90000000000000036</v>
      </c>
      <c r="O61" s="138"/>
      <c r="P61" s="138">
        <f t="shared" si="14"/>
        <v>0.90000000000000036</v>
      </c>
      <c r="Q61" s="138"/>
      <c r="R61" s="138">
        <f t="shared" si="15"/>
        <v>498.96000000000015</v>
      </c>
      <c r="S61" s="138"/>
      <c r="T61" s="138"/>
    </row>
    <row r="62" spans="1:20" ht="20.100000000000001" customHeight="1" x14ac:dyDescent="0.25">
      <c r="A62" s="123">
        <v>10</v>
      </c>
      <c r="B62" s="123"/>
      <c r="C62" s="84"/>
      <c r="D62" s="138">
        <f t="shared" si="12"/>
        <v>630</v>
      </c>
      <c r="E62" s="138"/>
      <c r="F62" s="138"/>
      <c r="G62" s="78">
        <v>1</v>
      </c>
      <c r="H62" s="78">
        <v>1</v>
      </c>
      <c r="I62" s="78">
        <v>1</v>
      </c>
      <c r="J62" s="78">
        <v>1</v>
      </c>
      <c r="K62" s="78">
        <v>1</v>
      </c>
      <c r="L62" s="138">
        <f t="shared" si="13"/>
        <v>1</v>
      </c>
      <c r="M62" s="138"/>
      <c r="N62" s="138">
        <f t="shared" si="5"/>
        <v>0.90000000000000036</v>
      </c>
      <c r="O62" s="138"/>
      <c r="P62" s="138">
        <f t="shared" si="14"/>
        <v>0.90000000000000036</v>
      </c>
      <c r="Q62" s="138"/>
      <c r="R62" s="138">
        <f t="shared" si="15"/>
        <v>567.00000000000023</v>
      </c>
      <c r="S62" s="138"/>
      <c r="T62" s="138"/>
    </row>
    <row r="63" spans="1:20" ht="20.100000000000001" customHeight="1" x14ac:dyDescent="0.25">
      <c r="A63" s="123">
        <v>11</v>
      </c>
      <c r="B63" s="123"/>
      <c r="C63" s="84"/>
      <c r="D63" s="138">
        <f t="shared" si="12"/>
        <v>450</v>
      </c>
      <c r="E63" s="138"/>
      <c r="F63" s="138"/>
      <c r="G63" s="78">
        <v>0.9</v>
      </c>
      <c r="H63" s="78">
        <v>0.95</v>
      </c>
      <c r="I63" s="78">
        <v>0.8</v>
      </c>
      <c r="J63" s="78">
        <v>0.95</v>
      </c>
      <c r="K63" s="78">
        <v>1</v>
      </c>
      <c r="L63" s="138">
        <f t="shared" si="13"/>
        <v>0.60000000000000053</v>
      </c>
      <c r="M63" s="138"/>
      <c r="N63" s="138">
        <f t="shared" si="5"/>
        <v>0.90000000000000036</v>
      </c>
      <c r="O63" s="138"/>
      <c r="P63" s="138">
        <f t="shared" si="14"/>
        <v>1.4999999999999993</v>
      </c>
      <c r="Q63" s="138"/>
      <c r="R63" s="138">
        <f t="shared" si="15"/>
        <v>674.99999999999966</v>
      </c>
      <c r="S63" s="138"/>
      <c r="T63" s="138"/>
    </row>
    <row r="64" spans="1:20" ht="20.100000000000001" customHeight="1" x14ac:dyDescent="0.25">
      <c r="A64" s="123">
        <v>12</v>
      </c>
      <c r="B64" s="123"/>
      <c r="C64" s="84"/>
      <c r="D64" s="138">
        <f>R29</f>
        <v>644.06779661016947</v>
      </c>
      <c r="E64" s="138"/>
      <c r="F64" s="138"/>
      <c r="G64" s="78">
        <v>1</v>
      </c>
      <c r="H64" s="78">
        <v>1</v>
      </c>
      <c r="I64" s="78">
        <v>1</v>
      </c>
      <c r="J64" s="78">
        <v>1</v>
      </c>
      <c r="K64" s="78">
        <v>1</v>
      </c>
      <c r="L64" s="138">
        <f t="shared" si="8"/>
        <v>1</v>
      </c>
      <c r="M64" s="138"/>
      <c r="N64" s="138">
        <f t="shared" si="5"/>
        <v>0.90000000000000036</v>
      </c>
      <c r="O64" s="138"/>
      <c r="P64" s="138">
        <f t="shared" si="6"/>
        <v>0.90000000000000036</v>
      </c>
      <c r="Q64" s="138"/>
      <c r="R64" s="138">
        <f t="shared" si="7"/>
        <v>579.66101694915278</v>
      </c>
      <c r="S64" s="138"/>
      <c r="T64" s="138"/>
    </row>
    <row r="66" spans="1:20" ht="20.100000000000001" customHeight="1" x14ac:dyDescent="0.25">
      <c r="G66" s="88"/>
      <c r="H66" s="88"/>
      <c r="I66" s="88"/>
      <c r="J66" s="88"/>
      <c r="K66" s="88"/>
      <c r="N66" s="148" t="s">
        <v>36</v>
      </c>
      <c r="O66" s="148"/>
      <c r="P66" s="148"/>
      <c r="Q66" s="148"/>
      <c r="R66" s="148">
        <f>AVERAGE(R53:T64)</f>
        <v>520.80635667558738</v>
      </c>
      <c r="S66" s="148"/>
      <c r="T66" s="148"/>
    </row>
    <row r="67" spans="1:20" ht="20.100000000000001" customHeight="1" x14ac:dyDescent="0.25">
      <c r="N67" s="155" t="s">
        <v>37</v>
      </c>
      <c r="O67" s="155"/>
      <c r="P67" s="155"/>
      <c r="Q67" s="155"/>
      <c r="R67" s="148">
        <f>STDEVA(R53:T64)</f>
        <v>59.435567309093209</v>
      </c>
      <c r="S67" s="148"/>
      <c r="T67" s="148"/>
    </row>
    <row r="68" spans="1:20" ht="20.100000000000001" customHeight="1" x14ac:dyDescent="0.25">
      <c r="J68" s="89"/>
      <c r="N68" s="138" t="s">
        <v>35</v>
      </c>
      <c r="O68" s="138"/>
      <c r="P68" s="138"/>
      <c r="Q68" s="138"/>
      <c r="R68" s="157">
        <f>R67/R66</f>
        <v>0.11412220021368881</v>
      </c>
      <c r="S68" s="157"/>
      <c r="T68" s="157"/>
    </row>
    <row r="69" spans="1:20" ht="20.100000000000001" customHeight="1" x14ac:dyDescent="0.25">
      <c r="K69" s="90"/>
    </row>
    <row r="70" spans="1:20" ht="20.100000000000001" customHeight="1" x14ac:dyDescent="0.25">
      <c r="K70" s="90"/>
    </row>
    <row r="71" spans="1:20" ht="20.100000000000001" customHeight="1" x14ac:dyDescent="0.25">
      <c r="A71" s="155" t="s">
        <v>96</v>
      </c>
      <c r="B71" s="155"/>
      <c r="C71" s="155"/>
      <c r="D71" s="155"/>
      <c r="E71" s="155"/>
      <c r="F71" s="155"/>
      <c r="G71" s="155"/>
      <c r="H71" s="155"/>
      <c r="I71" s="155"/>
      <c r="J71" s="155"/>
      <c r="K71" s="155"/>
      <c r="L71" s="155"/>
      <c r="M71" s="155"/>
      <c r="N71" s="155"/>
      <c r="O71" s="155"/>
      <c r="P71" s="155"/>
      <c r="Q71" s="155"/>
      <c r="R71" s="155"/>
      <c r="S71" s="155"/>
      <c r="T71" s="155"/>
    </row>
    <row r="72" spans="1:20" ht="20.100000000000001" customHeight="1" x14ac:dyDescent="0.25">
      <c r="K72" s="90"/>
    </row>
    <row r="73" spans="1:20" ht="20.100000000000001" customHeight="1" x14ac:dyDescent="0.25">
      <c r="K73" s="90"/>
    </row>
    <row r="74" spans="1:20" ht="20.100000000000001" customHeight="1" x14ac:dyDescent="0.25">
      <c r="K74" s="90"/>
    </row>
    <row r="75" spans="1:20" ht="20.100000000000001" customHeight="1" x14ac:dyDescent="0.25">
      <c r="K75" s="90"/>
    </row>
    <row r="76" spans="1:20" ht="20.100000000000001" customHeight="1" x14ac:dyDescent="0.25">
      <c r="K76" s="90"/>
    </row>
    <row r="77" spans="1:20" ht="20.100000000000001" customHeight="1" x14ac:dyDescent="0.25">
      <c r="K77" s="90"/>
    </row>
    <row r="78" spans="1:20" ht="20.100000000000001" customHeight="1" x14ac:dyDescent="0.25">
      <c r="K78" s="90"/>
    </row>
    <row r="79" spans="1:20" ht="20.100000000000001" customHeight="1" x14ac:dyDescent="0.25">
      <c r="K79" s="90"/>
    </row>
    <row r="80" spans="1:20" ht="20.100000000000001" customHeight="1" x14ac:dyDescent="0.25">
      <c r="K80" s="90"/>
    </row>
    <row r="81" spans="11:11" ht="20.100000000000001" customHeight="1" x14ac:dyDescent="0.25">
      <c r="K81" s="90"/>
    </row>
    <row r="82" spans="11:11" ht="20.100000000000001" customHeight="1" x14ac:dyDescent="0.25">
      <c r="K82" s="90"/>
    </row>
    <row r="83" spans="11:11" ht="20.100000000000001" customHeight="1" x14ac:dyDescent="0.25">
      <c r="K83" s="90"/>
    </row>
    <row r="84" spans="11:11" ht="20.100000000000001" customHeight="1" x14ac:dyDescent="0.25">
      <c r="K84" s="90"/>
    </row>
    <row r="85" spans="11:11" ht="20.100000000000001" customHeight="1" x14ac:dyDescent="0.25">
      <c r="K85" s="90"/>
    </row>
    <row r="86" spans="11:11" ht="20.100000000000001" customHeight="1" x14ac:dyDescent="0.25">
      <c r="K86" s="90"/>
    </row>
    <row r="87" spans="11:11" ht="20.100000000000001" customHeight="1" x14ac:dyDescent="0.25">
      <c r="K87" s="90"/>
    </row>
    <row r="88" spans="11:11" ht="20.100000000000001" customHeight="1" x14ac:dyDescent="0.25">
      <c r="K88" s="90"/>
    </row>
    <row r="89" spans="11:11" ht="20.100000000000001" customHeight="1" x14ac:dyDescent="0.25">
      <c r="K89" s="90"/>
    </row>
    <row r="90" spans="11:11" ht="20.100000000000001" customHeight="1" x14ac:dyDescent="0.25">
      <c r="K90" s="90"/>
    </row>
    <row r="91" spans="11:11" ht="20.100000000000001" customHeight="1" x14ac:dyDescent="0.25">
      <c r="K91" s="90"/>
    </row>
    <row r="92" spans="11:11" ht="20.100000000000001" customHeight="1" x14ac:dyDescent="0.25">
      <c r="K92" s="90"/>
    </row>
    <row r="93" spans="11:11" ht="20.100000000000001" customHeight="1" x14ac:dyDescent="0.25">
      <c r="K93" s="90"/>
    </row>
    <row r="94" spans="11:11" ht="20.100000000000001" customHeight="1" x14ac:dyDescent="0.25">
      <c r="K94" s="90"/>
    </row>
    <row r="95" spans="11:11" ht="20.100000000000001" customHeight="1" x14ac:dyDescent="0.25">
      <c r="K95" s="90"/>
    </row>
    <row r="96" spans="11:11" ht="20.100000000000001" customHeight="1" x14ac:dyDescent="0.25">
      <c r="K96" s="90"/>
    </row>
    <row r="97" spans="1:20" ht="20.100000000000001" customHeight="1" x14ac:dyDescent="0.25">
      <c r="K97" s="90"/>
    </row>
    <row r="98" spans="1:20" ht="20.100000000000001" customHeight="1" x14ac:dyDescent="0.25">
      <c r="K98" s="90"/>
    </row>
    <row r="99" spans="1:20" ht="20.100000000000001" customHeight="1" x14ac:dyDescent="0.25">
      <c r="K99" s="90"/>
    </row>
    <row r="100" spans="1:20" ht="20.100000000000001" customHeight="1" x14ac:dyDescent="0.25">
      <c r="K100" s="90"/>
    </row>
    <row r="101" spans="1:20" ht="20.100000000000001" customHeight="1" x14ac:dyDescent="0.25">
      <c r="K101" s="90"/>
    </row>
    <row r="102" spans="1:20" ht="20.100000000000001" customHeight="1" x14ac:dyDescent="0.25">
      <c r="K102" s="90"/>
    </row>
    <row r="103" spans="1:20" ht="20.100000000000001" customHeight="1" x14ac:dyDescent="0.25">
      <c r="K103" s="90"/>
    </row>
    <row r="104" spans="1:20" ht="20.100000000000001" customHeight="1" x14ac:dyDescent="0.25">
      <c r="K104" s="90"/>
    </row>
    <row r="105" spans="1:20" ht="20.100000000000001" customHeight="1" x14ac:dyDescent="0.25">
      <c r="A105" s="155" t="s">
        <v>95</v>
      </c>
      <c r="B105" s="155"/>
      <c r="C105" s="155"/>
      <c r="D105" s="155"/>
      <c r="E105" s="155"/>
      <c r="F105" s="155"/>
      <c r="G105" s="155"/>
      <c r="H105" s="155"/>
      <c r="I105" s="155"/>
      <c r="J105" s="155"/>
      <c r="K105" s="155"/>
      <c r="L105" s="155"/>
      <c r="M105" s="155"/>
      <c r="N105" s="155"/>
      <c r="O105" s="155"/>
      <c r="P105" s="155"/>
      <c r="Q105" s="155"/>
      <c r="R105" s="155"/>
      <c r="S105" s="155"/>
      <c r="T105" s="155"/>
    </row>
    <row r="106" spans="1:20" ht="20.100000000000001" customHeight="1" x14ac:dyDescent="0.25">
      <c r="K106" s="90"/>
    </row>
    <row r="107" spans="1:20" ht="20.100000000000001" customHeight="1" x14ac:dyDescent="0.25">
      <c r="K107" s="90"/>
    </row>
    <row r="108" spans="1:20" ht="20.100000000000001" customHeight="1" x14ac:dyDescent="0.25">
      <c r="K108" s="90"/>
    </row>
    <row r="109" spans="1:20" ht="20.100000000000001" customHeight="1" x14ac:dyDescent="0.25">
      <c r="K109" s="90"/>
    </row>
    <row r="110" spans="1:20" ht="20.100000000000001" customHeight="1" x14ac:dyDescent="0.25">
      <c r="K110" s="90"/>
    </row>
    <row r="111" spans="1:20" ht="20.100000000000001" customHeight="1" x14ac:dyDescent="0.25">
      <c r="K111" s="90"/>
    </row>
    <row r="112" spans="1:20" ht="20.100000000000001" customHeight="1" x14ac:dyDescent="0.25">
      <c r="K112" s="90"/>
    </row>
    <row r="113" spans="1:20" ht="20.100000000000001" customHeight="1" x14ac:dyDescent="0.25">
      <c r="K113" s="90"/>
    </row>
    <row r="114" spans="1:20" ht="20.100000000000001" customHeight="1" x14ac:dyDescent="0.25">
      <c r="K114" s="90"/>
    </row>
    <row r="115" spans="1:20" ht="20.100000000000001" customHeight="1" x14ac:dyDescent="0.25">
      <c r="K115" s="90"/>
    </row>
    <row r="116" spans="1:20" ht="20.100000000000001" customHeight="1" x14ac:dyDescent="0.25">
      <c r="K116" s="90"/>
    </row>
    <row r="117" spans="1:20" ht="20.100000000000001" customHeight="1" x14ac:dyDescent="0.25">
      <c r="K117" s="90"/>
    </row>
    <row r="118" spans="1:20" ht="20.100000000000001" customHeight="1" x14ac:dyDescent="0.25">
      <c r="K118" s="90"/>
    </row>
    <row r="119" spans="1:20" ht="20.100000000000001" customHeight="1" x14ac:dyDescent="0.25">
      <c r="K119" s="90"/>
    </row>
    <row r="120" spans="1:20" ht="20.100000000000001" customHeight="1" x14ac:dyDescent="0.25">
      <c r="K120" s="90"/>
    </row>
    <row r="121" spans="1:20" ht="20.100000000000001" customHeight="1" x14ac:dyDescent="0.25">
      <c r="K121" s="90"/>
    </row>
    <row r="122" spans="1:20" ht="20.100000000000001" customHeight="1" x14ac:dyDescent="0.25">
      <c r="K122" s="90"/>
    </row>
    <row r="123" spans="1:20" ht="20.100000000000001" customHeight="1" x14ac:dyDescent="0.25">
      <c r="A123" s="155" t="s">
        <v>94</v>
      </c>
      <c r="B123" s="155"/>
      <c r="C123" s="155"/>
      <c r="D123" s="155"/>
      <c r="E123" s="155"/>
      <c r="F123" s="155"/>
      <c r="G123" s="155"/>
      <c r="H123" s="155"/>
      <c r="I123" s="155"/>
      <c r="J123" s="155"/>
      <c r="K123" s="155"/>
      <c r="L123" s="155"/>
      <c r="M123" s="155"/>
      <c r="N123" s="155"/>
      <c r="O123" s="155"/>
      <c r="P123" s="155"/>
      <c r="Q123" s="155"/>
      <c r="R123" s="155"/>
      <c r="S123" s="155"/>
      <c r="T123" s="155"/>
    </row>
    <row r="124" spans="1:20" ht="20.100000000000001" customHeight="1" x14ac:dyDescent="0.25">
      <c r="K124" s="90"/>
    </row>
    <row r="125" spans="1:20" ht="20.100000000000001" customHeight="1" x14ac:dyDescent="0.25">
      <c r="K125" s="90"/>
    </row>
    <row r="126" spans="1:20" ht="20.100000000000001" customHeight="1" x14ac:dyDescent="0.25">
      <c r="K126" s="90"/>
    </row>
    <row r="127" spans="1:20" ht="20.100000000000001" customHeight="1" x14ac:dyDescent="0.25">
      <c r="K127" s="90"/>
    </row>
    <row r="128" spans="1:20" ht="20.100000000000001" customHeight="1" x14ac:dyDescent="0.25">
      <c r="K128" s="90"/>
    </row>
    <row r="129" spans="1:20" ht="20.100000000000001" customHeight="1" x14ac:dyDescent="0.25">
      <c r="K129" s="90"/>
    </row>
    <row r="130" spans="1:20" ht="20.100000000000001" customHeight="1" x14ac:dyDescent="0.25">
      <c r="K130" s="90"/>
    </row>
    <row r="131" spans="1:20" ht="20.100000000000001" customHeight="1" x14ac:dyDescent="0.25">
      <c r="K131" s="90"/>
    </row>
    <row r="132" spans="1:20" ht="20.100000000000001" customHeight="1" x14ac:dyDescent="0.25">
      <c r="K132" s="90"/>
    </row>
    <row r="133" spans="1:20" ht="20.100000000000001" customHeight="1" x14ac:dyDescent="0.25">
      <c r="K133" s="90"/>
    </row>
    <row r="134" spans="1:20" ht="20.100000000000001" customHeight="1" x14ac:dyDescent="0.25">
      <c r="K134" s="90"/>
    </row>
    <row r="135" spans="1:20" ht="20.100000000000001" customHeight="1" x14ac:dyDescent="0.25">
      <c r="K135" s="90"/>
    </row>
    <row r="136" spans="1:20" ht="20.100000000000001" customHeight="1" x14ac:dyDescent="0.25">
      <c r="K136" s="90"/>
    </row>
    <row r="137" spans="1:20" ht="20.100000000000001" customHeight="1" x14ac:dyDescent="0.25">
      <c r="K137" s="90"/>
    </row>
    <row r="138" spans="1:20" ht="20.100000000000001" customHeight="1" x14ac:dyDescent="0.25">
      <c r="K138" s="90"/>
    </row>
    <row r="139" spans="1:20" ht="20.100000000000001" customHeight="1" x14ac:dyDescent="0.25">
      <c r="K139" s="90"/>
    </row>
    <row r="142" spans="1:20" ht="20.100000000000001" customHeight="1" x14ac:dyDescent="0.25">
      <c r="A142" s="149" t="s">
        <v>38</v>
      </c>
      <c r="B142" s="149"/>
      <c r="C142" s="149"/>
      <c r="D142" s="149"/>
      <c r="E142" s="149"/>
      <c r="F142" s="149"/>
      <c r="G142" s="149"/>
      <c r="H142" s="149"/>
      <c r="I142" s="149"/>
      <c r="J142" s="149"/>
      <c r="K142" s="149"/>
      <c r="L142" s="149"/>
      <c r="M142" s="149"/>
      <c r="N142" s="149"/>
      <c r="O142" s="149"/>
      <c r="P142" s="149"/>
      <c r="Q142" s="149"/>
      <c r="R142" s="149"/>
      <c r="S142" s="149"/>
      <c r="T142" s="149"/>
    </row>
    <row r="144" spans="1:20" ht="39.950000000000003" customHeight="1" x14ac:dyDescent="0.25">
      <c r="A144" s="150" t="s">
        <v>40</v>
      </c>
      <c r="B144" s="150"/>
      <c r="C144" s="150"/>
      <c r="D144" s="150"/>
      <c r="E144" s="150"/>
      <c r="F144" s="150"/>
      <c r="G144" s="150"/>
      <c r="H144" s="150"/>
      <c r="I144" s="150"/>
      <c r="J144" s="150"/>
      <c r="K144" s="91" t="s">
        <v>87</v>
      </c>
      <c r="L144" s="150" t="s">
        <v>39</v>
      </c>
      <c r="M144" s="150"/>
      <c r="N144" s="150"/>
      <c r="O144" s="150" t="s">
        <v>33</v>
      </c>
      <c r="P144" s="150"/>
      <c r="Q144" s="150"/>
      <c r="R144" s="150" t="s">
        <v>41</v>
      </c>
      <c r="S144" s="150"/>
      <c r="T144" s="150"/>
    </row>
    <row r="145" spans="1:20" ht="20.100000000000001" customHeight="1" x14ac:dyDescent="0.25">
      <c r="A145" s="155" t="s">
        <v>546</v>
      </c>
      <c r="B145" s="155"/>
      <c r="C145" s="155"/>
      <c r="D145" s="155"/>
      <c r="E145" s="155"/>
      <c r="F145" s="155"/>
      <c r="G145" s="155"/>
      <c r="H145" s="155"/>
      <c r="I145" s="155"/>
      <c r="J145" s="155"/>
      <c r="K145" s="57" t="s">
        <v>531</v>
      </c>
      <c r="L145" s="212">
        <v>0.15</v>
      </c>
      <c r="M145" s="212"/>
      <c r="N145" s="212"/>
      <c r="O145" s="212">
        <f>L145</f>
        <v>0.15</v>
      </c>
      <c r="P145" s="212"/>
      <c r="Q145" s="212"/>
      <c r="R145" s="212">
        <f>(L145-O145)</f>
        <v>0</v>
      </c>
      <c r="S145" s="212"/>
      <c r="T145" s="212"/>
    </row>
    <row r="146" spans="1:20" ht="20.100000000000001" customHeight="1" x14ac:dyDescent="0.25">
      <c r="A146" s="138" t="s">
        <v>547</v>
      </c>
      <c r="B146" s="138"/>
      <c r="C146" s="138"/>
      <c r="D146" s="138"/>
      <c r="E146" s="138"/>
      <c r="F146" s="138"/>
      <c r="G146" s="138"/>
      <c r="H146" s="138"/>
      <c r="I146" s="138"/>
      <c r="J146" s="138"/>
      <c r="K146" s="76" t="s">
        <v>532</v>
      </c>
      <c r="L146" s="173">
        <v>0.1</v>
      </c>
      <c r="M146" s="173"/>
      <c r="N146" s="173"/>
      <c r="O146" s="173">
        <f t="shared" ref="O146:O151" si="16">L146</f>
        <v>0.1</v>
      </c>
      <c r="P146" s="173"/>
      <c r="Q146" s="173"/>
      <c r="R146" s="173">
        <f t="shared" ref="R146:R151" si="17">(L146-O146)</f>
        <v>0</v>
      </c>
      <c r="S146" s="173"/>
      <c r="T146" s="173"/>
    </row>
    <row r="147" spans="1:20" ht="20.100000000000001" customHeight="1" x14ac:dyDescent="0.25">
      <c r="A147" s="138" t="s">
        <v>548</v>
      </c>
      <c r="B147" s="138"/>
      <c r="C147" s="138"/>
      <c r="D147" s="138"/>
      <c r="E147" s="138"/>
      <c r="F147" s="138"/>
      <c r="G147" s="138"/>
      <c r="H147" s="138"/>
      <c r="I147" s="138"/>
      <c r="J147" s="138"/>
      <c r="K147" s="76" t="s">
        <v>533</v>
      </c>
      <c r="L147" s="173">
        <v>0.05</v>
      </c>
      <c r="M147" s="173"/>
      <c r="N147" s="173"/>
      <c r="O147" s="173">
        <f t="shared" si="16"/>
        <v>0.05</v>
      </c>
      <c r="P147" s="173"/>
      <c r="Q147" s="173"/>
      <c r="R147" s="173">
        <f t="shared" si="17"/>
        <v>0</v>
      </c>
      <c r="S147" s="173"/>
      <c r="T147" s="173"/>
    </row>
    <row r="148" spans="1:20" ht="20.100000000000001" customHeight="1" x14ac:dyDescent="0.25">
      <c r="A148" s="138" t="s">
        <v>549</v>
      </c>
      <c r="B148" s="138"/>
      <c r="C148" s="138"/>
      <c r="D148" s="138"/>
      <c r="E148" s="138"/>
      <c r="F148" s="138"/>
      <c r="G148" s="138"/>
      <c r="H148" s="138"/>
      <c r="I148" s="138"/>
      <c r="J148" s="138"/>
      <c r="K148" s="76" t="s">
        <v>534</v>
      </c>
      <c r="L148" s="173">
        <v>0.15</v>
      </c>
      <c r="M148" s="173"/>
      <c r="N148" s="173"/>
      <c r="O148" s="173">
        <f t="shared" si="16"/>
        <v>0.15</v>
      </c>
      <c r="P148" s="173"/>
      <c r="Q148" s="173"/>
      <c r="R148" s="173">
        <f t="shared" si="17"/>
        <v>0</v>
      </c>
      <c r="S148" s="173"/>
      <c r="T148" s="173"/>
    </row>
    <row r="149" spans="1:20" ht="20.100000000000001" customHeight="1" x14ac:dyDescent="0.25">
      <c r="A149" s="138" t="s">
        <v>550</v>
      </c>
      <c r="B149" s="138"/>
      <c r="C149" s="138"/>
      <c r="D149" s="138"/>
      <c r="E149" s="138"/>
      <c r="F149" s="138"/>
      <c r="G149" s="138"/>
      <c r="H149" s="138"/>
      <c r="I149" s="138"/>
      <c r="J149" s="138"/>
      <c r="K149" s="76" t="s">
        <v>535</v>
      </c>
      <c r="L149" s="173">
        <v>0.1</v>
      </c>
      <c r="M149" s="173"/>
      <c r="N149" s="173"/>
      <c r="O149" s="173">
        <f t="shared" si="16"/>
        <v>0.1</v>
      </c>
      <c r="P149" s="173"/>
      <c r="Q149" s="173"/>
      <c r="R149" s="173">
        <f t="shared" si="17"/>
        <v>0</v>
      </c>
      <c r="S149" s="173"/>
      <c r="T149" s="173"/>
    </row>
    <row r="150" spans="1:20" ht="20.100000000000001" customHeight="1" x14ac:dyDescent="0.25">
      <c r="A150" s="138" t="s">
        <v>1</v>
      </c>
      <c r="B150" s="138"/>
      <c r="C150" s="138"/>
      <c r="D150" s="138"/>
      <c r="E150" s="138"/>
      <c r="F150" s="138"/>
      <c r="G150" s="138"/>
      <c r="H150" s="138"/>
      <c r="I150" s="138"/>
      <c r="J150" s="138"/>
      <c r="K150" s="76" t="s">
        <v>536</v>
      </c>
      <c r="L150" s="173">
        <v>0.3</v>
      </c>
      <c r="M150" s="173"/>
      <c r="N150" s="173"/>
      <c r="O150" s="173">
        <f t="shared" si="16"/>
        <v>0.3</v>
      </c>
      <c r="P150" s="173"/>
      <c r="Q150" s="173"/>
      <c r="R150" s="173">
        <f t="shared" si="17"/>
        <v>0</v>
      </c>
      <c r="S150" s="173"/>
      <c r="T150" s="173"/>
    </row>
    <row r="151" spans="1:20" ht="20.100000000000001" customHeight="1" x14ac:dyDescent="0.25">
      <c r="A151" s="138" t="s">
        <v>551</v>
      </c>
      <c r="B151" s="138"/>
      <c r="C151" s="138"/>
      <c r="D151" s="138"/>
      <c r="E151" s="138"/>
      <c r="F151" s="138"/>
      <c r="G151" s="138"/>
      <c r="H151" s="138"/>
      <c r="I151" s="138"/>
      <c r="J151" s="138"/>
      <c r="K151" s="76" t="s">
        <v>537</v>
      </c>
      <c r="L151" s="173">
        <v>0.05</v>
      </c>
      <c r="M151" s="173"/>
      <c r="N151" s="173"/>
      <c r="O151" s="173">
        <f t="shared" si="16"/>
        <v>0.05</v>
      </c>
      <c r="P151" s="173"/>
      <c r="Q151" s="173"/>
      <c r="R151" s="173">
        <f t="shared" si="17"/>
        <v>0</v>
      </c>
      <c r="S151" s="173"/>
      <c r="T151" s="173"/>
    </row>
    <row r="153" spans="1:20" ht="20.100000000000001" customHeight="1" x14ac:dyDescent="0.25">
      <c r="A153" s="148" t="s">
        <v>257</v>
      </c>
      <c r="B153" s="148"/>
      <c r="C153" s="148"/>
      <c r="D153" s="148"/>
      <c r="E153" s="148"/>
      <c r="F153" s="148"/>
      <c r="G153" s="148"/>
      <c r="H153" s="148"/>
      <c r="I153" s="148"/>
      <c r="J153" s="148"/>
      <c r="K153" s="148"/>
      <c r="L153" s="230">
        <f>1+(SUM(L145:N151))</f>
        <v>1.9</v>
      </c>
      <c r="M153" s="230"/>
      <c r="N153" s="230"/>
      <c r="O153" s="230">
        <f>1+(SUM(O145:Q151))</f>
        <v>1.9</v>
      </c>
      <c r="P153" s="230"/>
      <c r="Q153" s="230"/>
    </row>
    <row r="154" spans="1:20" ht="20.100000000000001" customHeight="1" x14ac:dyDescent="0.25">
      <c r="A154" s="213" t="s">
        <v>538</v>
      </c>
      <c r="B154" s="213"/>
      <c r="C154" s="213"/>
      <c r="D154" s="213"/>
      <c r="E154" s="213"/>
      <c r="F154" s="213"/>
      <c r="G154" s="213"/>
      <c r="H154" s="213"/>
      <c r="I154" s="213"/>
      <c r="J154" s="213"/>
      <c r="K154" s="213"/>
      <c r="L154" s="213"/>
      <c r="M154" s="213"/>
      <c r="N154" s="213"/>
      <c r="O154" s="213"/>
      <c r="P154" s="213"/>
      <c r="Q154" s="213"/>
    </row>
    <row r="155" spans="1:20" ht="20.100000000000001" customHeight="1" x14ac:dyDescent="0.25">
      <c r="A155" s="233"/>
      <c r="B155" s="233"/>
      <c r="C155" s="233"/>
      <c r="D155" s="233"/>
      <c r="E155" s="233"/>
      <c r="F155" s="233"/>
      <c r="G155" s="233"/>
      <c r="H155" s="233"/>
      <c r="I155" s="233"/>
      <c r="J155" s="233"/>
      <c r="K155" s="233"/>
      <c r="L155" s="233"/>
      <c r="M155" s="233"/>
      <c r="N155" s="233"/>
      <c r="O155" s="233"/>
      <c r="P155" s="233"/>
      <c r="Q155" s="233"/>
      <c r="R155" s="230">
        <f>SUM(R145:T151)</f>
        <v>0</v>
      </c>
      <c r="S155" s="230"/>
      <c r="T155" s="230"/>
    </row>
    <row r="157" spans="1:20" ht="20.100000000000001" customHeight="1" x14ac:dyDescent="0.25">
      <c r="A157" s="231" t="s">
        <v>552</v>
      </c>
      <c r="B157" s="231"/>
      <c r="C157" s="231"/>
      <c r="D157" s="231"/>
      <c r="E157" s="231"/>
      <c r="F157" s="231"/>
      <c r="G157" s="231" t="s">
        <v>34</v>
      </c>
      <c r="H157" s="231"/>
      <c r="I157" s="231"/>
      <c r="J157" s="231"/>
      <c r="K157" s="231"/>
      <c r="L157" s="231"/>
      <c r="M157" s="231"/>
      <c r="N157" s="231"/>
      <c r="O157" s="231"/>
      <c r="P157" s="231"/>
      <c r="Q157" s="231"/>
      <c r="R157" s="231" t="s">
        <v>15</v>
      </c>
      <c r="S157" s="231"/>
      <c r="T157" s="231"/>
    </row>
    <row r="158" spans="1:20" ht="20.100000000000001" customHeight="1" x14ac:dyDescent="0.25">
      <c r="A158" s="231"/>
      <c r="B158" s="231"/>
      <c r="C158" s="231"/>
      <c r="D158" s="231"/>
      <c r="E158" s="231"/>
      <c r="F158" s="231"/>
      <c r="G158" s="91"/>
      <c r="H158" s="91"/>
      <c r="I158" s="91"/>
      <c r="J158" s="91"/>
      <c r="K158" s="91" t="s">
        <v>531</v>
      </c>
      <c r="L158" s="91" t="s">
        <v>532</v>
      </c>
      <c r="M158" s="91" t="s">
        <v>533</v>
      </c>
      <c r="N158" s="91" t="s">
        <v>534</v>
      </c>
      <c r="O158" s="91" t="s">
        <v>535</v>
      </c>
      <c r="P158" s="91" t="s">
        <v>536</v>
      </c>
      <c r="Q158" s="91" t="s">
        <v>537</v>
      </c>
      <c r="R158" s="232"/>
      <c r="S158" s="232"/>
      <c r="T158" s="232"/>
    </row>
    <row r="159" spans="1:20" ht="20.100000000000001" customHeight="1" thickBot="1" x14ac:dyDescent="0.3">
      <c r="A159" s="237"/>
      <c r="B159" s="237"/>
      <c r="C159" s="237"/>
      <c r="D159" s="237"/>
      <c r="E159" s="237"/>
      <c r="F159" s="237"/>
      <c r="G159" s="93"/>
      <c r="H159" s="93"/>
      <c r="I159" s="93"/>
      <c r="J159" s="93"/>
      <c r="K159" s="93">
        <f>$O$145</f>
        <v>0.15</v>
      </c>
      <c r="L159" s="93">
        <f>$O$146</f>
        <v>0.1</v>
      </c>
      <c r="M159" s="93">
        <f>$O$147</f>
        <v>0.05</v>
      </c>
      <c r="N159" s="93">
        <f>$O$148</f>
        <v>0.15</v>
      </c>
      <c r="O159" s="93">
        <f>$O$149</f>
        <v>0.1</v>
      </c>
      <c r="P159" s="93">
        <f>$O$150</f>
        <v>0.3</v>
      </c>
      <c r="Q159" s="93">
        <f>$O$151</f>
        <v>0.05</v>
      </c>
      <c r="R159" s="236">
        <f>1+(SUM(K159:Q159))</f>
        <v>1.9</v>
      </c>
      <c r="S159" s="236"/>
      <c r="T159" s="236"/>
    </row>
    <row r="161" spans="1:20" ht="20.100000000000001" customHeight="1" x14ac:dyDescent="0.25">
      <c r="A161" s="155" t="s">
        <v>253</v>
      </c>
      <c r="B161" s="155"/>
      <c r="C161" s="155"/>
      <c r="D161" s="155"/>
      <c r="E161" s="155"/>
      <c r="F161" s="155"/>
      <c r="G161" s="155"/>
      <c r="H161" s="155"/>
      <c r="I161" s="155"/>
      <c r="J161" s="155"/>
      <c r="K161" s="155"/>
      <c r="L161" s="155"/>
      <c r="M161" s="155"/>
      <c r="N161" s="155"/>
      <c r="O161" s="155"/>
      <c r="P161" s="155"/>
      <c r="Q161" s="155"/>
      <c r="R161" s="155"/>
      <c r="S161" s="155"/>
      <c r="T161" s="155"/>
    </row>
    <row r="162" spans="1:20" ht="20.100000000000001" customHeight="1" x14ac:dyDescent="0.25">
      <c r="A162" s="155"/>
      <c r="B162" s="155"/>
      <c r="C162" s="155"/>
      <c r="D162" s="155"/>
      <c r="E162" s="155"/>
      <c r="F162" s="155"/>
      <c r="G162" s="155"/>
      <c r="H162" s="155"/>
      <c r="I162" s="155"/>
      <c r="J162" s="155"/>
      <c r="K162" s="155"/>
      <c r="L162" s="155"/>
      <c r="M162" s="155"/>
      <c r="N162" s="155"/>
      <c r="O162" s="155"/>
      <c r="P162" s="155"/>
      <c r="Q162" s="155"/>
      <c r="R162" s="155"/>
      <c r="S162" s="155"/>
      <c r="T162" s="155"/>
    </row>
    <row r="163" spans="1:20" ht="20.100000000000001" customHeight="1" x14ac:dyDescent="0.25">
      <c r="A163" s="155"/>
      <c r="B163" s="155"/>
      <c r="C163" s="155"/>
      <c r="D163" s="155"/>
      <c r="E163" s="155"/>
      <c r="F163" s="155"/>
      <c r="G163" s="155"/>
      <c r="H163" s="155"/>
      <c r="I163" s="155"/>
      <c r="J163" s="155"/>
      <c r="K163" s="155"/>
      <c r="L163" s="155"/>
      <c r="M163" s="155"/>
      <c r="N163" s="155"/>
      <c r="O163" s="155"/>
      <c r="P163" s="155"/>
      <c r="Q163" s="155"/>
      <c r="R163" s="155"/>
      <c r="S163" s="155"/>
      <c r="T163" s="155"/>
    </row>
    <row r="165" spans="1:20" ht="39.950000000000003" customHeight="1" x14ac:dyDescent="0.25">
      <c r="A165" s="150" t="s">
        <v>17</v>
      </c>
      <c r="B165" s="150"/>
      <c r="C165" s="80"/>
      <c r="D165" s="150" t="str">
        <f t="shared" ref="D165:D177" si="18">R52</f>
        <v>Valor unitário homogeneizado</v>
      </c>
      <c r="E165" s="150"/>
      <c r="F165" s="150"/>
      <c r="G165" s="80"/>
      <c r="H165" s="80"/>
      <c r="I165" s="80"/>
      <c r="J165" s="80"/>
      <c r="K165" s="80" t="s">
        <v>531</v>
      </c>
      <c r="L165" s="80" t="s">
        <v>532</v>
      </c>
      <c r="M165" s="80" t="s">
        <v>533</v>
      </c>
      <c r="N165" s="80" t="s">
        <v>534</v>
      </c>
      <c r="O165" s="80" t="s">
        <v>535</v>
      </c>
      <c r="P165" s="80" t="s">
        <v>536</v>
      </c>
      <c r="Q165" s="80" t="s">
        <v>537</v>
      </c>
      <c r="R165" s="150" t="s">
        <v>15</v>
      </c>
      <c r="S165" s="150"/>
      <c r="T165" s="150"/>
    </row>
    <row r="166" spans="1:20" ht="20.100000000000001" customHeight="1" x14ac:dyDescent="0.25">
      <c r="A166" s="154">
        <v>1</v>
      </c>
      <c r="B166" s="154"/>
      <c r="C166" s="82"/>
      <c r="D166" s="155">
        <f t="shared" si="18"/>
        <v>500</v>
      </c>
      <c r="E166" s="155"/>
      <c r="F166" s="155"/>
      <c r="G166" s="92"/>
      <c r="H166" s="92"/>
      <c r="I166" s="92"/>
      <c r="J166" s="92"/>
      <c r="K166" s="92">
        <f>$L$145</f>
        <v>0.15</v>
      </c>
      <c r="L166" s="92">
        <f>$L$146</f>
        <v>0.1</v>
      </c>
      <c r="M166" s="92">
        <f>$L$147</f>
        <v>0.05</v>
      </c>
      <c r="N166" s="92">
        <f>$L$148</f>
        <v>0.15</v>
      </c>
      <c r="O166" s="92">
        <f>$L$149</f>
        <v>0.1</v>
      </c>
      <c r="P166" s="92">
        <f>$L$150</f>
        <v>0.3</v>
      </c>
      <c r="Q166" s="92">
        <f>$L$151</f>
        <v>0.05</v>
      </c>
      <c r="R166" s="247">
        <f t="shared" ref="R166:R177" si="19">1+(SUM(K166:Q166))</f>
        <v>1.9</v>
      </c>
      <c r="S166" s="247"/>
      <c r="T166" s="247"/>
    </row>
    <row r="167" spans="1:20" ht="20.100000000000001" customHeight="1" x14ac:dyDescent="0.25">
      <c r="A167" s="123">
        <v>2</v>
      </c>
      <c r="B167" s="123"/>
      <c r="C167" s="84"/>
      <c r="D167" s="138">
        <f t="shared" si="18"/>
        <v>479.6052631578948</v>
      </c>
      <c r="E167" s="138"/>
      <c r="F167" s="138"/>
      <c r="G167" s="92"/>
      <c r="H167" s="92"/>
      <c r="I167" s="92"/>
      <c r="J167" s="92"/>
      <c r="K167" s="92">
        <f t="shared" ref="K167:K177" si="20">$L$145</f>
        <v>0.15</v>
      </c>
      <c r="L167" s="92">
        <f t="shared" ref="L167:L177" si="21">$L$146</f>
        <v>0.1</v>
      </c>
      <c r="M167" s="92">
        <f t="shared" ref="M167:M177" si="22">$L$147</f>
        <v>0.05</v>
      </c>
      <c r="N167" s="92">
        <f t="shared" ref="N167:N177" si="23">$L$148</f>
        <v>0.15</v>
      </c>
      <c r="O167" s="92">
        <f t="shared" ref="O167:O177" si="24">$L$149</f>
        <v>0.1</v>
      </c>
      <c r="P167" s="92">
        <f t="shared" ref="P167:P177" si="25">$L$150</f>
        <v>0.3</v>
      </c>
      <c r="Q167" s="92">
        <f t="shared" ref="Q167:Q177" si="26">$L$151</f>
        <v>0.05</v>
      </c>
      <c r="R167" s="153">
        <f t="shared" si="19"/>
        <v>1.9</v>
      </c>
      <c r="S167" s="153"/>
      <c r="T167" s="153"/>
    </row>
    <row r="168" spans="1:20" ht="20.100000000000001" customHeight="1" x14ac:dyDescent="0.25">
      <c r="A168" s="123">
        <v>3</v>
      </c>
      <c r="B168" s="123"/>
      <c r="C168" s="84"/>
      <c r="D168" s="138">
        <f t="shared" si="18"/>
        <v>499.50000000000017</v>
      </c>
      <c r="E168" s="138"/>
      <c r="F168" s="138"/>
      <c r="G168" s="92"/>
      <c r="H168" s="92"/>
      <c r="I168" s="92"/>
      <c r="J168" s="92"/>
      <c r="K168" s="92">
        <f t="shared" si="20"/>
        <v>0.15</v>
      </c>
      <c r="L168" s="92">
        <f t="shared" si="21"/>
        <v>0.1</v>
      </c>
      <c r="M168" s="92">
        <f t="shared" si="22"/>
        <v>0.05</v>
      </c>
      <c r="N168" s="92">
        <f t="shared" si="23"/>
        <v>0.15</v>
      </c>
      <c r="O168" s="92">
        <f t="shared" si="24"/>
        <v>0.1</v>
      </c>
      <c r="P168" s="92">
        <f t="shared" si="25"/>
        <v>0.3</v>
      </c>
      <c r="Q168" s="92">
        <f t="shared" si="26"/>
        <v>0.05</v>
      </c>
      <c r="R168" s="153">
        <f t="shared" si="19"/>
        <v>1.9</v>
      </c>
      <c r="S168" s="153"/>
      <c r="T168" s="153"/>
    </row>
    <row r="169" spans="1:20" ht="20.100000000000001" customHeight="1" x14ac:dyDescent="0.25">
      <c r="A169" s="123">
        <v>4</v>
      </c>
      <c r="B169" s="123"/>
      <c r="C169" s="84"/>
      <c r="D169" s="138">
        <f t="shared" si="18"/>
        <v>456.00000000000023</v>
      </c>
      <c r="E169" s="138"/>
      <c r="F169" s="138"/>
      <c r="G169" s="92"/>
      <c r="H169" s="92"/>
      <c r="I169" s="92"/>
      <c r="J169" s="92"/>
      <c r="K169" s="92">
        <f t="shared" si="20"/>
        <v>0.15</v>
      </c>
      <c r="L169" s="92">
        <f t="shared" si="21"/>
        <v>0.1</v>
      </c>
      <c r="M169" s="92">
        <f t="shared" si="22"/>
        <v>0.05</v>
      </c>
      <c r="N169" s="92">
        <f t="shared" si="23"/>
        <v>0.15</v>
      </c>
      <c r="O169" s="92">
        <f t="shared" si="24"/>
        <v>0.1</v>
      </c>
      <c r="P169" s="92">
        <f t="shared" si="25"/>
        <v>0.3</v>
      </c>
      <c r="Q169" s="92">
        <f t="shared" si="26"/>
        <v>0.05</v>
      </c>
      <c r="R169" s="153">
        <f t="shared" si="19"/>
        <v>1.9</v>
      </c>
      <c r="S169" s="153"/>
      <c r="T169" s="153"/>
    </row>
    <row r="170" spans="1:20" ht="20.100000000000001" customHeight="1" x14ac:dyDescent="0.25">
      <c r="A170" s="154">
        <v>5</v>
      </c>
      <c r="B170" s="154"/>
      <c r="C170" s="84"/>
      <c r="D170" s="138">
        <f t="shared" si="18"/>
        <v>499.50000000000017</v>
      </c>
      <c r="E170" s="138"/>
      <c r="F170" s="138"/>
      <c r="G170" s="92"/>
      <c r="H170" s="92"/>
      <c r="I170" s="92"/>
      <c r="J170" s="92"/>
      <c r="K170" s="92">
        <f t="shared" si="20"/>
        <v>0.15</v>
      </c>
      <c r="L170" s="92">
        <f t="shared" si="21"/>
        <v>0.1</v>
      </c>
      <c r="M170" s="92">
        <f t="shared" si="22"/>
        <v>0.05</v>
      </c>
      <c r="N170" s="92">
        <f t="shared" si="23"/>
        <v>0.15</v>
      </c>
      <c r="O170" s="92">
        <f t="shared" si="24"/>
        <v>0.1</v>
      </c>
      <c r="P170" s="92">
        <f t="shared" si="25"/>
        <v>0.3</v>
      </c>
      <c r="Q170" s="92">
        <f t="shared" si="26"/>
        <v>0.05</v>
      </c>
      <c r="R170" s="153">
        <f t="shared" si="19"/>
        <v>1.9</v>
      </c>
      <c r="S170" s="153"/>
      <c r="T170" s="153"/>
    </row>
    <row r="171" spans="1:20" ht="20.100000000000001" customHeight="1" x14ac:dyDescent="0.25">
      <c r="A171" s="123">
        <v>6</v>
      </c>
      <c r="B171" s="123"/>
      <c r="C171" s="84"/>
      <c r="D171" s="138">
        <f t="shared" si="18"/>
        <v>486.00000000000017</v>
      </c>
      <c r="E171" s="138"/>
      <c r="F171" s="138"/>
      <c r="G171" s="92"/>
      <c r="H171" s="92"/>
      <c r="I171" s="92"/>
      <c r="J171" s="92"/>
      <c r="K171" s="92">
        <f t="shared" si="20"/>
        <v>0.15</v>
      </c>
      <c r="L171" s="92">
        <f t="shared" si="21"/>
        <v>0.1</v>
      </c>
      <c r="M171" s="92">
        <f t="shared" si="22"/>
        <v>0.05</v>
      </c>
      <c r="N171" s="92">
        <f t="shared" si="23"/>
        <v>0.15</v>
      </c>
      <c r="O171" s="92">
        <f t="shared" si="24"/>
        <v>0.1</v>
      </c>
      <c r="P171" s="92">
        <f t="shared" si="25"/>
        <v>0.3</v>
      </c>
      <c r="Q171" s="92">
        <f t="shared" si="26"/>
        <v>0.05</v>
      </c>
      <c r="R171" s="153">
        <f t="shared" si="19"/>
        <v>1.9</v>
      </c>
      <c r="S171" s="153"/>
      <c r="T171" s="153"/>
    </row>
    <row r="172" spans="1:20" ht="20.100000000000001" customHeight="1" x14ac:dyDescent="0.25">
      <c r="A172" s="123">
        <v>7</v>
      </c>
      <c r="B172" s="123"/>
      <c r="C172" s="84"/>
      <c r="D172" s="138">
        <f t="shared" si="18"/>
        <v>506.25000000000028</v>
      </c>
      <c r="E172" s="138"/>
      <c r="F172" s="138"/>
      <c r="G172" s="92"/>
      <c r="H172" s="92"/>
      <c r="I172" s="92"/>
      <c r="J172" s="92"/>
      <c r="K172" s="92">
        <f t="shared" si="20"/>
        <v>0.15</v>
      </c>
      <c r="L172" s="92">
        <f t="shared" si="21"/>
        <v>0.1</v>
      </c>
      <c r="M172" s="92">
        <f t="shared" si="22"/>
        <v>0.05</v>
      </c>
      <c r="N172" s="92">
        <f t="shared" si="23"/>
        <v>0.15</v>
      </c>
      <c r="O172" s="92">
        <f t="shared" si="24"/>
        <v>0.1</v>
      </c>
      <c r="P172" s="92">
        <f t="shared" si="25"/>
        <v>0.3</v>
      </c>
      <c r="Q172" s="92">
        <f t="shared" si="26"/>
        <v>0.05</v>
      </c>
      <c r="R172" s="153">
        <f t="shared" si="19"/>
        <v>1.9</v>
      </c>
      <c r="S172" s="153"/>
      <c r="T172" s="153"/>
    </row>
    <row r="173" spans="1:20" ht="20.100000000000001" customHeight="1" x14ac:dyDescent="0.25">
      <c r="A173" s="123">
        <v>8</v>
      </c>
      <c r="B173" s="123"/>
      <c r="C173" s="84"/>
      <c r="D173" s="138">
        <f t="shared" si="18"/>
        <v>502.20000000000022</v>
      </c>
      <c r="E173" s="138"/>
      <c r="F173" s="138"/>
      <c r="G173" s="92"/>
      <c r="H173" s="92"/>
      <c r="I173" s="92"/>
      <c r="J173" s="92"/>
      <c r="K173" s="92">
        <f t="shared" si="20"/>
        <v>0.15</v>
      </c>
      <c r="L173" s="92">
        <f t="shared" si="21"/>
        <v>0.1</v>
      </c>
      <c r="M173" s="92">
        <f t="shared" si="22"/>
        <v>0.05</v>
      </c>
      <c r="N173" s="92">
        <f t="shared" si="23"/>
        <v>0.15</v>
      </c>
      <c r="O173" s="92">
        <f t="shared" si="24"/>
        <v>0.1</v>
      </c>
      <c r="P173" s="92">
        <f t="shared" si="25"/>
        <v>0.3</v>
      </c>
      <c r="Q173" s="92">
        <f t="shared" si="26"/>
        <v>0.05</v>
      </c>
      <c r="R173" s="153">
        <f t="shared" si="19"/>
        <v>1.9</v>
      </c>
      <c r="S173" s="153"/>
      <c r="T173" s="153"/>
    </row>
    <row r="174" spans="1:20" ht="20.100000000000001" customHeight="1" x14ac:dyDescent="0.25">
      <c r="A174" s="154">
        <v>9</v>
      </c>
      <c r="B174" s="154"/>
      <c r="C174" s="84"/>
      <c r="D174" s="138">
        <f t="shared" si="18"/>
        <v>498.96000000000015</v>
      </c>
      <c r="E174" s="138"/>
      <c r="F174" s="138"/>
      <c r="G174" s="92"/>
      <c r="H174" s="92"/>
      <c r="I174" s="92"/>
      <c r="J174" s="92"/>
      <c r="K174" s="92">
        <f t="shared" si="20"/>
        <v>0.15</v>
      </c>
      <c r="L174" s="92">
        <f t="shared" si="21"/>
        <v>0.1</v>
      </c>
      <c r="M174" s="92">
        <f t="shared" si="22"/>
        <v>0.05</v>
      </c>
      <c r="N174" s="92">
        <f t="shared" si="23"/>
        <v>0.15</v>
      </c>
      <c r="O174" s="92">
        <f t="shared" si="24"/>
        <v>0.1</v>
      </c>
      <c r="P174" s="92">
        <f t="shared" si="25"/>
        <v>0.3</v>
      </c>
      <c r="Q174" s="92">
        <f t="shared" si="26"/>
        <v>0.05</v>
      </c>
      <c r="R174" s="153">
        <f t="shared" si="19"/>
        <v>1.9</v>
      </c>
      <c r="S174" s="153"/>
      <c r="T174" s="153"/>
    </row>
    <row r="175" spans="1:20" ht="20.100000000000001" customHeight="1" x14ac:dyDescent="0.25">
      <c r="A175" s="123">
        <v>10</v>
      </c>
      <c r="B175" s="123"/>
      <c r="C175" s="84"/>
      <c r="D175" s="138">
        <f t="shared" si="18"/>
        <v>567.00000000000023</v>
      </c>
      <c r="E175" s="138"/>
      <c r="F175" s="138"/>
      <c r="G175" s="92"/>
      <c r="H175" s="92"/>
      <c r="I175" s="92"/>
      <c r="J175" s="92"/>
      <c r="K175" s="92">
        <f t="shared" si="20"/>
        <v>0.15</v>
      </c>
      <c r="L175" s="92">
        <f t="shared" si="21"/>
        <v>0.1</v>
      </c>
      <c r="M175" s="92">
        <f t="shared" si="22"/>
        <v>0.05</v>
      </c>
      <c r="N175" s="92">
        <f t="shared" si="23"/>
        <v>0.15</v>
      </c>
      <c r="O175" s="92">
        <f t="shared" si="24"/>
        <v>0.1</v>
      </c>
      <c r="P175" s="92">
        <f t="shared" si="25"/>
        <v>0.3</v>
      </c>
      <c r="Q175" s="92">
        <f t="shared" si="26"/>
        <v>0.05</v>
      </c>
      <c r="R175" s="153">
        <f t="shared" si="19"/>
        <v>1.9</v>
      </c>
      <c r="S175" s="153"/>
      <c r="T175" s="153"/>
    </row>
    <row r="176" spans="1:20" ht="20.100000000000001" customHeight="1" x14ac:dyDescent="0.25">
      <c r="A176" s="123">
        <v>11</v>
      </c>
      <c r="B176" s="123"/>
      <c r="C176" s="84"/>
      <c r="D176" s="138">
        <f t="shared" si="18"/>
        <v>674.99999999999966</v>
      </c>
      <c r="E176" s="138"/>
      <c r="F176" s="138"/>
      <c r="G176" s="92"/>
      <c r="H176" s="92"/>
      <c r="I176" s="92"/>
      <c r="J176" s="92"/>
      <c r="K176" s="92">
        <f t="shared" si="20"/>
        <v>0.15</v>
      </c>
      <c r="L176" s="92">
        <f t="shared" si="21"/>
        <v>0.1</v>
      </c>
      <c r="M176" s="92">
        <f t="shared" si="22"/>
        <v>0.05</v>
      </c>
      <c r="N176" s="92">
        <f t="shared" si="23"/>
        <v>0.15</v>
      </c>
      <c r="O176" s="92">
        <f t="shared" si="24"/>
        <v>0.1</v>
      </c>
      <c r="P176" s="92">
        <f t="shared" si="25"/>
        <v>0.3</v>
      </c>
      <c r="Q176" s="92">
        <f t="shared" si="26"/>
        <v>0.05</v>
      </c>
      <c r="R176" s="153">
        <f t="shared" si="19"/>
        <v>1.9</v>
      </c>
      <c r="S176" s="153"/>
      <c r="T176" s="153"/>
    </row>
    <row r="177" spans="1:20" ht="20.100000000000001" customHeight="1" x14ac:dyDescent="0.25">
      <c r="A177" s="123">
        <v>12</v>
      </c>
      <c r="B177" s="123"/>
      <c r="C177" s="84"/>
      <c r="D177" s="138">
        <f t="shared" si="18"/>
        <v>579.66101694915278</v>
      </c>
      <c r="E177" s="138"/>
      <c r="F177" s="138"/>
      <c r="G177" s="92"/>
      <c r="H177" s="92"/>
      <c r="I177" s="92"/>
      <c r="J177" s="92"/>
      <c r="K177" s="92">
        <f t="shared" si="20"/>
        <v>0.15</v>
      </c>
      <c r="L177" s="92">
        <f t="shared" si="21"/>
        <v>0.1</v>
      </c>
      <c r="M177" s="92">
        <f t="shared" si="22"/>
        <v>0.05</v>
      </c>
      <c r="N177" s="92">
        <f t="shared" si="23"/>
        <v>0.15</v>
      </c>
      <c r="O177" s="92">
        <f t="shared" si="24"/>
        <v>0.1</v>
      </c>
      <c r="P177" s="92">
        <f t="shared" si="25"/>
        <v>0.3</v>
      </c>
      <c r="Q177" s="92">
        <f t="shared" si="26"/>
        <v>0.05</v>
      </c>
      <c r="R177" s="153">
        <f t="shared" si="19"/>
        <v>1.9</v>
      </c>
      <c r="S177" s="153"/>
      <c r="T177" s="153"/>
    </row>
    <row r="179" spans="1:20" ht="39.950000000000003" customHeight="1" x14ac:dyDescent="0.25">
      <c r="A179" s="150" t="s">
        <v>17</v>
      </c>
      <c r="B179" s="150"/>
      <c r="C179" s="80"/>
      <c r="D179" s="150" t="str">
        <f>D165</f>
        <v>Valor unitário homogeneizado</v>
      </c>
      <c r="E179" s="150"/>
      <c r="F179" s="150"/>
      <c r="G179" s="150" t="s">
        <v>539</v>
      </c>
      <c r="H179" s="150"/>
      <c r="I179" s="150"/>
      <c r="J179" s="150" t="s">
        <v>540</v>
      </c>
      <c r="K179" s="150"/>
      <c r="L179" s="150"/>
      <c r="M179" s="150" t="s">
        <v>23</v>
      </c>
      <c r="N179" s="150"/>
      <c r="O179" s="150"/>
      <c r="P179" s="150" t="s">
        <v>42</v>
      </c>
      <c r="Q179" s="150"/>
      <c r="R179" s="150"/>
      <c r="S179" s="150"/>
      <c r="T179" s="150"/>
    </row>
    <row r="180" spans="1:20" ht="20.100000000000001" customHeight="1" x14ac:dyDescent="0.25">
      <c r="A180" s="154">
        <v>1</v>
      </c>
      <c r="B180" s="154"/>
      <c r="C180" s="82"/>
      <c r="D180" s="155">
        <f>D166</f>
        <v>500</v>
      </c>
      <c r="E180" s="155"/>
      <c r="F180" s="155"/>
      <c r="G180" s="220">
        <f>R166</f>
        <v>1.9</v>
      </c>
      <c r="H180" s="220"/>
      <c r="I180" s="220"/>
      <c r="J180" s="220">
        <f>$R$159</f>
        <v>1.9</v>
      </c>
      <c r="K180" s="220"/>
      <c r="L180" s="220"/>
      <c r="M180" s="220">
        <f>J180/G180</f>
        <v>1</v>
      </c>
      <c r="N180" s="220"/>
      <c r="O180" s="220"/>
      <c r="P180" s="155">
        <f t="shared" ref="P180:P191" si="27">D180*M180</f>
        <v>500</v>
      </c>
      <c r="Q180" s="155"/>
      <c r="R180" s="155"/>
      <c r="S180" s="155"/>
      <c r="T180" s="155"/>
    </row>
    <row r="181" spans="1:20" ht="20.100000000000001" customHeight="1" x14ac:dyDescent="0.25">
      <c r="A181" s="123">
        <v>2</v>
      </c>
      <c r="B181" s="123"/>
      <c r="C181" s="84"/>
      <c r="D181" s="138">
        <f>D167</f>
        <v>479.6052631578948</v>
      </c>
      <c r="E181" s="138"/>
      <c r="F181" s="138"/>
      <c r="G181" s="147">
        <f>R167</f>
        <v>1.9</v>
      </c>
      <c r="H181" s="147"/>
      <c r="I181" s="147"/>
      <c r="J181" s="147">
        <f t="shared" ref="J181:J191" si="28">$R$159</f>
        <v>1.9</v>
      </c>
      <c r="K181" s="147"/>
      <c r="L181" s="147"/>
      <c r="M181" s="147">
        <f t="shared" ref="M181:M191" si="29">J181/G181</f>
        <v>1</v>
      </c>
      <c r="N181" s="147"/>
      <c r="O181" s="147"/>
      <c r="P181" s="138">
        <f t="shared" si="27"/>
        <v>479.6052631578948</v>
      </c>
      <c r="Q181" s="138"/>
      <c r="R181" s="138"/>
      <c r="S181" s="138"/>
      <c r="T181" s="138"/>
    </row>
    <row r="182" spans="1:20" ht="20.100000000000001" customHeight="1" x14ac:dyDescent="0.25">
      <c r="A182" s="123">
        <v>3</v>
      </c>
      <c r="B182" s="123"/>
      <c r="C182" s="84"/>
      <c r="D182" s="138">
        <f>D168</f>
        <v>499.50000000000017</v>
      </c>
      <c r="E182" s="138"/>
      <c r="F182" s="138"/>
      <c r="G182" s="147">
        <f>R168</f>
        <v>1.9</v>
      </c>
      <c r="H182" s="147"/>
      <c r="I182" s="147"/>
      <c r="J182" s="147">
        <f t="shared" si="28"/>
        <v>1.9</v>
      </c>
      <c r="K182" s="147"/>
      <c r="L182" s="147"/>
      <c r="M182" s="147">
        <f t="shared" ref="M182:M183" si="30">J182/G182</f>
        <v>1</v>
      </c>
      <c r="N182" s="147"/>
      <c r="O182" s="147"/>
      <c r="P182" s="138">
        <f t="shared" ref="P182:P183" si="31">D182*M182</f>
        <v>499.50000000000017</v>
      </c>
      <c r="Q182" s="138"/>
      <c r="R182" s="138"/>
      <c r="S182" s="138"/>
      <c r="T182" s="138"/>
    </row>
    <row r="183" spans="1:20" ht="20.100000000000001" customHeight="1" x14ac:dyDescent="0.25">
      <c r="A183" s="123">
        <v>4</v>
      </c>
      <c r="B183" s="123"/>
      <c r="C183" s="84"/>
      <c r="D183" s="138">
        <f>D169</f>
        <v>456.00000000000023</v>
      </c>
      <c r="E183" s="138"/>
      <c r="F183" s="138"/>
      <c r="G183" s="147">
        <f>R169</f>
        <v>1.9</v>
      </c>
      <c r="H183" s="147"/>
      <c r="I183" s="147"/>
      <c r="J183" s="147">
        <f t="shared" si="28"/>
        <v>1.9</v>
      </c>
      <c r="K183" s="147"/>
      <c r="L183" s="147"/>
      <c r="M183" s="147">
        <f t="shared" si="30"/>
        <v>1</v>
      </c>
      <c r="N183" s="147"/>
      <c r="O183" s="147"/>
      <c r="P183" s="138">
        <f t="shared" si="31"/>
        <v>456.00000000000023</v>
      </c>
      <c r="Q183" s="138"/>
      <c r="R183" s="138"/>
      <c r="S183" s="138"/>
      <c r="T183" s="138"/>
    </row>
    <row r="184" spans="1:20" ht="20.100000000000001" customHeight="1" x14ac:dyDescent="0.25">
      <c r="A184" s="154">
        <v>5</v>
      </c>
      <c r="B184" s="154"/>
      <c r="C184" s="84"/>
      <c r="D184" s="138">
        <f t="shared" ref="D184:D190" si="32">D170</f>
        <v>499.50000000000017</v>
      </c>
      <c r="E184" s="138"/>
      <c r="F184" s="138"/>
      <c r="G184" s="147">
        <f t="shared" ref="G184:G190" si="33">R170</f>
        <v>1.9</v>
      </c>
      <c r="H184" s="147"/>
      <c r="I184" s="147"/>
      <c r="J184" s="147">
        <f t="shared" si="28"/>
        <v>1.9</v>
      </c>
      <c r="K184" s="147"/>
      <c r="L184" s="147"/>
      <c r="M184" s="147">
        <f t="shared" ref="M184:M190" si="34">J184/G184</f>
        <v>1</v>
      </c>
      <c r="N184" s="147"/>
      <c r="O184" s="147"/>
      <c r="P184" s="138">
        <f t="shared" ref="P184:P190" si="35">D184*M184</f>
        <v>499.50000000000017</v>
      </c>
      <c r="Q184" s="138"/>
      <c r="R184" s="138"/>
      <c r="S184" s="138"/>
      <c r="T184" s="138"/>
    </row>
    <row r="185" spans="1:20" ht="20.100000000000001" customHeight="1" x14ac:dyDescent="0.25">
      <c r="A185" s="123">
        <v>6</v>
      </c>
      <c r="B185" s="123"/>
      <c r="C185" s="84"/>
      <c r="D185" s="138">
        <f t="shared" si="32"/>
        <v>486.00000000000017</v>
      </c>
      <c r="E185" s="138"/>
      <c r="F185" s="138"/>
      <c r="G185" s="147">
        <f t="shared" si="33"/>
        <v>1.9</v>
      </c>
      <c r="H185" s="147"/>
      <c r="I185" s="147"/>
      <c r="J185" s="147">
        <f t="shared" si="28"/>
        <v>1.9</v>
      </c>
      <c r="K185" s="147"/>
      <c r="L185" s="147"/>
      <c r="M185" s="147">
        <f t="shared" si="34"/>
        <v>1</v>
      </c>
      <c r="N185" s="147"/>
      <c r="O185" s="147"/>
      <c r="P185" s="138">
        <f t="shared" si="35"/>
        <v>486.00000000000017</v>
      </c>
      <c r="Q185" s="138"/>
      <c r="R185" s="138"/>
      <c r="S185" s="138"/>
      <c r="T185" s="138"/>
    </row>
    <row r="186" spans="1:20" ht="20.100000000000001" customHeight="1" x14ac:dyDescent="0.25">
      <c r="A186" s="123">
        <v>7</v>
      </c>
      <c r="B186" s="123"/>
      <c r="C186" s="84"/>
      <c r="D186" s="138">
        <f t="shared" si="32"/>
        <v>506.25000000000028</v>
      </c>
      <c r="E186" s="138"/>
      <c r="F186" s="138"/>
      <c r="G186" s="147">
        <f t="shared" si="33"/>
        <v>1.9</v>
      </c>
      <c r="H186" s="147"/>
      <c r="I186" s="147"/>
      <c r="J186" s="147">
        <f t="shared" si="28"/>
        <v>1.9</v>
      </c>
      <c r="K186" s="147"/>
      <c r="L186" s="147"/>
      <c r="M186" s="147">
        <f t="shared" si="34"/>
        <v>1</v>
      </c>
      <c r="N186" s="147"/>
      <c r="O186" s="147"/>
      <c r="P186" s="138">
        <f t="shared" si="35"/>
        <v>506.25000000000028</v>
      </c>
      <c r="Q186" s="138"/>
      <c r="R186" s="138"/>
      <c r="S186" s="138"/>
      <c r="T186" s="138"/>
    </row>
    <row r="187" spans="1:20" ht="20.100000000000001" customHeight="1" x14ac:dyDescent="0.25">
      <c r="A187" s="123">
        <v>8</v>
      </c>
      <c r="B187" s="123"/>
      <c r="C187" s="84"/>
      <c r="D187" s="138">
        <f t="shared" si="32"/>
        <v>502.20000000000022</v>
      </c>
      <c r="E187" s="138"/>
      <c r="F187" s="138"/>
      <c r="G187" s="147">
        <f t="shared" si="33"/>
        <v>1.9</v>
      </c>
      <c r="H187" s="147"/>
      <c r="I187" s="147"/>
      <c r="J187" s="147">
        <f t="shared" si="28"/>
        <v>1.9</v>
      </c>
      <c r="K187" s="147"/>
      <c r="L187" s="147"/>
      <c r="M187" s="147">
        <f t="shared" si="34"/>
        <v>1</v>
      </c>
      <c r="N187" s="147"/>
      <c r="O187" s="147"/>
      <c r="P187" s="138">
        <f t="shared" si="35"/>
        <v>502.20000000000022</v>
      </c>
      <c r="Q187" s="138"/>
      <c r="R187" s="138"/>
      <c r="S187" s="138"/>
      <c r="T187" s="138"/>
    </row>
    <row r="188" spans="1:20" ht="20.100000000000001" customHeight="1" x14ac:dyDescent="0.25">
      <c r="A188" s="154">
        <v>9</v>
      </c>
      <c r="B188" s="154"/>
      <c r="C188" s="84"/>
      <c r="D188" s="138">
        <f t="shared" si="32"/>
        <v>498.96000000000015</v>
      </c>
      <c r="E188" s="138"/>
      <c r="F188" s="138"/>
      <c r="G188" s="147">
        <f t="shared" si="33"/>
        <v>1.9</v>
      </c>
      <c r="H188" s="147"/>
      <c r="I188" s="147"/>
      <c r="J188" s="147">
        <f t="shared" si="28"/>
        <v>1.9</v>
      </c>
      <c r="K188" s="147"/>
      <c r="L188" s="147"/>
      <c r="M188" s="147">
        <f t="shared" si="34"/>
        <v>1</v>
      </c>
      <c r="N188" s="147"/>
      <c r="O188" s="147"/>
      <c r="P188" s="138">
        <f t="shared" si="35"/>
        <v>498.96000000000015</v>
      </c>
      <c r="Q188" s="138"/>
      <c r="R188" s="138"/>
      <c r="S188" s="138"/>
      <c r="T188" s="138"/>
    </row>
    <row r="189" spans="1:20" ht="20.100000000000001" customHeight="1" x14ac:dyDescent="0.25">
      <c r="A189" s="123">
        <v>10</v>
      </c>
      <c r="B189" s="123"/>
      <c r="C189" s="84"/>
      <c r="D189" s="138">
        <f t="shared" si="32"/>
        <v>567.00000000000023</v>
      </c>
      <c r="E189" s="138"/>
      <c r="F189" s="138"/>
      <c r="G189" s="147">
        <f t="shared" si="33"/>
        <v>1.9</v>
      </c>
      <c r="H189" s="147"/>
      <c r="I189" s="147"/>
      <c r="J189" s="147">
        <f t="shared" si="28"/>
        <v>1.9</v>
      </c>
      <c r="K189" s="147"/>
      <c r="L189" s="147"/>
      <c r="M189" s="147">
        <f t="shared" si="34"/>
        <v>1</v>
      </c>
      <c r="N189" s="147"/>
      <c r="O189" s="147"/>
      <c r="P189" s="138">
        <f t="shared" si="35"/>
        <v>567.00000000000023</v>
      </c>
      <c r="Q189" s="138"/>
      <c r="R189" s="138"/>
      <c r="S189" s="138"/>
      <c r="T189" s="138"/>
    </row>
    <row r="190" spans="1:20" ht="20.100000000000001" customHeight="1" x14ac:dyDescent="0.25">
      <c r="A190" s="123">
        <v>11</v>
      </c>
      <c r="B190" s="123"/>
      <c r="C190" s="84"/>
      <c r="D190" s="138">
        <f t="shared" si="32"/>
        <v>674.99999999999966</v>
      </c>
      <c r="E190" s="138"/>
      <c r="F190" s="138"/>
      <c r="G190" s="147">
        <f t="shared" si="33"/>
        <v>1.9</v>
      </c>
      <c r="H190" s="147"/>
      <c r="I190" s="147"/>
      <c r="J190" s="147">
        <f t="shared" si="28"/>
        <v>1.9</v>
      </c>
      <c r="K190" s="147"/>
      <c r="L190" s="147"/>
      <c r="M190" s="147">
        <f t="shared" si="34"/>
        <v>1</v>
      </c>
      <c r="N190" s="147"/>
      <c r="O190" s="147"/>
      <c r="P190" s="138">
        <f t="shared" si="35"/>
        <v>674.99999999999966</v>
      </c>
      <c r="Q190" s="138"/>
      <c r="R190" s="138"/>
      <c r="S190" s="138"/>
      <c r="T190" s="138"/>
    </row>
    <row r="191" spans="1:20" ht="20.100000000000001" customHeight="1" x14ac:dyDescent="0.25">
      <c r="A191" s="123">
        <v>12</v>
      </c>
      <c r="B191" s="123"/>
      <c r="C191" s="84"/>
      <c r="D191" s="138">
        <f>D177</f>
        <v>579.66101694915278</v>
      </c>
      <c r="E191" s="138"/>
      <c r="F191" s="138"/>
      <c r="G191" s="147">
        <f>R177</f>
        <v>1.9</v>
      </c>
      <c r="H191" s="147"/>
      <c r="I191" s="147"/>
      <c r="J191" s="147">
        <f t="shared" si="28"/>
        <v>1.9</v>
      </c>
      <c r="K191" s="147"/>
      <c r="L191" s="147"/>
      <c r="M191" s="147">
        <f t="shared" si="29"/>
        <v>1</v>
      </c>
      <c r="N191" s="147"/>
      <c r="O191" s="147"/>
      <c r="P191" s="138">
        <f t="shared" si="27"/>
        <v>579.66101694915278</v>
      </c>
      <c r="Q191" s="138"/>
      <c r="R191" s="138"/>
      <c r="S191" s="138"/>
      <c r="T191" s="138"/>
    </row>
    <row r="193" spans="1:27" ht="20.100000000000001" customHeight="1" x14ac:dyDescent="0.25">
      <c r="N193" s="148" t="s">
        <v>36</v>
      </c>
      <c r="O193" s="148"/>
      <c r="P193" s="148"/>
      <c r="Q193" s="148"/>
      <c r="R193" s="148">
        <f>AVERAGE(P180:T191)</f>
        <v>520.80635667558738</v>
      </c>
      <c r="S193" s="148"/>
      <c r="T193" s="148"/>
    </row>
    <row r="194" spans="1:27" ht="20.100000000000001" customHeight="1" x14ac:dyDescent="0.25">
      <c r="N194" s="155" t="s">
        <v>37</v>
      </c>
      <c r="O194" s="155"/>
      <c r="P194" s="155"/>
      <c r="Q194" s="155"/>
      <c r="R194" s="148">
        <f>STDEVA(P180:T191)</f>
        <v>59.435567309093209</v>
      </c>
      <c r="S194" s="148"/>
      <c r="T194" s="148"/>
    </row>
    <row r="195" spans="1:27" ht="20.100000000000001" customHeight="1" x14ac:dyDescent="0.25">
      <c r="N195" s="138" t="s">
        <v>35</v>
      </c>
      <c r="O195" s="138"/>
      <c r="P195" s="138"/>
      <c r="Q195" s="138"/>
      <c r="R195" s="157">
        <f>R194/R193</f>
        <v>0.11412220021368881</v>
      </c>
      <c r="S195" s="157"/>
      <c r="T195" s="157"/>
    </row>
    <row r="198" spans="1:27" ht="20.100000000000001" customHeight="1" x14ac:dyDescent="0.25">
      <c r="A198" s="149" t="s">
        <v>49</v>
      </c>
      <c r="B198" s="149"/>
      <c r="C198" s="149"/>
      <c r="D198" s="149"/>
      <c r="E198" s="149"/>
      <c r="F198" s="149"/>
      <c r="G198" s="149"/>
      <c r="H198" s="149"/>
      <c r="I198" s="149"/>
      <c r="J198" s="149"/>
      <c r="K198" s="149"/>
      <c r="L198" s="149"/>
      <c r="M198" s="149"/>
      <c r="N198" s="149"/>
      <c r="O198" s="149"/>
      <c r="P198" s="149"/>
      <c r="Q198" s="149"/>
      <c r="R198" s="149"/>
      <c r="S198" s="149"/>
      <c r="T198" s="149"/>
    </row>
    <row r="200" spans="1:27" ht="20.100000000000001" customHeight="1" x14ac:dyDescent="0.25">
      <c r="A200" s="150" t="s">
        <v>17</v>
      </c>
      <c r="B200" s="150"/>
      <c r="C200" s="80"/>
      <c r="D200" s="150" t="s">
        <v>32</v>
      </c>
      <c r="E200" s="150"/>
      <c r="F200" s="150"/>
      <c r="G200" s="150"/>
      <c r="H200" s="150"/>
      <c r="N200" s="148" t="s">
        <v>43</v>
      </c>
      <c r="O200" s="148"/>
      <c r="P200" s="148"/>
      <c r="Q200" s="148"/>
      <c r="R200" s="148"/>
      <c r="S200" s="227">
        <v>0.3</v>
      </c>
      <c r="T200" s="227"/>
    </row>
    <row r="201" spans="1:27" ht="20.100000000000001" customHeight="1" x14ac:dyDescent="0.25">
      <c r="A201" s="123">
        <v>1</v>
      </c>
      <c r="B201" s="123"/>
      <c r="C201" s="82"/>
      <c r="D201" s="151">
        <f>P180</f>
        <v>500</v>
      </c>
      <c r="E201" s="151"/>
      <c r="F201" s="151"/>
      <c r="G201" s="151"/>
      <c r="H201" s="151"/>
      <c r="I201" s="109">
        <f>A201</f>
        <v>1</v>
      </c>
    </row>
    <row r="202" spans="1:27" ht="20.100000000000001" customHeight="1" x14ac:dyDescent="0.25">
      <c r="A202" s="123">
        <v>2</v>
      </c>
      <c r="B202" s="123"/>
      <c r="C202" s="84"/>
      <c r="D202" s="124">
        <f>P181</f>
        <v>479.6052631578948</v>
      </c>
      <c r="E202" s="124"/>
      <c r="F202" s="124"/>
      <c r="G202" s="124"/>
      <c r="H202" s="124"/>
      <c r="I202" s="109">
        <f t="shared" ref="I202:I212" si="36">A202</f>
        <v>2</v>
      </c>
      <c r="N202" s="148" t="s">
        <v>36</v>
      </c>
      <c r="O202" s="148"/>
      <c r="P202" s="148"/>
      <c r="Q202" s="148"/>
      <c r="R202" s="148">
        <f>AVERAGE(D201:D212)</f>
        <v>506.78875273700447</v>
      </c>
      <c r="S202" s="148"/>
      <c r="T202" s="148"/>
      <c r="Z202" s="58" t="e">
        <f>VLOOKUP(R208,D201:I212,6,0)</f>
        <v>#N/A</v>
      </c>
    </row>
    <row r="203" spans="1:27" ht="20.100000000000001" customHeight="1" x14ac:dyDescent="0.25">
      <c r="A203" s="123">
        <v>3</v>
      </c>
      <c r="B203" s="123"/>
      <c r="C203" s="84"/>
      <c r="D203" s="124">
        <f>P182</f>
        <v>499.50000000000017</v>
      </c>
      <c r="E203" s="124"/>
      <c r="F203" s="124"/>
      <c r="G203" s="124"/>
      <c r="H203" s="124"/>
      <c r="I203" s="109">
        <f t="shared" si="36"/>
        <v>3</v>
      </c>
      <c r="N203" s="148" t="s">
        <v>45</v>
      </c>
      <c r="O203" s="148"/>
      <c r="P203" s="148"/>
      <c r="Q203" s="148"/>
      <c r="R203" s="148">
        <f>R202*(1+S200)</f>
        <v>658.82537855810585</v>
      </c>
      <c r="S203" s="148"/>
      <c r="T203" s="148"/>
    </row>
    <row r="204" spans="1:27" ht="20.100000000000001" customHeight="1" x14ac:dyDescent="0.25">
      <c r="A204" s="123">
        <v>4</v>
      </c>
      <c r="B204" s="123"/>
      <c r="C204" s="84"/>
      <c r="D204" s="124">
        <f>P183</f>
        <v>456.00000000000023</v>
      </c>
      <c r="E204" s="124"/>
      <c r="F204" s="124"/>
      <c r="G204" s="124"/>
      <c r="H204" s="124"/>
      <c r="I204" s="109">
        <f t="shared" si="36"/>
        <v>4</v>
      </c>
      <c r="N204" s="148" t="s">
        <v>44</v>
      </c>
      <c r="O204" s="148"/>
      <c r="P204" s="148"/>
      <c r="Q204" s="148"/>
      <c r="R204" s="148">
        <f>R202*(1-S200)</f>
        <v>354.75212691590309</v>
      </c>
      <c r="S204" s="148"/>
      <c r="T204" s="148"/>
    </row>
    <row r="205" spans="1:27" ht="20.100000000000001" customHeight="1" x14ac:dyDescent="0.25">
      <c r="A205" s="123">
        <v>5</v>
      </c>
      <c r="B205" s="123"/>
      <c r="C205" s="84"/>
      <c r="D205" s="124">
        <f t="shared" ref="D205:D212" si="37">P184</f>
        <v>499.50000000000017</v>
      </c>
      <c r="E205" s="124"/>
      <c r="F205" s="124"/>
      <c r="G205" s="124"/>
      <c r="H205" s="124"/>
      <c r="I205" s="109">
        <f t="shared" si="36"/>
        <v>5</v>
      </c>
      <c r="N205" s="148" t="s">
        <v>47</v>
      </c>
      <c r="O205" s="148"/>
      <c r="P205" s="148"/>
      <c r="Q205" s="148"/>
      <c r="R205" s="148">
        <f>MAX(D201:D212)</f>
        <v>579.66101694915278</v>
      </c>
      <c r="S205" s="148"/>
      <c r="T205" s="148"/>
    </row>
    <row r="206" spans="1:27" ht="20.100000000000001" customHeight="1" x14ac:dyDescent="0.25">
      <c r="A206" s="123">
        <v>6</v>
      </c>
      <c r="B206" s="123"/>
      <c r="C206" s="84"/>
      <c r="D206" s="124">
        <f t="shared" si="37"/>
        <v>486.00000000000017</v>
      </c>
      <c r="E206" s="124"/>
      <c r="F206" s="124"/>
      <c r="G206" s="124"/>
      <c r="H206" s="124"/>
      <c r="I206" s="109">
        <f t="shared" si="36"/>
        <v>6</v>
      </c>
      <c r="N206" s="148" t="s">
        <v>46</v>
      </c>
      <c r="O206" s="148"/>
      <c r="P206" s="148"/>
      <c r="Q206" s="148"/>
      <c r="R206" s="148">
        <f>MIN(D201:D212)</f>
        <v>456.00000000000023</v>
      </c>
      <c r="S206" s="148"/>
      <c r="T206" s="148"/>
    </row>
    <row r="207" spans="1:27" ht="20.100000000000001" customHeight="1" x14ac:dyDescent="0.25">
      <c r="A207" s="123">
        <v>7</v>
      </c>
      <c r="B207" s="123"/>
      <c r="C207" s="84"/>
      <c r="D207" s="124">
        <f t="shared" si="37"/>
        <v>506.25000000000028</v>
      </c>
      <c r="E207" s="124"/>
      <c r="F207" s="124"/>
      <c r="G207" s="124"/>
      <c r="H207" s="124"/>
      <c r="I207" s="109">
        <f t="shared" si="36"/>
        <v>7</v>
      </c>
      <c r="N207" s="155"/>
      <c r="O207" s="155"/>
      <c r="P207" s="155"/>
      <c r="Q207" s="155"/>
      <c r="R207" s="155"/>
      <c r="S207" s="155"/>
      <c r="T207" s="155"/>
    </row>
    <row r="208" spans="1:27" ht="20.100000000000001" customHeight="1" x14ac:dyDescent="0.25">
      <c r="A208" s="123">
        <v>8</v>
      </c>
      <c r="B208" s="123"/>
      <c r="C208" s="84"/>
      <c r="D208" s="124">
        <f t="shared" si="37"/>
        <v>502.20000000000022</v>
      </c>
      <c r="E208" s="124"/>
      <c r="F208" s="124"/>
      <c r="G208" s="124"/>
      <c r="H208" s="124"/>
      <c r="I208" s="109">
        <f t="shared" si="36"/>
        <v>8</v>
      </c>
      <c r="N208" s="148" t="s">
        <v>51</v>
      </c>
      <c r="O208" s="148"/>
      <c r="P208" s="207" t="str">
        <f>IF(R208="Nada a excluir","",Z202)</f>
        <v/>
      </c>
      <c r="Q208" s="207"/>
      <c r="R208" s="148" t="str" cm="1">
        <f t="array" ref="R208">_xlfn.IFS(AND(OR(R205&gt;R203,R206&lt;R204),(R205-R202)&gt;(R202-R206)),R205,AND(OR(R206&lt;R204,R205&gt;R203),(R202-R206)&gt;(R205-R202)),R206,AND(R205&lt;=R203,R206&gt;=R204),"Nada a excluir")</f>
        <v>Nada a excluir</v>
      </c>
      <c r="S208" s="148"/>
      <c r="T208" s="148"/>
      <c r="Y208" s="58" t="s">
        <v>44</v>
      </c>
      <c r="Z208" s="58" t="s">
        <v>45</v>
      </c>
      <c r="AA208" s="58" t="s">
        <v>36</v>
      </c>
    </row>
    <row r="209" spans="1:27" ht="20.100000000000001" customHeight="1" x14ac:dyDescent="0.25">
      <c r="A209" s="123">
        <v>9</v>
      </c>
      <c r="B209" s="123"/>
      <c r="C209" s="84"/>
      <c r="D209" s="124">
        <f t="shared" si="37"/>
        <v>498.96000000000015</v>
      </c>
      <c r="E209" s="124"/>
      <c r="F209" s="124"/>
      <c r="G209" s="124"/>
      <c r="H209" s="124"/>
      <c r="I209" s="109">
        <f t="shared" si="36"/>
        <v>9</v>
      </c>
      <c r="N209" s="138" t="s">
        <v>50</v>
      </c>
      <c r="O209" s="138"/>
      <c r="P209" s="138"/>
      <c r="Q209" s="138"/>
      <c r="R209" s="147" t="str">
        <f>IF(R208="Nada a excluir","Encerrar","Continuar")</f>
        <v>Encerrar</v>
      </c>
      <c r="S209" s="147"/>
      <c r="T209" s="147"/>
      <c r="Y209" s="58">
        <f>$R$204</f>
        <v>354.75212691590309</v>
      </c>
      <c r="Z209" s="58">
        <f>$R$203</f>
        <v>658.82537855810585</v>
      </c>
      <c r="AA209" s="58">
        <f>$R$202</f>
        <v>506.78875273700447</v>
      </c>
    </row>
    <row r="210" spans="1:27" ht="20.100000000000001" customHeight="1" x14ac:dyDescent="0.25">
      <c r="A210" s="123">
        <v>10</v>
      </c>
      <c r="B210" s="123"/>
      <c r="C210" s="84"/>
      <c r="D210" s="124">
        <f t="shared" si="37"/>
        <v>567.00000000000023</v>
      </c>
      <c r="E210" s="124"/>
      <c r="F210" s="124"/>
      <c r="G210" s="124"/>
      <c r="H210" s="124"/>
      <c r="I210" s="109">
        <f t="shared" si="36"/>
        <v>10</v>
      </c>
      <c r="Y210" s="58">
        <f>$R$204</f>
        <v>354.75212691590309</v>
      </c>
      <c r="Z210" s="58">
        <f>$R$203</f>
        <v>658.82537855810585</v>
      </c>
      <c r="AA210" s="58">
        <f>$R$202</f>
        <v>506.78875273700447</v>
      </c>
    </row>
    <row r="211" spans="1:27" ht="20.100000000000001" customHeight="1" x14ac:dyDescent="0.25">
      <c r="A211" s="123">
        <v>11</v>
      </c>
      <c r="B211" s="123"/>
      <c r="C211" s="84"/>
      <c r="D211" s="124"/>
      <c r="E211" s="124"/>
      <c r="F211" s="124"/>
      <c r="G211" s="124"/>
      <c r="H211" s="124"/>
      <c r="I211" s="109">
        <f t="shared" si="36"/>
        <v>11</v>
      </c>
      <c r="N211" s="148" t="s">
        <v>48</v>
      </c>
      <c r="O211" s="148"/>
      <c r="P211" s="148"/>
      <c r="Q211" s="148"/>
      <c r="R211" s="196">
        <f>STDEVA(D201:D212)</f>
        <v>35.946276874338317</v>
      </c>
      <c r="S211" s="196"/>
      <c r="T211" s="196"/>
      <c r="Y211" s="58">
        <f>$R$204</f>
        <v>354.75212691590309</v>
      </c>
      <c r="Z211" s="58">
        <f>$R$203</f>
        <v>658.82537855810585</v>
      </c>
      <c r="AA211" s="58">
        <f>$R$202</f>
        <v>506.78875273700447</v>
      </c>
    </row>
    <row r="212" spans="1:27" ht="20.100000000000001" customHeight="1" x14ac:dyDescent="0.25">
      <c r="A212" s="123">
        <v>12</v>
      </c>
      <c r="B212" s="123"/>
      <c r="C212" s="84"/>
      <c r="D212" s="124">
        <f t="shared" si="37"/>
        <v>579.66101694915278</v>
      </c>
      <c r="E212" s="124"/>
      <c r="F212" s="124"/>
      <c r="G212" s="124"/>
      <c r="H212" s="124"/>
      <c r="I212" s="109">
        <f t="shared" si="36"/>
        <v>12</v>
      </c>
      <c r="N212" s="138" t="s">
        <v>35</v>
      </c>
      <c r="O212" s="138"/>
      <c r="P212" s="138"/>
      <c r="Q212" s="138"/>
      <c r="R212" s="229">
        <f>R211/R202</f>
        <v>7.0929507965999519E-2</v>
      </c>
      <c r="S212" s="229"/>
      <c r="T212" s="229"/>
      <c r="Y212" s="58">
        <f>$R$204</f>
        <v>354.75212691590309</v>
      </c>
      <c r="Z212" s="58">
        <f>$R$203</f>
        <v>658.82537855810585</v>
      </c>
      <c r="AA212" s="58">
        <f>$R$202</f>
        <v>506.78875273700447</v>
      </c>
    </row>
    <row r="213" spans="1:27" ht="20.100000000000001" customHeight="1" x14ac:dyDescent="0.25">
      <c r="Y213" s="58">
        <f>$R$204</f>
        <v>354.75212691590309</v>
      </c>
      <c r="Z213" s="58">
        <f>$R$203</f>
        <v>658.82537855810585</v>
      </c>
      <c r="AA213" s="58">
        <f>$R$202</f>
        <v>506.78875273700447</v>
      </c>
    </row>
    <row r="214" spans="1:27" ht="20.100000000000001" customHeight="1" x14ac:dyDescent="0.25">
      <c r="Y214" s="58">
        <f t="shared" ref="Y214:Y220" si="38">$R$204</f>
        <v>354.75212691590309</v>
      </c>
      <c r="Z214" s="58">
        <f t="shared" ref="Z214:Z220" si="39">$R$203</f>
        <v>658.82537855810585</v>
      </c>
      <c r="AA214" s="58">
        <f t="shared" ref="AA214:AA220" si="40">$R$202</f>
        <v>506.78875273700447</v>
      </c>
    </row>
    <row r="215" spans="1:27" ht="20.100000000000001" customHeight="1" x14ac:dyDescent="0.25">
      <c r="Y215" s="58">
        <f t="shared" si="38"/>
        <v>354.75212691590309</v>
      </c>
      <c r="Z215" s="58">
        <f t="shared" si="39"/>
        <v>658.82537855810585</v>
      </c>
      <c r="AA215" s="58">
        <f t="shared" si="40"/>
        <v>506.78875273700447</v>
      </c>
    </row>
    <row r="216" spans="1:27" ht="20.100000000000001" customHeight="1" x14ac:dyDescent="0.25">
      <c r="Y216" s="58">
        <f t="shared" si="38"/>
        <v>354.75212691590309</v>
      </c>
      <c r="Z216" s="58">
        <f t="shared" si="39"/>
        <v>658.82537855810585</v>
      </c>
      <c r="AA216" s="58">
        <f t="shared" si="40"/>
        <v>506.78875273700447</v>
      </c>
    </row>
    <row r="217" spans="1:27" ht="20.100000000000001" customHeight="1" x14ac:dyDescent="0.25">
      <c r="Y217" s="58">
        <f t="shared" si="38"/>
        <v>354.75212691590309</v>
      </c>
      <c r="Z217" s="58">
        <f t="shared" si="39"/>
        <v>658.82537855810585</v>
      </c>
      <c r="AA217" s="58">
        <f t="shared" si="40"/>
        <v>506.78875273700447</v>
      </c>
    </row>
    <row r="218" spans="1:27" ht="20.100000000000001" customHeight="1" x14ac:dyDescent="0.25">
      <c r="Y218" s="58">
        <f t="shared" si="38"/>
        <v>354.75212691590309</v>
      </c>
      <c r="Z218" s="58">
        <f t="shared" si="39"/>
        <v>658.82537855810585</v>
      </c>
      <c r="AA218" s="58">
        <f t="shared" si="40"/>
        <v>506.78875273700447</v>
      </c>
    </row>
    <row r="219" spans="1:27" ht="20.100000000000001" customHeight="1" x14ac:dyDescent="0.25">
      <c r="Y219" s="58">
        <f t="shared" si="38"/>
        <v>354.75212691590309</v>
      </c>
      <c r="Z219" s="58">
        <f t="shared" si="39"/>
        <v>658.82537855810585</v>
      </c>
      <c r="AA219" s="58">
        <f t="shared" si="40"/>
        <v>506.78875273700447</v>
      </c>
    </row>
    <row r="220" spans="1:27" ht="20.100000000000001" customHeight="1" x14ac:dyDescent="0.25">
      <c r="Y220" s="58">
        <f t="shared" si="38"/>
        <v>354.75212691590309</v>
      </c>
      <c r="Z220" s="58">
        <f t="shared" si="39"/>
        <v>658.82537855810585</v>
      </c>
      <c r="AA220" s="58">
        <f t="shared" si="40"/>
        <v>506.78875273700447</v>
      </c>
    </row>
    <row r="221" spans="1:27" ht="20.100000000000001" customHeight="1" x14ac:dyDescent="0.25">
      <c r="R221" s="94"/>
      <c r="S221" s="94"/>
      <c r="T221" s="94"/>
    </row>
    <row r="222" spans="1:27" ht="20.100000000000001" customHeight="1" x14ac:dyDescent="0.25">
      <c r="R222" s="94"/>
      <c r="S222" s="94"/>
      <c r="T222" s="94"/>
    </row>
    <row r="223" spans="1:27" ht="20.100000000000001" customHeight="1" x14ac:dyDescent="0.25">
      <c r="R223" s="94"/>
      <c r="S223" s="94"/>
      <c r="T223" s="94"/>
    </row>
    <row r="224" spans="1:27" ht="20.100000000000001" customHeight="1" x14ac:dyDescent="0.25">
      <c r="R224" s="94"/>
      <c r="S224" s="94"/>
      <c r="T224" s="94"/>
    </row>
    <row r="225" spans="1:32" ht="20.100000000000001" customHeight="1" x14ac:dyDescent="0.25">
      <c r="R225" s="94"/>
      <c r="S225" s="94"/>
      <c r="T225" s="94"/>
    </row>
    <row r="226" spans="1:32" ht="20.100000000000001" customHeight="1" x14ac:dyDescent="0.25">
      <c r="R226" s="94"/>
      <c r="S226" s="94"/>
      <c r="T226" s="94"/>
    </row>
    <row r="231" spans="1:32" ht="20.100000000000001" customHeight="1" x14ac:dyDescent="0.25">
      <c r="A231" s="149" t="s">
        <v>52</v>
      </c>
      <c r="B231" s="149"/>
      <c r="C231" s="149"/>
      <c r="D231" s="149"/>
      <c r="E231" s="149"/>
      <c r="F231" s="149"/>
      <c r="G231" s="149"/>
      <c r="H231" s="149"/>
      <c r="I231" s="149"/>
      <c r="J231" s="149"/>
      <c r="K231" s="149"/>
      <c r="L231" s="149"/>
      <c r="M231" s="149"/>
      <c r="N231" s="149"/>
      <c r="O231" s="149"/>
      <c r="P231" s="149"/>
      <c r="Q231" s="149"/>
      <c r="R231" s="149"/>
      <c r="S231" s="149"/>
      <c r="T231" s="149"/>
    </row>
    <row r="233" spans="1:32" ht="20.100000000000001" customHeight="1" x14ac:dyDescent="0.25">
      <c r="A233" s="150" t="s">
        <v>17</v>
      </c>
      <c r="B233" s="150"/>
      <c r="C233" s="80"/>
      <c r="D233" s="150" t="s">
        <v>32</v>
      </c>
      <c r="E233" s="150"/>
      <c r="F233" s="150"/>
      <c r="G233" s="150"/>
      <c r="H233" s="150"/>
      <c r="N233" s="148" t="s">
        <v>248</v>
      </c>
      <c r="O233" s="148"/>
      <c r="P233" s="148"/>
      <c r="Q233" s="148"/>
      <c r="R233" s="148"/>
      <c r="S233" s="245">
        <v>12</v>
      </c>
      <c r="T233" s="245"/>
      <c r="U233" s="218" t="s">
        <v>251</v>
      </c>
      <c r="V233" s="218"/>
      <c r="W233" s="218"/>
      <c r="AF233" s="58" t="s">
        <v>44</v>
      </c>
    </row>
    <row r="234" spans="1:32" ht="20.100000000000001" customHeight="1" x14ac:dyDescent="0.25">
      <c r="A234" s="123">
        <v>1</v>
      </c>
      <c r="B234" s="123"/>
      <c r="C234" s="82"/>
      <c r="D234" s="151">
        <f t="shared" ref="D234:D243" si="41">P180</f>
        <v>500</v>
      </c>
      <c r="E234" s="151"/>
      <c r="F234" s="151"/>
      <c r="G234" s="151"/>
      <c r="H234" s="151"/>
      <c r="I234" s="109">
        <f>A234</f>
        <v>1</v>
      </c>
      <c r="N234" s="148" t="s">
        <v>53</v>
      </c>
      <c r="O234" s="148"/>
      <c r="P234" s="148"/>
      <c r="Q234" s="148"/>
      <c r="R234" s="148"/>
      <c r="S234" s="228">
        <f>_xlfn.NORM.S.INV(1-((1/S233)/4))</f>
        <v>2.0368341317013874</v>
      </c>
      <c r="T234" s="228"/>
      <c r="AA234" s="95"/>
      <c r="AF234" s="58">
        <f>$R$240</f>
        <v>430.59615383664084</v>
      </c>
    </row>
    <row r="235" spans="1:32" ht="20.100000000000001" customHeight="1" x14ac:dyDescent="0.25">
      <c r="A235" s="123">
        <v>2</v>
      </c>
      <c r="B235" s="123"/>
      <c r="C235" s="84"/>
      <c r="D235" s="124">
        <f t="shared" si="41"/>
        <v>479.6052631578948</v>
      </c>
      <c r="E235" s="124"/>
      <c r="F235" s="124"/>
      <c r="G235" s="124"/>
      <c r="H235" s="124"/>
      <c r="I235" s="109">
        <f t="shared" ref="I235:I245" si="42">A235</f>
        <v>2</v>
      </c>
      <c r="AF235" s="58">
        <f>$R$240</f>
        <v>430.59615383664084</v>
      </c>
    </row>
    <row r="236" spans="1:32" ht="20.100000000000001" customHeight="1" x14ac:dyDescent="0.25">
      <c r="A236" s="123">
        <v>3</v>
      </c>
      <c r="B236" s="123"/>
      <c r="C236" s="84"/>
      <c r="D236" s="124">
        <f t="shared" ref="D236:D237" si="43">P182</f>
        <v>499.50000000000017</v>
      </c>
      <c r="E236" s="124"/>
      <c r="F236" s="124"/>
      <c r="G236" s="124"/>
      <c r="H236" s="124"/>
      <c r="I236" s="109">
        <f t="shared" si="42"/>
        <v>3</v>
      </c>
      <c r="N236" s="148" t="s">
        <v>36</v>
      </c>
      <c r="O236" s="148"/>
      <c r="P236" s="148"/>
      <c r="Q236" s="148"/>
      <c r="R236" s="148">
        <f>AVERAGE(D234:D245)</f>
        <v>507.57162801070501</v>
      </c>
      <c r="S236" s="148"/>
      <c r="T236" s="148"/>
    </row>
    <row r="237" spans="1:32" ht="20.100000000000001" customHeight="1" x14ac:dyDescent="0.25">
      <c r="A237" s="123">
        <v>4</v>
      </c>
      <c r="B237" s="123"/>
      <c r="C237" s="84"/>
      <c r="D237" s="124">
        <f t="shared" si="43"/>
        <v>456.00000000000023</v>
      </c>
      <c r="E237" s="124"/>
      <c r="F237" s="124"/>
      <c r="G237" s="124"/>
      <c r="H237" s="124"/>
      <c r="I237" s="109">
        <f t="shared" si="42"/>
        <v>4</v>
      </c>
      <c r="N237" s="148" t="s">
        <v>37</v>
      </c>
      <c r="O237" s="148"/>
      <c r="P237" s="148"/>
      <c r="Q237" s="148"/>
      <c r="R237" s="148">
        <f>STDEVA(D234:H245)</f>
        <v>37.791724409962541</v>
      </c>
      <c r="S237" s="148"/>
      <c r="T237" s="148"/>
    </row>
    <row r="238" spans="1:32" ht="20.100000000000001" customHeight="1" x14ac:dyDescent="0.25">
      <c r="A238" s="123">
        <v>5</v>
      </c>
      <c r="B238" s="123"/>
      <c r="C238" s="84"/>
      <c r="D238" s="124">
        <f t="shared" si="41"/>
        <v>499.50000000000017</v>
      </c>
      <c r="E238" s="124"/>
      <c r="F238" s="124"/>
      <c r="G238" s="124"/>
      <c r="H238" s="124"/>
      <c r="I238" s="109">
        <f t="shared" si="42"/>
        <v>5</v>
      </c>
    </row>
    <row r="239" spans="1:32" ht="20.100000000000001" customHeight="1" x14ac:dyDescent="0.25">
      <c r="A239" s="123">
        <v>6</v>
      </c>
      <c r="B239" s="123"/>
      <c r="C239" s="84"/>
      <c r="D239" s="124">
        <f t="shared" si="41"/>
        <v>486.00000000000017</v>
      </c>
      <c r="E239" s="124"/>
      <c r="F239" s="124"/>
      <c r="G239" s="124"/>
      <c r="H239" s="124"/>
      <c r="I239" s="109">
        <f t="shared" si="42"/>
        <v>6</v>
      </c>
      <c r="N239" s="148" t="s">
        <v>45</v>
      </c>
      <c r="O239" s="148"/>
      <c r="P239" s="148"/>
      <c r="Q239" s="148"/>
      <c r="R239" s="148">
        <f>R236+(S234*R237)</f>
        <v>584.54710218476919</v>
      </c>
      <c r="S239" s="148"/>
      <c r="T239" s="148"/>
    </row>
    <row r="240" spans="1:32" ht="20.100000000000001" customHeight="1" x14ac:dyDescent="0.25">
      <c r="A240" s="123">
        <v>7</v>
      </c>
      <c r="B240" s="123"/>
      <c r="C240" s="84"/>
      <c r="D240" s="124">
        <f t="shared" si="41"/>
        <v>506.25000000000028</v>
      </c>
      <c r="E240" s="124"/>
      <c r="F240" s="124"/>
      <c r="G240" s="124"/>
      <c r="H240" s="124"/>
      <c r="I240" s="109">
        <f t="shared" si="42"/>
        <v>7</v>
      </c>
      <c r="N240" s="148" t="s">
        <v>44</v>
      </c>
      <c r="O240" s="148"/>
      <c r="P240" s="148"/>
      <c r="Q240" s="148"/>
      <c r="R240" s="148">
        <f>R236-(S234*R237)</f>
        <v>430.59615383664084</v>
      </c>
      <c r="S240" s="148"/>
      <c r="T240" s="148"/>
    </row>
    <row r="241" spans="1:27" ht="20.100000000000001" customHeight="1" x14ac:dyDescent="0.25">
      <c r="A241" s="123">
        <v>8</v>
      </c>
      <c r="B241" s="123"/>
      <c r="C241" s="84"/>
      <c r="D241" s="124">
        <f t="shared" si="41"/>
        <v>502.20000000000022</v>
      </c>
      <c r="E241" s="124"/>
      <c r="F241" s="124"/>
      <c r="G241" s="124"/>
      <c r="H241" s="124"/>
      <c r="I241" s="109">
        <f t="shared" si="42"/>
        <v>8</v>
      </c>
      <c r="N241" s="148" t="s">
        <v>47</v>
      </c>
      <c r="O241" s="148"/>
      <c r="P241" s="148"/>
      <c r="Q241" s="148"/>
      <c r="R241" s="148">
        <f>MAX(D234:D245)</f>
        <v>579.66101694915278</v>
      </c>
      <c r="S241" s="148"/>
      <c r="T241" s="148"/>
    </row>
    <row r="242" spans="1:27" ht="20.100000000000001" customHeight="1" x14ac:dyDescent="0.25">
      <c r="A242" s="123">
        <v>9</v>
      </c>
      <c r="B242" s="123"/>
      <c r="C242" s="84"/>
      <c r="D242" s="124"/>
      <c r="E242" s="124"/>
      <c r="F242" s="124"/>
      <c r="G242" s="124"/>
      <c r="H242" s="124"/>
      <c r="I242" s="109">
        <f t="shared" si="42"/>
        <v>9</v>
      </c>
      <c r="N242" s="148" t="s">
        <v>46</v>
      </c>
      <c r="O242" s="148"/>
      <c r="P242" s="148"/>
      <c r="Q242" s="148"/>
      <c r="R242" s="148">
        <f>MIN(D234:D245)</f>
        <v>456.00000000000023</v>
      </c>
      <c r="S242" s="148"/>
      <c r="T242" s="148"/>
      <c r="Z242" s="58" t="e">
        <f>VLOOKUP(R244,D234:I245,6,0)</f>
        <v>#N/A</v>
      </c>
    </row>
    <row r="243" spans="1:27" ht="20.100000000000001" customHeight="1" x14ac:dyDescent="0.25">
      <c r="A243" s="123">
        <v>10</v>
      </c>
      <c r="B243" s="123"/>
      <c r="C243" s="84"/>
      <c r="D243" s="124">
        <f t="shared" si="41"/>
        <v>567.00000000000023</v>
      </c>
      <c r="E243" s="124"/>
      <c r="F243" s="124"/>
      <c r="G243" s="124"/>
      <c r="H243" s="124"/>
      <c r="I243" s="109">
        <f t="shared" si="42"/>
        <v>10</v>
      </c>
    </row>
    <row r="244" spans="1:27" ht="20.100000000000001" customHeight="1" x14ac:dyDescent="0.25">
      <c r="A244" s="123">
        <v>11</v>
      </c>
      <c r="B244" s="123"/>
      <c r="C244" s="84"/>
      <c r="D244" s="124"/>
      <c r="E244" s="124"/>
      <c r="F244" s="124"/>
      <c r="G244" s="124"/>
      <c r="H244" s="124"/>
      <c r="I244" s="109">
        <f t="shared" si="42"/>
        <v>11</v>
      </c>
      <c r="N244" s="148" t="s">
        <v>51</v>
      </c>
      <c r="O244" s="148"/>
      <c r="P244" s="207" t="str">
        <f>IF(R244="Nada a excluir","",Z242)</f>
        <v/>
      </c>
      <c r="Q244" s="207"/>
      <c r="R244" s="148" t="str" cm="1">
        <f t="array" ref="R244">_xlfn.IFS(AND(OR(R241&gt;R239,R242&lt;R240),(R241-R236)&gt;(R236-R242)),R241,AND(OR(R242&lt;R240,R241&gt;R239),(R236-R242)&gt;(R241-R236)),R242,AND(R241&lt;=R239,R242&gt;=R240),"Nada a excluir")</f>
        <v>Nada a excluir</v>
      </c>
      <c r="S244" s="148"/>
      <c r="T244" s="148"/>
    </row>
    <row r="245" spans="1:27" ht="20.100000000000001" customHeight="1" x14ac:dyDescent="0.25">
      <c r="A245" s="123">
        <v>12</v>
      </c>
      <c r="B245" s="123"/>
      <c r="C245" s="84"/>
      <c r="D245" s="124">
        <f t="shared" ref="D245" si="44">P191</f>
        <v>579.66101694915278</v>
      </c>
      <c r="E245" s="124"/>
      <c r="F245" s="124"/>
      <c r="G245" s="124"/>
      <c r="H245" s="124"/>
      <c r="I245" s="109">
        <f t="shared" si="42"/>
        <v>12</v>
      </c>
      <c r="N245" s="138" t="s">
        <v>50</v>
      </c>
      <c r="O245" s="138"/>
      <c r="P245" s="138"/>
      <c r="Q245" s="138"/>
      <c r="R245" s="147" t="str">
        <f>IF(R244="Nada a excluir","Encerrar","Continuar")</f>
        <v>Encerrar</v>
      </c>
      <c r="S245" s="147"/>
      <c r="T245" s="147"/>
    </row>
    <row r="247" spans="1:27" ht="20.100000000000001" customHeight="1" x14ac:dyDescent="0.25">
      <c r="N247" s="148" t="s">
        <v>48</v>
      </c>
      <c r="O247" s="148"/>
      <c r="P247" s="148"/>
      <c r="Q247" s="148"/>
      <c r="R247" s="196">
        <f>R237</f>
        <v>37.791724409962541</v>
      </c>
      <c r="S247" s="196"/>
      <c r="T247" s="196"/>
      <c r="Y247" s="58" t="s">
        <v>44</v>
      </c>
      <c r="Z247" s="58" t="s">
        <v>45</v>
      </c>
      <c r="AA247" s="58" t="s">
        <v>36</v>
      </c>
    </row>
    <row r="248" spans="1:27" ht="20.100000000000001" customHeight="1" x14ac:dyDescent="0.25">
      <c r="N248" s="138" t="s">
        <v>35</v>
      </c>
      <c r="O248" s="138"/>
      <c r="P248" s="138"/>
      <c r="Q248" s="138"/>
      <c r="R248" s="229">
        <f>R237/R236</f>
        <v>7.4455943406603275E-2</v>
      </c>
      <c r="S248" s="229"/>
      <c r="T248" s="229"/>
      <c r="Y248" s="58">
        <f>$R$240</f>
        <v>430.59615383664084</v>
      </c>
      <c r="Z248" s="58">
        <f>$R$239</f>
        <v>584.54710218476919</v>
      </c>
      <c r="AA248" s="58">
        <f>$R$202</f>
        <v>506.78875273700447</v>
      </c>
    </row>
    <row r="249" spans="1:27" ht="20.100000000000001" customHeight="1" x14ac:dyDescent="0.25">
      <c r="Y249" s="58">
        <f>$R$240</f>
        <v>430.59615383664084</v>
      </c>
      <c r="Z249" s="58">
        <f>$R$239</f>
        <v>584.54710218476919</v>
      </c>
      <c r="AA249" s="58">
        <f>$R$202</f>
        <v>506.78875273700447</v>
      </c>
    </row>
    <row r="250" spans="1:27" ht="20.100000000000001" customHeight="1" x14ac:dyDescent="0.25">
      <c r="Y250" s="58">
        <f>$R$240</f>
        <v>430.59615383664084</v>
      </c>
      <c r="Z250" s="58">
        <f>$R$239</f>
        <v>584.54710218476919</v>
      </c>
      <c r="AA250" s="58">
        <f>$R$202</f>
        <v>506.78875273700447</v>
      </c>
    </row>
    <row r="251" spans="1:27" ht="20.100000000000001" customHeight="1" x14ac:dyDescent="0.25">
      <c r="Y251" s="58">
        <f>$R$240</f>
        <v>430.59615383664084</v>
      </c>
      <c r="Z251" s="58">
        <f>$R$239</f>
        <v>584.54710218476919</v>
      </c>
      <c r="AA251" s="58">
        <f>$R$202</f>
        <v>506.78875273700447</v>
      </c>
    </row>
    <row r="252" spans="1:27" ht="20.100000000000001" customHeight="1" x14ac:dyDescent="0.25">
      <c r="Y252" s="58">
        <f>$R$240</f>
        <v>430.59615383664084</v>
      </c>
      <c r="Z252" s="58">
        <f>$R$239</f>
        <v>584.54710218476919</v>
      </c>
      <c r="AA252" s="58">
        <f>$R$202</f>
        <v>506.78875273700447</v>
      </c>
    </row>
    <row r="253" spans="1:27" ht="20.100000000000001" customHeight="1" x14ac:dyDescent="0.25">
      <c r="Y253" s="58">
        <f t="shared" ref="Y253:Y259" si="45">$R$240</f>
        <v>430.59615383664084</v>
      </c>
      <c r="Z253" s="58">
        <f t="shared" ref="Z253:Z259" si="46">$R$239</f>
        <v>584.54710218476919</v>
      </c>
      <c r="AA253" s="58">
        <f t="shared" ref="AA253:AA259" si="47">$R$202</f>
        <v>506.78875273700447</v>
      </c>
    </row>
    <row r="254" spans="1:27" ht="20.100000000000001" customHeight="1" x14ac:dyDescent="0.25">
      <c r="Y254" s="58">
        <f t="shared" si="45"/>
        <v>430.59615383664084</v>
      </c>
      <c r="Z254" s="58">
        <f t="shared" si="46"/>
        <v>584.54710218476919</v>
      </c>
      <c r="AA254" s="58">
        <f t="shared" si="47"/>
        <v>506.78875273700447</v>
      </c>
    </row>
    <row r="255" spans="1:27" ht="20.100000000000001" customHeight="1" x14ac:dyDescent="0.25">
      <c r="Y255" s="58">
        <f t="shared" si="45"/>
        <v>430.59615383664084</v>
      </c>
      <c r="Z255" s="58">
        <f t="shared" si="46"/>
        <v>584.54710218476919</v>
      </c>
      <c r="AA255" s="58">
        <f t="shared" si="47"/>
        <v>506.78875273700447</v>
      </c>
    </row>
    <row r="256" spans="1:27" ht="20.100000000000001" customHeight="1" x14ac:dyDescent="0.25">
      <c r="Y256" s="58">
        <f t="shared" si="45"/>
        <v>430.59615383664084</v>
      </c>
      <c r="Z256" s="58">
        <f t="shared" si="46"/>
        <v>584.54710218476919</v>
      </c>
      <c r="AA256" s="58">
        <f t="shared" si="47"/>
        <v>506.78875273700447</v>
      </c>
    </row>
    <row r="257" spans="1:27" ht="20.100000000000001" customHeight="1" x14ac:dyDescent="0.25">
      <c r="Y257" s="58">
        <f t="shared" si="45"/>
        <v>430.59615383664084</v>
      </c>
      <c r="Z257" s="58">
        <f t="shared" si="46"/>
        <v>584.54710218476919</v>
      </c>
      <c r="AA257" s="58">
        <f t="shared" si="47"/>
        <v>506.78875273700447</v>
      </c>
    </row>
    <row r="258" spans="1:27" ht="20.100000000000001" customHeight="1" x14ac:dyDescent="0.25">
      <c r="Y258" s="58">
        <f t="shared" si="45"/>
        <v>430.59615383664084</v>
      </c>
      <c r="Z258" s="58">
        <f t="shared" si="46"/>
        <v>584.54710218476919</v>
      </c>
      <c r="AA258" s="58">
        <f t="shared" si="47"/>
        <v>506.78875273700447</v>
      </c>
    </row>
    <row r="259" spans="1:27" ht="20.100000000000001" customHeight="1" x14ac:dyDescent="0.25">
      <c r="Y259" s="58">
        <f t="shared" si="45"/>
        <v>430.59615383664084</v>
      </c>
      <c r="Z259" s="58">
        <f t="shared" si="46"/>
        <v>584.54710218476919</v>
      </c>
      <c r="AA259" s="58">
        <f t="shared" si="47"/>
        <v>506.78875273700447</v>
      </c>
    </row>
    <row r="267" spans="1:27" ht="20.100000000000001" customHeight="1" x14ac:dyDescent="0.25">
      <c r="A267" s="149" t="s">
        <v>54</v>
      </c>
      <c r="B267" s="149"/>
      <c r="C267" s="149"/>
      <c r="D267" s="149"/>
      <c r="E267" s="149"/>
      <c r="F267" s="149"/>
      <c r="G267" s="149"/>
      <c r="H267" s="149"/>
      <c r="I267" s="149"/>
      <c r="J267" s="149"/>
      <c r="K267" s="149"/>
      <c r="L267" s="149"/>
      <c r="M267" s="149"/>
      <c r="N267" s="149"/>
      <c r="O267" s="149"/>
      <c r="P267" s="149"/>
      <c r="Q267" s="149"/>
      <c r="R267" s="149"/>
      <c r="S267" s="149"/>
      <c r="T267" s="149"/>
    </row>
    <row r="269" spans="1:27" ht="20.100000000000001" customHeight="1" x14ac:dyDescent="0.25">
      <c r="A269" s="150" t="s">
        <v>17</v>
      </c>
      <c r="B269" s="150"/>
      <c r="C269" s="80"/>
      <c r="D269" s="150" t="s">
        <v>32</v>
      </c>
      <c r="E269" s="150"/>
      <c r="F269" s="150"/>
      <c r="G269" s="150"/>
      <c r="H269" s="150"/>
      <c r="N269" s="148" t="s">
        <v>248</v>
      </c>
      <c r="O269" s="148"/>
      <c r="P269" s="148"/>
      <c r="Q269" s="148"/>
      <c r="R269" s="148"/>
      <c r="S269" s="215">
        <v>12</v>
      </c>
      <c r="T269" s="215"/>
      <c r="U269" s="218" t="s">
        <v>251</v>
      </c>
      <c r="V269" s="218"/>
      <c r="W269" s="218"/>
    </row>
    <row r="270" spans="1:27" ht="20.100000000000001" customHeight="1" x14ac:dyDescent="0.25">
      <c r="A270" s="123">
        <v>1</v>
      </c>
      <c r="B270" s="123"/>
      <c r="C270" s="82"/>
      <c r="D270" s="151">
        <f t="shared" ref="D270:D281" si="48">P180</f>
        <v>500</v>
      </c>
      <c r="E270" s="151"/>
      <c r="F270" s="151"/>
      <c r="G270" s="151"/>
      <c r="H270" s="151"/>
      <c r="I270" s="109">
        <f>A270</f>
        <v>1</v>
      </c>
      <c r="N270" s="148" t="s">
        <v>55</v>
      </c>
      <c r="O270" s="148"/>
      <c r="P270" s="148"/>
      <c r="Q270" s="148"/>
      <c r="R270" s="148"/>
      <c r="S270" s="205" cm="1">
        <f t="array" ref="S270">_xlfn.IFS(S269&lt;=5,0.1,AND(S269&gt;=6,S269&lt;=10),0.05,AND(S269&gt;=11,S269&lt;=50),0.01,S269&gt;50,0.001)</f>
        <v>0.01</v>
      </c>
      <c r="T270" s="205"/>
    </row>
    <row r="271" spans="1:27" ht="20.100000000000001" customHeight="1" x14ac:dyDescent="0.25">
      <c r="A271" s="123">
        <v>2</v>
      </c>
      <c r="B271" s="123"/>
      <c r="C271" s="84"/>
      <c r="D271" s="124">
        <f t="shared" si="48"/>
        <v>479.6052631578948</v>
      </c>
      <c r="E271" s="124"/>
      <c r="F271" s="124"/>
      <c r="G271" s="124"/>
      <c r="H271" s="124"/>
      <c r="I271" s="109">
        <f t="shared" ref="I271:I281" si="49">A271</f>
        <v>2</v>
      </c>
      <c r="N271" s="148" t="s">
        <v>56</v>
      </c>
      <c r="O271" s="148"/>
      <c r="P271" s="148"/>
      <c r="Q271" s="148"/>
      <c r="R271" s="148"/>
      <c r="S271" s="244">
        <f>S269-2</f>
        <v>10</v>
      </c>
      <c r="T271" s="244"/>
    </row>
    <row r="272" spans="1:27" ht="20.100000000000001" customHeight="1" x14ac:dyDescent="0.25">
      <c r="A272" s="123">
        <v>3</v>
      </c>
      <c r="B272" s="123"/>
      <c r="C272" s="84"/>
      <c r="D272" s="124">
        <f t="shared" si="48"/>
        <v>499.50000000000017</v>
      </c>
      <c r="E272" s="124"/>
      <c r="F272" s="124"/>
      <c r="G272" s="124"/>
      <c r="H272" s="124"/>
      <c r="I272" s="109">
        <f t="shared" si="49"/>
        <v>3</v>
      </c>
      <c r="N272" s="148" t="s">
        <v>53</v>
      </c>
      <c r="O272" s="148"/>
      <c r="P272" s="148"/>
      <c r="Q272" s="148"/>
      <c r="R272" s="148"/>
      <c r="S272" s="228">
        <f>Z283</f>
        <v>2.3477974015249643</v>
      </c>
      <c r="T272" s="228"/>
    </row>
    <row r="273" spans="1:27" ht="20.100000000000001" customHeight="1" x14ac:dyDescent="0.25">
      <c r="A273" s="123">
        <v>4</v>
      </c>
      <c r="B273" s="123"/>
      <c r="C273" s="84"/>
      <c r="D273" s="124">
        <f t="shared" si="48"/>
        <v>456.00000000000023</v>
      </c>
      <c r="E273" s="124"/>
      <c r="F273" s="124"/>
      <c r="G273" s="124"/>
      <c r="H273" s="124"/>
      <c r="I273" s="109">
        <f t="shared" si="49"/>
        <v>4</v>
      </c>
    </row>
    <row r="274" spans="1:27" ht="20.100000000000001" customHeight="1" x14ac:dyDescent="0.25">
      <c r="A274" s="123">
        <v>5</v>
      </c>
      <c r="B274" s="123"/>
      <c r="C274" s="84"/>
      <c r="D274" s="124">
        <f t="shared" si="48"/>
        <v>499.50000000000017</v>
      </c>
      <c r="E274" s="124"/>
      <c r="F274" s="124"/>
      <c r="G274" s="124"/>
      <c r="H274" s="124"/>
      <c r="I274" s="109">
        <f t="shared" si="49"/>
        <v>5</v>
      </c>
      <c r="N274" s="148" t="s">
        <v>36</v>
      </c>
      <c r="O274" s="148"/>
      <c r="P274" s="148"/>
      <c r="Q274" s="148"/>
      <c r="R274" s="148">
        <f>AVERAGE(D270:D281)</f>
        <v>507.57162801070501</v>
      </c>
      <c r="S274" s="148"/>
      <c r="T274" s="148"/>
    </row>
    <row r="275" spans="1:27" ht="20.100000000000001" customHeight="1" x14ac:dyDescent="0.25">
      <c r="A275" s="123">
        <v>6</v>
      </c>
      <c r="B275" s="123"/>
      <c r="C275" s="84"/>
      <c r="D275" s="124">
        <f t="shared" si="48"/>
        <v>486.00000000000017</v>
      </c>
      <c r="E275" s="124"/>
      <c r="F275" s="124"/>
      <c r="G275" s="124"/>
      <c r="H275" s="124"/>
      <c r="I275" s="109">
        <f t="shared" si="49"/>
        <v>6</v>
      </c>
      <c r="N275" s="148" t="s">
        <v>37</v>
      </c>
      <c r="O275" s="148"/>
      <c r="P275" s="148"/>
      <c r="Q275" s="148"/>
      <c r="R275" s="148">
        <f>STDEVA(D270:H281)</f>
        <v>37.791724409962541</v>
      </c>
      <c r="S275" s="148"/>
      <c r="T275" s="148"/>
    </row>
    <row r="276" spans="1:27" ht="20.100000000000001" customHeight="1" x14ac:dyDescent="0.25">
      <c r="A276" s="123">
        <v>7</v>
      </c>
      <c r="B276" s="123"/>
      <c r="C276" s="84"/>
      <c r="D276" s="124">
        <f t="shared" si="48"/>
        <v>506.25000000000028</v>
      </c>
      <c r="E276" s="124"/>
      <c r="F276" s="124"/>
      <c r="G276" s="124"/>
      <c r="H276" s="124"/>
      <c r="I276" s="109">
        <f t="shared" si="49"/>
        <v>7</v>
      </c>
    </row>
    <row r="277" spans="1:27" ht="20.100000000000001" customHeight="1" x14ac:dyDescent="0.25">
      <c r="A277" s="123">
        <v>8</v>
      </c>
      <c r="B277" s="123"/>
      <c r="C277" s="84"/>
      <c r="D277" s="124">
        <f t="shared" si="48"/>
        <v>502.20000000000022</v>
      </c>
      <c r="E277" s="124"/>
      <c r="F277" s="124"/>
      <c r="G277" s="124"/>
      <c r="H277" s="124"/>
      <c r="I277" s="109">
        <f t="shared" si="49"/>
        <v>8</v>
      </c>
      <c r="N277" s="148" t="s">
        <v>45</v>
      </c>
      <c r="O277" s="148"/>
      <c r="P277" s="148"/>
      <c r="Q277" s="148"/>
      <c r="R277" s="148">
        <f>R274+(S272*R275)</f>
        <v>596.29894037956262</v>
      </c>
      <c r="S277" s="148"/>
      <c r="T277" s="148"/>
    </row>
    <row r="278" spans="1:27" ht="20.100000000000001" customHeight="1" x14ac:dyDescent="0.25">
      <c r="A278" s="123">
        <v>9</v>
      </c>
      <c r="B278" s="123"/>
      <c r="C278" s="84"/>
      <c r="D278" s="124"/>
      <c r="E278" s="124"/>
      <c r="F278" s="124"/>
      <c r="G278" s="124"/>
      <c r="H278" s="124"/>
      <c r="I278" s="109">
        <f t="shared" si="49"/>
        <v>9</v>
      </c>
      <c r="N278" s="148" t="s">
        <v>44</v>
      </c>
      <c r="O278" s="148"/>
      <c r="P278" s="148"/>
      <c r="Q278" s="148"/>
      <c r="R278" s="148">
        <f>R274-(S272*R275)</f>
        <v>418.8443156418474</v>
      </c>
      <c r="S278" s="148"/>
      <c r="T278" s="148"/>
    </row>
    <row r="279" spans="1:27" ht="20.100000000000001" customHeight="1" x14ac:dyDescent="0.25">
      <c r="A279" s="123">
        <v>10</v>
      </c>
      <c r="B279" s="123"/>
      <c r="C279" s="84"/>
      <c r="D279" s="124">
        <f t="shared" si="48"/>
        <v>567.00000000000023</v>
      </c>
      <c r="E279" s="124"/>
      <c r="F279" s="124"/>
      <c r="G279" s="124"/>
      <c r="H279" s="124"/>
      <c r="I279" s="109">
        <f t="shared" si="49"/>
        <v>10</v>
      </c>
      <c r="N279" s="148" t="s">
        <v>47</v>
      </c>
      <c r="O279" s="148"/>
      <c r="P279" s="148"/>
      <c r="Q279" s="148"/>
      <c r="R279" s="148">
        <f>MAX(D270:D281)</f>
        <v>579.66101694915278</v>
      </c>
      <c r="S279" s="148"/>
      <c r="T279" s="148"/>
    </row>
    <row r="280" spans="1:27" ht="20.100000000000001" customHeight="1" x14ac:dyDescent="0.25">
      <c r="A280" s="123">
        <v>11</v>
      </c>
      <c r="B280" s="123"/>
      <c r="C280" s="84"/>
      <c r="D280" s="124"/>
      <c r="E280" s="124"/>
      <c r="F280" s="124"/>
      <c r="G280" s="124"/>
      <c r="H280" s="124"/>
      <c r="I280" s="109">
        <f t="shared" si="49"/>
        <v>11</v>
      </c>
      <c r="N280" s="148" t="s">
        <v>46</v>
      </c>
      <c r="O280" s="148"/>
      <c r="P280" s="148"/>
      <c r="Q280" s="148"/>
      <c r="R280" s="148">
        <f>MIN(D270:D281)</f>
        <v>456.00000000000023</v>
      </c>
      <c r="S280" s="148"/>
      <c r="T280" s="148"/>
    </row>
    <row r="281" spans="1:27" ht="20.100000000000001" customHeight="1" x14ac:dyDescent="0.25">
      <c r="A281" s="123">
        <v>12</v>
      </c>
      <c r="B281" s="123"/>
      <c r="C281" s="84"/>
      <c r="D281" s="124">
        <f t="shared" si="48"/>
        <v>579.66101694915278</v>
      </c>
      <c r="E281" s="124"/>
      <c r="F281" s="124"/>
      <c r="G281" s="124"/>
      <c r="H281" s="124"/>
      <c r="I281" s="109">
        <f t="shared" si="49"/>
        <v>12</v>
      </c>
    </row>
    <row r="282" spans="1:27" ht="20.100000000000001" customHeight="1" x14ac:dyDescent="0.25">
      <c r="N282" s="148" t="s">
        <v>51</v>
      </c>
      <c r="O282" s="148"/>
      <c r="P282" s="207" t="str">
        <f>IF(R282="Nada a excluir","",Z285)</f>
        <v/>
      </c>
      <c r="Q282" s="207"/>
      <c r="R282" s="148" t="str" cm="1">
        <f t="array" ref="R282">_xlfn.IFS(AND(OR(R279&gt;R277,R280&lt;R278),(R279-R274)&gt;(R274-R280)),R279,AND(OR(R280&lt;R278,R279&gt;R277),(R274-R280)&gt;(R279-R274)),R280,AND(R279&lt;=R277,R280&gt;=R278),"Nada a excluir")</f>
        <v>Nada a excluir</v>
      </c>
      <c r="S282" s="148"/>
      <c r="T282" s="148"/>
      <c r="Z282" s="58">
        <f>_xlfn.T.INV.2T(S270,S271)</f>
        <v>3.1692726726169518</v>
      </c>
    </row>
    <row r="283" spans="1:27" ht="20.100000000000001" customHeight="1" x14ac:dyDescent="0.25">
      <c r="N283" s="138" t="s">
        <v>50</v>
      </c>
      <c r="O283" s="138"/>
      <c r="P283" s="138"/>
      <c r="Q283" s="138"/>
      <c r="R283" s="147" t="str">
        <f>IF(R282="Nada a excluir","Encerrar","Continuar")</f>
        <v>Encerrar</v>
      </c>
      <c r="S283" s="147"/>
      <c r="T283" s="147"/>
      <c r="Z283" s="58">
        <f>((((Z282^2)*(S269))-Z282^2)/(S269-2+Z282^2))^(1/2)</f>
        <v>2.3477974015249643</v>
      </c>
    </row>
    <row r="285" spans="1:27" ht="20.100000000000001" customHeight="1" x14ac:dyDescent="0.25">
      <c r="N285" s="148" t="s">
        <v>48</v>
      </c>
      <c r="O285" s="148"/>
      <c r="P285" s="148"/>
      <c r="Q285" s="148"/>
      <c r="R285" s="196">
        <f>R275</f>
        <v>37.791724409962541</v>
      </c>
      <c r="S285" s="196"/>
      <c r="T285" s="196"/>
      <c r="Z285" s="58" t="e">
        <f>VLOOKUP(R282,D270:I281,6,0)</f>
        <v>#N/A</v>
      </c>
    </row>
    <row r="286" spans="1:27" ht="20.100000000000001" customHeight="1" x14ac:dyDescent="0.25">
      <c r="N286" s="138" t="s">
        <v>35</v>
      </c>
      <c r="O286" s="138"/>
      <c r="P286" s="138"/>
      <c r="Q286" s="138"/>
      <c r="R286" s="229">
        <f>R275/R274</f>
        <v>7.4455943406603275E-2</v>
      </c>
      <c r="S286" s="229"/>
      <c r="T286" s="229"/>
      <c r="Y286" s="58" t="s">
        <v>44</v>
      </c>
      <c r="Z286" s="58" t="s">
        <v>45</v>
      </c>
      <c r="AA286" s="58" t="s">
        <v>36</v>
      </c>
    </row>
    <row r="287" spans="1:27" ht="20.100000000000001" customHeight="1" x14ac:dyDescent="0.25">
      <c r="Y287" s="58">
        <f>$R$278</f>
        <v>418.8443156418474</v>
      </c>
      <c r="Z287" s="58">
        <f>$R$277</f>
        <v>596.29894037956262</v>
      </c>
      <c r="AA287" s="58">
        <f>$R$274</f>
        <v>507.57162801070501</v>
      </c>
    </row>
    <row r="288" spans="1:27" ht="20.100000000000001" customHeight="1" x14ac:dyDescent="0.25">
      <c r="Y288" s="58">
        <f>$R$278</f>
        <v>418.8443156418474</v>
      </c>
      <c r="Z288" s="58">
        <f>$R$277</f>
        <v>596.29894037956262</v>
      </c>
      <c r="AA288" s="58">
        <f>$R$274</f>
        <v>507.57162801070501</v>
      </c>
    </row>
    <row r="289" spans="25:27" ht="20.100000000000001" customHeight="1" x14ac:dyDescent="0.25">
      <c r="Y289" s="58">
        <f>$R$278</f>
        <v>418.8443156418474</v>
      </c>
      <c r="Z289" s="58">
        <f>$R$277</f>
        <v>596.29894037956262</v>
      </c>
      <c r="AA289" s="58">
        <f>$R$274</f>
        <v>507.57162801070501</v>
      </c>
    </row>
    <row r="290" spans="25:27" ht="20.100000000000001" customHeight="1" x14ac:dyDescent="0.25">
      <c r="Y290" s="58">
        <f>$R$278</f>
        <v>418.8443156418474</v>
      </c>
      <c r="Z290" s="58">
        <f>$R$277</f>
        <v>596.29894037956262</v>
      </c>
      <c r="AA290" s="58">
        <f>$R$274</f>
        <v>507.57162801070501</v>
      </c>
    </row>
    <row r="291" spans="25:27" ht="20.100000000000001" customHeight="1" x14ac:dyDescent="0.25">
      <c r="Y291" s="58">
        <f>$R$278</f>
        <v>418.8443156418474</v>
      </c>
      <c r="Z291" s="58">
        <f>$R$277</f>
        <v>596.29894037956262</v>
      </c>
      <c r="AA291" s="58">
        <f>$R$274</f>
        <v>507.57162801070501</v>
      </c>
    </row>
    <row r="292" spans="25:27" ht="20.100000000000001" customHeight="1" x14ac:dyDescent="0.25">
      <c r="Y292" s="58">
        <f t="shared" ref="Y292:Y298" si="50">$R$278</f>
        <v>418.8443156418474</v>
      </c>
      <c r="Z292" s="58">
        <f t="shared" ref="Z292:Z298" si="51">$R$277</f>
        <v>596.29894037956262</v>
      </c>
      <c r="AA292" s="58">
        <f t="shared" ref="AA292:AA298" si="52">$R$274</f>
        <v>507.57162801070501</v>
      </c>
    </row>
    <row r="293" spans="25:27" ht="20.100000000000001" customHeight="1" x14ac:dyDescent="0.25">
      <c r="Y293" s="58">
        <f t="shared" si="50"/>
        <v>418.8443156418474</v>
      </c>
      <c r="Z293" s="58">
        <f t="shared" si="51"/>
        <v>596.29894037956262</v>
      </c>
      <c r="AA293" s="58">
        <f t="shared" si="52"/>
        <v>507.57162801070501</v>
      </c>
    </row>
    <row r="294" spans="25:27" ht="20.100000000000001" customHeight="1" x14ac:dyDescent="0.25">
      <c r="Y294" s="58">
        <f t="shared" si="50"/>
        <v>418.8443156418474</v>
      </c>
      <c r="Z294" s="58">
        <f t="shared" si="51"/>
        <v>596.29894037956262</v>
      </c>
      <c r="AA294" s="58">
        <f t="shared" si="52"/>
        <v>507.57162801070501</v>
      </c>
    </row>
    <row r="295" spans="25:27" ht="20.100000000000001" customHeight="1" x14ac:dyDescent="0.25">
      <c r="Y295" s="58">
        <f t="shared" si="50"/>
        <v>418.8443156418474</v>
      </c>
      <c r="Z295" s="58">
        <f t="shared" si="51"/>
        <v>596.29894037956262</v>
      </c>
      <c r="AA295" s="58">
        <f t="shared" si="52"/>
        <v>507.57162801070501</v>
      </c>
    </row>
    <row r="296" spans="25:27" ht="20.100000000000001" customHeight="1" x14ac:dyDescent="0.25">
      <c r="Y296" s="58">
        <f t="shared" si="50"/>
        <v>418.8443156418474</v>
      </c>
      <c r="Z296" s="58">
        <f t="shared" si="51"/>
        <v>596.29894037956262</v>
      </c>
      <c r="AA296" s="58">
        <f t="shared" si="52"/>
        <v>507.57162801070501</v>
      </c>
    </row>
    <row r="297" spans="25:27" ht="20.100000000000001" customHeight="1" x14ac:dyDescent="0.25">
      <c r="Y297" s="58">
        <f t="shared" si="50"/>
        <v>418.8443156418474</v>
      </c>
      <c r="Z297" s="58">
        <f t="shared" si="51"/>
        <v>596.29894037956262</v>
      </c>
      <c r="AA297" s="58">
        <f t="shared" si="52"/>
        <v>507.57162801070501</v>
      </c>
    </row>
    <row r="298" spans="25:27" ht="20.100000000000001" customHeight="1" x14ac:dyDescent="0.25">
      <c r="Y298" s="58">
        <f t="shared" si="50"/>
        <v>418.8443156418474</v>
      </c>
      <c r="Z298" s="58">
        <f t="shared" si="51"/>
        <v>596.29894037956262</v>
      </c>
      <c r="AA298" s="58">
        <f t="shared" si="52"/>
        <v>507.57162801070501</v>
      </c>
    </row>
    <row r="305" spans="1:29" ht="20.100000000000001" customHeight="1" x14ac:dyDescent="0.25">
      <c r="A305" s="221" t="s">
        <v>57</v>
      </c>
      <c r="B305" s="221"/>
      <c r="C305" s="221"/>
      <c r="D305" s="221"/>
      <c r="E305" s="221"/>
      <c r="F305" s="221"/>
      <c r="G305" s="221"/>
      <c r="H305" s="221"/>
      <c r="I305" s="221" t="s">
        <v>36</v>
      </c>
      <c r="J305" s="221"/>
      <c r="K305" s="221"/>
      <c r="L305" s="221"/>
      <c r="M305" s="221" t="s">
        <v>37</v>
      </c>
      <c r="N305" s="221"/>
      <c r="O305" s="221"/>
      <c r="P305" s="221"/>
      <c r="Q305" s="221" t="s">
        <v>35</v>
      </c>
      <c r="R305" s="221"/>
      <c r="S305" s="221"/>
      <c r="T305" s="221"/>
    </row>
    <row r="306" spans="1:29" ht="20.100000000000001" customHeight="1" x14ac:dyDescent="0.25">
      <c r="A306" s="155" t="s">
        <v>58</v>
      </c>
      <c r="B306" s="155"/>
      <c r="C306" s="155"/>
      <c r="D306" s="155"/>
      <c r="E306" s="155"/>
      <c r="F306" s="155"/>
      <c r="G306" s="155"/>
      <c r="H306" s="155"/>
      <c r="I306" s="148">
        <f>R202</f>
        <v>506.78875273700447</v>
      </c>
      <c r="J306" s="148"/>
      <c r="K306" s="148"/>
      <c r="L306" s="148"/>
      <c r="M306" s="148">
        <f>R211</f>
        <v>35.946276874338317</v>
      </c>
      <c r="N306" s="148"/>
      <c r="O306" s="148"/>
      <c r="P306" s="148"/>
      <c r="Q306" s="222">
        <f>R212</f>
        <v>7.0929507965999519E-2</v>
      </c>
      <c r="R306" s="222"/>
      <c r="S306" s="222"/>
      <c r="T306" s="222"/>
      <c r="Z306" s="96">
        <f>Q306</f>
        <v>7.0929507965999519E-2</v>
      </c>
      <c r="AA306" s="58" t="str">
        <f>A306</f>
        <v>Intervalo em torno da média</v>
      </c>
      <c r="AB306" s="58">
        <f>I306</f>
        <v>506.78875273700447</v>
      </c>
      <c r="AC306" s="58">
        <f>M306</f>
        <v>35.946276874338317</v>
      </c>
    </row>
    <row r="307" spans="1:29" ht="20.100000000000001" customHeight="1" x14ac:dyDescent="0.25">
      <c r="A307" s="138" t="s">
        <v>59</v>
      </c>
      <c r="B307" s="138"/>
      <c r="C307" s="138"/>
      <c r="D307" s="138"/>
      <c r="E307" s="138"/>
      <c r="F307" s="138"/>
      <c r="G307" s="138"/>
      <c r="H307" s="138"/>
      <c r="I307" s="138">
        <f>R236</f>
        <v>507.57162801070501</v>
      </c>
      <c r="J307" s="138"/>
      <c r="K307" s="138"/>
      <c r="L307" s="138"/>
      <c r="M307" s="138">
        <f>R237</f>
        <v>37.791724409962541</v>
      </c>
      <c r="N307" s="138"/>
      <c r="O307" s="138"/>
      <c r="P307" s="138"/>
      <c r="Q307" s="241">
        <f>R248</f>
        <v>7.4455943406603275E-2</v>
      </c>
      <c r="R307" s="241"/>
      <c r="S307" s="241"/>
      <c r="T307" s="241"/>
      <c r="Z307" s="96">
        <f>Q307</f>
        <v>7.4455943406603275E-2</v>
      </c>
      <c r="AA307" s="58" t="str">
        <f>A307</f>
        <v>Critério de Chauvenet</v>
      </c>
      <c r="AB307" s="58">
        <f>I307</f>
        <v>507.57162801070501</v>
      </c>
      <c r="AC307" s="58">
        <f>M307</f>
        <v>37.791724409962541</v>
      </c>
    </row>
    <row r="308" spans="1:29" ht="20.100000000000001" customHeight="1" x14ac:dyDescent="0.25">
      <c r="A308" s="138" t="s">
        <v>60</v>
      </c>
      <c r="B308" s="138"/>
      <c r="C308" s="138"/>
      <c r="D308" s="138"/>
      <c r="E308" s="138"/>
      <c r="F308" s="138"/>
      <c r="G308" s="138"/>
      <c r="H308" s="138"/>
      <c r="I308" s="138">
        <f>R274</f>
        <v>507.57162801070501</v>
      </c>
      <c r="J308" s="138"/>
      <c r="K308" s="138"/>
      <c r="L308" s="138"/>
      <c r="M308" s="138">
        <f>R285</f>
        <v>37.791724409962541</v>
      </c>
      <c r="N308" s="138"/>
      <c r="O308" s="138"/>
      <c r="P308" s="138"/>
      <c r="Q308" s="241">
        <f>R286</f>
        <v>7.4455943406603275E-2</v>
      </c>
      <c r="R308" s="241"/>
      <c r="S308" s="241"/>
      <c r="T308" s="241"/>
      <c r="Z308" s="96">
        <f>Q308</f>
        <v>7.4455943406603275E-2</v>
      </c>
      <c r="AA308" s="58" t="str">
        <f>A308</f>
        <v>Critério de Arley</v>
      </c>
      <c r="AB308" s="58">
        <f>I308</f>
        <v>507.57162801070501</v>
      </c>
      <c r="AC308" s="58">
        <f>M308</f>
        <v>37.791724409962541</v>
      </c>
    </row>
    <row r="310" spans="1:29" ht="20.100000000000001" customHeight="1" x14ac:dyDescent="0.25">
      <c r="A310" s="148" t="s">
        <v>61</v>
      </c>
      <c r="B310" s="148"/>
      <c r="C310" s="148"/>
      <c r="D310" s="148"/>
      <c r="E310" s="148"/>
      <c r="F310" s="148"/>
      <c r="G310" s="148"/>
      <c r="H310" s="148"/>
      <c r="I310" s="226">
        <f>MIN(Q306:T308)</f>
        <v>7.0929507965999519E-2</v>
      </c>
      <c r="J310" s="226"/>
      <c r="K310" s="226"/>
      <c r="L310" s="226"/>
      <c r="M310" s="226"/>
      <c r="N310" s="226"/>
    </row>
    <row r="311" spans="1:29" ht="20.100000000000001" customHeight="1" x14ac:dyDescent="0.25">
      <c r="A311" s="138" t="s">
        <v>62</v>
      </c>
      <c r="B311" s="138"/>
      <c r="C311" s="138"/>
      <c r="D311" s="138"/>
      <c r="E311" s="138"/>
      <c r="F311" s="138"/>
      <c r="G311" s="138"/>
      <c r="H311" s="138"/>
      <c r="I311" s="147" t="str">
        <f>VLOOKUP(I310,Z306:AB308,2,0)</f>
        <v>Intervalo em torno da média</v>
      </c>
      <c r="J311" s="147"/>
      <c r="K311" s="147"/>
      <c r="L311" s="147"/>
      <c r="M311" s="147"/>
      <c r="N311" s="147"/>
    </row>
    <row r="312" spans="1:29" ht="20.100000000000001" customHeight="1" x14ac:dyDescent="0.25">
      <c r="A312" s="138" t="s">
        <v>63</v>
      </c>
      <c r="B312" s="138"/>
      <c r="C312" s="138"/>
      <c r="D312" s="138"/>
      <c r="E312" s="138"/>
      <c r="F312" s="138"/>
      <c r="G312" s="138"/>
      <c r="H312" s="138"/>
      <c r="I312" s="138">
        <f>VLOOKUP(I310,Z306:AB308,3,0)</f>
        <v>506.78875273700447</v>
      </c>
      <c r="J312" s="138"/>
      <c r="K312" s="138"/>
      <c r="L312" s="138"/>
      <c r="M312" s="138"/>
      <c r="N312" s="138"/>
    </row>
    <row r="313" spans="1:29" ht="20.100000000000001" customHeight="1" x14ac:dyDescent="0.25">
      <c r="A313" s="138" t="s">
        <v>71</v>
      </c>
      <c r="B313" s="138"/>
      <c r="C313" s="138"/>
      <c r="D313" s="138"/>
      <c r="E313" s="138"/>
      <c r="F313" s="138"/>
      <c r="G313" s="138"/>
      <c r="H313" s="138"/>
      <c r="I313" s="138">
        <f>VLOOKUP(I310,Z306:AC308,4,0)</f>
        <v>35.946276874338317</v>
      </c>
      <c r="J313" s="138"/>
      <c r="K313" s="138"/>
      <c r="L313" s="138"/>
      <c r="M313" s="138"/>
      <c r="N313" s="138"/>
    </row>
    <row r="316" spans="1:29" ht="20.100000000000001" customHeight="1" x14ac:dyDescent="0.25">
      <c r="A316" s="235" t="s">
        <v>69</v>
      </c>
      <c r="B316" s="235"/>
      <c r="C316" s="235"/>
      <c r="D316" s="235"/>
      <c r="E316" s="235"/>
      <c r="F316" s="235"/>
      <c r="G316" s="235"/>
      <c r="H316" s="235"/>
      <c r="I316" s="235"/>
      <c r="J316" s="235"/>
      <c r="K316" s="235"/>
      <c r="L316" s="235"/>
      <c r="M316" s="235"/>
      <c r="N316" s="235"/>
      <c r="O316" s="235"/>
      <c r="P316" s="235"/>
      <c r="Q316" s="235"/>
      <c r="R316" s="235"/>
      <c r="S316" s="235"/>
      <c r="T316" s="235"/>
    </row>
    <row r="318" spans="1:29" ht="60" customHeight="1" x14ac:dyDescent="0.25">
      <c r="A318" s="213" t="s">
        <v>246</v>
      </c>
      <c r="B318" s="213"/>
      <c r="C318" s="213"/>
      <c r="D318" s="213"/>
      <c r="E318" s="213"/>
      <c r="F318" s="213"/>
      <c r="G318" s="213"/>
      <c r="H318" s="213"/>
      <c r="I318" s="213"/>
      <c r="J318" s="213"/>
      <c r="K318" s="213"/>
      <c r="L318" s="213"/>
      <c r="M318" s="213"/>
      <c r="N318" s="213"/>
      <c r="O318" s="213"/>
      <c r="P318" s="213"/>
      <c r="Q318" s="213"/>
      <c r="R318" s="213"/>
      <c r="S318" s="213"/>
      <c r="T318" s="213"/>
    </row>
    <row r="320" spans="1:29" ht="20.100000000000001" customHeight="1" x14ac:dyDescent="0.25">
      <c r="A320" s="148" t="s">
        <v>36</v>
      </c>
      <c r="B320" s="148"/>
      <c r="C320" s="148"/>
      <c r="D320" s="148"/>
      <c r="E320" s="148"/>
      <c r="F320" s="148"/>
      <c r="G320" s="196">
        <f>I312</f>
        <v>506.78875273700447</v>
      </c>
      <c r="H320" s="196"/>
      <c r="I320" s="196"/>
      <c r="J320" s="196"/>
    </row>
    <row r="321" spans="1:23" ht="20.100000000000001" customHeight="1" x14ac:dyDescent="0.25">
      <c r="A321" s="138" t="s">
        <v>37</v>
      </c>
      <c r="B321" s="138"/>
      <c r="C321" s="138"/>
      <c r="D321" s="138"/>
      <c r="E321" s="138"/>
      <c r="F321" s="138"/>
      <c r="G321" s="147">
        <f>I313</f>
        <v>35.946276874338317</v>
      </c>
      <c r="H321" s="147"/>
      <c r="I321" s="147"/>
      <c r="J321" s="147"/>
    </row>
    <row r="322" spans="1:23" ht="20.100000000000001" customHeight="1" x14ac:dyDescent="0.25">
      <c r="A322" s="138" t="s">
        <v>248</v>
      </c>
      <c r="B322" s="138"/>
      <c r="C322" s="138"/>
      <c r="D322" s="138"/>
      <c r="E322" s="138"/>
      <c r="F322" s="138"/>
      <c r="G322" s="238">
        <v>12</v>
      </c>
      <c r="H322" s="238"/>
      <c r="I322" s="238"/>
      <c r="J322" s="238"/>
      <c r="U322" s="218" t="s">
        <v>251</v>
      </c>
      <c r="V322" s="218"/>
      <c r="W322" s="218"/>
    </row>
    <row r="323" spans="1:23" ht="20.100000000000001" customHeight="1" x14ac:dyDescent="0.25">
      <c r="A323" s="138" t="s">
        <v>70</v>
      </c>
      <c r="B323" s="138"/>
      <c r="C323" s="138"/>
      <c r="D323" s="138"/>
      <c r="E323" s="138"/>
      <c r="F323" s="138"/>
      <c r="G323" s="239">
        <v>0.8</v>
      </c>
      <c r="H323" s="239"/>
      <c r="I323" s="239"/>
      <c r="J323" s="239"/>
    </row>
    <row r="324" spans="1:23" ht="20.100000000000001" customHeight="1" x14ac:dyDescent="0.25">
      <c r="A324" s="138" t="s">
        <v>541</v>
      </c>
      <c r="B324" s="138"/>
      <c r="C324" s="138"/>
      <c r="D324" s="138"/>
      <c r="E324" s="138"/>
      <c r="F324" s="138"/>
      <c r="G324" s="219">
        <f>_xlfn.T.INV.2T(1-G323,G322-1)</f>
        <v>1.3634303180205409</v>
      </c>
      <c r="H324" s="219"/>
      <c r="I324" s="219"/>
      <c r="J324" s="219"/>
    </row>
    <row r="325" spans="1:23" ht="20.100000000000001" customHeight="1" x14ac:dyDescent="0.25">
      <c r="A325" s="155"/>
      <c r="B325" s="155"/>
      <c r="C325" s="155"/>
      <c r="D325" s="155"/>
      <c r="E325" s="155"/>
      <c r="F325" s="155"/>
      <c r="G325" s="220"/>
      <c r="H325" s="220"/>
      <c r="I325" s="220"/>
      <c r="J325" s="220"/>
    </row>
    <row r="326" spans="1:23" ht="20.100000000000001" customHeight="1" x14ac:dyDescent="0.25">
      <c r="A326" s="155"/>
      <c r="B326" s="155"/>
      <c r="C326" s="155"/>
      <c r="D326" s="155"/>
      <c r="E326" s="155"/>
      <c r="F326" s="155"/>
      <c r="G326" s="220"/>
      <c r="H326" s="220"/>
      <c r="I326" s="220"/>
      <c r="J326" s="220"/>
    </row>
    <row r="327" spans="1:23" ht="20.100000000000001" customHeight="1" x14ac:dyDescent="0.25">
      <c r="A327" s="149" t="s">
        <v>70</v>
      </c>
      <c r="B327" s="149"/>
      <c r="C327" s="149"/>
      <c r="D327" s="149"/>
      <c r="E327" s="149"/>
      <c r="F327" s="149"/>
      <c r="G327" s="149"/>
      <c r="H327" s="149"/>
      <c r="I327" s="149"/>
      <c r="J327" s="149"/>
      <c r="K327" s="149"/>
      <c r="L327" s="149"/>
      <c r="M327" s="149"/>
      <c r="N327" s="149"/>
      <c r="O327" s="149"/>
      <c r="P327" s="149"/>
      <c r="Q327" s="149"/>
      <c r="R327" s="149"/>
      <c r="S327" s="149"/>
      <c r="T327" s="149"/>
    </row>
    <row r="329" spans="1:23" ht="20.100000000000001" customHeight="1" x14ac:dyDescent="0.25">
      <c r="A329" s="148" t="s">
        <v>44</v>
      </c>
      <c r="B329" s="148"/>
      <c r="C329" s="148"/>
      <c r="D329" s="148"/>
      <c r="E329" s="148"/>
      <c r="F329" s="148"/>
      <c r="G329" s="196">
        <f>G320-(_xlfn.CONFIDENCE.T(1-G323,G321,G322))</f>
        <v>492.64071403737051</v>
      </c>
      <c r="H329" s="196"/>
      <c r="I329" s="196"/>
      <c r="J329" s="196"/>
      <c r="M329" s="148" t="s">
        <v>72</v>
      </c>
      <c r="N329" s="148"/>
      <c r="O329" s="148"/>
      <c r="P329" s="148"/>
      <c r="Q329" s="196">
        <f>G330-G329</f>
        <v>28.296077399267972</v>
      </c>
      <c r="R329" s="196"/>
      <c r="S329" s="196"/>
      <c r="T329" s="196"/>
    </row>
    <row r="330" spans="1:23" ht="20.100000000000001" customHeight="1" x14ac:dyDescent="0.25">
      <c r="A330" s="148" t="s">
        <v>45</v>
      </c>
      <c r="B330" s="148"/>
      <c r="C330" s="148"/>
      <c r="D330" s="148"/>
      <c r="E330" s="148"/>
      <c r="F330" s="148"/>
      <c r="G330" s="196">
        <f>G320+(_xlfn.CONFIDENCE.T(1-G323,G321,G322))</f>
        <v>520.93679143663849</v>
      </c>
      <c r="H330" s="196"/>
      <c r="I330" s="196"/>
      <c r="J330" s="196"/>
      <c r="M330" s="148" t="s">
        <v>36</v>
      </c>
      <c r="N330" s="148"/>
      <c r="O330" s="148"/>
      <c r="P330" s="148"/>
      <c r="Q330" s="196">
        <f>G320</f>
        <v>506.78875273700447</v>
      </c>
      <c r="R330" s="196"/>
      <c r="S330" s="196"/>
      <c r="T330" s="196"/>
    </row>
    <row r="331" spans="1:23" ht="20.100000000000001" customHeight="1" x14ac:dyDescent="0.25">
      <c r="M331" s="148" t="s">
        <v>73</v>
      </c>
      <c r="N331" s="148"/>
      <c r="O331" s="148"/>
      <c r="P331" s="148"/>
      <c r="Q331" s="240">
        <f>Q329/Q330</f>
        <v>5.5834067442203247E-2</v>
      </c>
      <c r="R331" s="240"/>
      <c r="S331" s="240"/>
      <c r="T331" s="240"/>
    </row>
    <row r="333" spans="1:23" ht="20.100000000000001" customHeight="1" x14ac:dyDescent="0.25">
      <c r="A333" s="214" t="str" cm="1">
        <f t="array" ref="A333">_xlfn.IFS(Q331&lt;=0.3,Y338,AND(Q331&gt;0.3,Q331&lt;=0.4),Y339,AND(Q331&gt;0.4,Q331&lt;=0.5),Y340,Q331&gt;0.5,Y341)</f>
        <v>O grau de precisão calculado foi inferior a 30% (trinta por cento); em razão disso, o laudo atingiu o grau de fundamentação III, máximo previsto na tabela 5 do item 9.2.3 da NBR 14653-2:2011 (Avaliação de bens. Parte 2: Imóveis urbanos).</v>
      </c>
      <c r="B333" s="214"/>
      <c r="C333" s="214"/>
      <c r="D333" s="214"/>
      <c r="E333" s="214"/>
      <c r="F333" s="214"/>
      <c r="G333" s="214"/>
      <c r="H333" s="214"/>
      <c r="I333" s="214"/>
      <c r="J333" s="214"/>
      <c r="K333" s="214"/>
      <c r="L333" s="214"/>
      <c r="M333" s="214"/>
      <c r="N333" s="214"/>
      <c r="O333" s="214"/>
      <c r="P333" s="214"/>
      <c r="Q333" s="214"/>
      <c r="R333" s="214"/>
      <c r="S333" s="214"/>
      <c r="T333" s="214"/>
    </row>
    <row r="334" spans="1:23" ht="20.100000000000001" customHeight="1" x14ac:dyDescent="0.25">
      <c r="A334" s="214"/>
      <c r="B334" s="214"/>
      <c r="C334" s="214"/>
      <c r="D334" s="214"/>
      <c r="E334" s="214"/>
      <c r="F334" s="214"/>
      <c r="G334" s="214"/>
      <c r="H334" s="214"/>
      <c r="I334" s="214"/>
      <c r="J334" s="214"/>
      <c r="K334" s="214"/>
      <c r="L334" s="214"/>
      <c r="M334" s="214"/>
      <c r="N334" s="214"/>
      <c r="O334" s="214"/>
      <c r="P334" s="214"/>
      <c r="Q334" s="214"/>
      <c r="R334" s="214"/>
      <c r="S334" s="214"/>
      <c r="T334" s="214"/>
    </row>
    <row r="335" spans="1:23" ht="20.100000000000001" customHeight="1" x14ac:dyDescent="0.25">
      <c r="A335" s="77"/>
      <c r="B335" s="77"/>
      <c r="C335" s="77"/>
      <c r="D335" s="77"/>
      <c r="E335" s="77"/>
      <c r="F335" s="77"/>
      <c r="G335" s="77"/>
      <c r="H335" s="77"/>
      <c r="I335" s="77"/>
      <c r="J335" s="77"/>
      <c r="K335" s="77"/>
      <c r="L335" s="77"/>
      <c r="M335" s="77"/>
      <c r="N335" s="77"/>
      <c r="O335" s="77"/>
      <c r="P335" s="77"/>
      <c r="Q335" s="77"/>
      <c r="R335" s="77"/>
      <c r="S335" s="77"/>
      <c r="T335" s="77"/>
    </row>
    <row r="336" spans="1:23" ht="20.100000000000001" customHeight="1" x14ac:dyDescent="0.25">
      <c r="A336" s="224" t="s">
        <v>542</v>
      </c>
      <c r="B336" s="224"/>
      <c r="C336" s="224"/>
      <c r="D336" s="224"/>
      <c r="E336" s="224"/>
      <c r="F336" s="224"/>
      <c r="G336" s="224"/>
      <c r="H336" s="224"/>
      <c r="I336" s="224"/>
      <c r="J336" s="224"/>
      <c r="K336" s="224"/>
      <c r="L336" s="224"/>
      <c r="M336" s="224"/>
      <c r="N336" s="224"/>
      <c r="O336" s="224"/>
      <c r="P336" s="224"/>
      <c r="Q336" s="224"/>
      <c r="R336" s="224"/>
      <c r="S336" s="224"/>
      <c r="T336" s="224"/>
    </row>
    <row r="337" spans="1:68" ht="20.100000000000001" customHeight="1" x14ac:dyDescent="0.25">
      <c r="A337" s="224"/>
      <c r="B337" s="224"/>
      <c r="C337" s="224"/>
      <c r="D337" s="224"/>
      <c r="E337" s="224"/>
      <c r="F337" s="224"/>
      <c r="G337" s="224"/>
      <c r="H337" s="224"/>
      <c r="I337" s="224"/>
      <c r="J337" s="224"/>
      <c r="K337" s="224"/>
      <c r="L337" s="224"/>
      <c r="M337" s="224"/>
      <c r="N337" s="224"/>
      <c r="O337" s="224"/>
      <c r="P337" s="224"/>
      <c r="Q337" s="224"/>
      <c r="R337" s="224"/>
      <c r="S337" s="224"/>
      <c r="T337" s="224"/>
    </row>
    <row r="338" spans="1:68" ht="20.100000000000001" customHeight="1" x14ac:dyDescent="0.25">
      <c r="A338" s="223" t="s">
        <v>91</v>
      </c>
      <c r="B338" s="223"/>
      <c r="C338" s="223"/>
      <c r="D338" s="223"/>
      <c r="E338" s="223"/>
      <c r="F338" s="223"/>
      <c r="G338" s="223"/>
      <c r="H338" s="223"/>
      <c r="I338" s="223"/>
      <c r="J338" s="223"/>
      <c r="K338" s="223"/>
      <c r="L338" s="223"/>
      <c r="M338" s="223"/>
      <c r="N338" s="223"/>
      <c r="O338" s="223"/>
      <c r="P338" s="223"/>
      <c r="Q338" s="223"/>
      <c r="R338" s="223"/>
      <c r="S338" s="223"/>
      <c r="T338" s="223"/>
      <c r="Y338" s="216" t="s">
        <v>101</v>
      </c>
      <c r="Z338" s="216"/>
      <c r="AA338" s="216"/>
      <c r="AB338" s="216"/>
      <c r="AC338" s="216"/>
      <c r="AD338" s="216"/>
      <c r="AE338" s="216"/>
      <c r="AF338" s="216"/>
      <c r="AG338" s="216"/>
      <c r="AH338" s="216"/>
      <c r="AI338" s="216"/>
      <c r="AJ338" s="216"/>
      <c r="AK338" s="216"/>
      <c r="AL338" s="216"/>
      <c r="AM338" s="216"/>
      <c r="AN338" s="216"/>
      <c r="AO338" s="216"/>
      <c r="AP338" s="216"/>
      <c r="AQ338" s="216"/>
      <c r="AR338" s="216"/>
      <c r="AS338" s="216"/>
      <c r="AT338" s="216"/>
      <c r="AU338" s="216"/>
      <c r="AV338" s="216"/>
      <c r="AW338" s="216"/>
      <c r="AX338" s="216"/>
      <c r="AY338" s="216"/>
      <c r="AZ338" s="216"/>
      <c r="BA338" s="216"/>
      <c r="BB338" s="216"/>
      <c r="BC338" s="216"/>
      <c r="BD338" s="216"/>
      <c r="BE338" s="216"/>
      <c r="BF338" s="216"/>
      <c r="BG338" s="216"/>
      <c r="BH338" s="216"/>
      <c r="BI338" s="216"/>
      <c r="BJ338" s="216"/>
      <c r="BK338" s="216"/>
      <c r="BL338" s="216"/>
      <c r="BM338" s="216"/>
      <c r="BN338" s="216"/>
      <c r="BO338" s="216"/>
      <c r="BP338" s="216"/>
    </row>
    <row r="339" spans="1:68" ht="20.100000000000001" customHeight="1" x14ac:dyDescent="0.25">
      <c r="A339" s="223"/>
      <c r="B339" s="223"/>
      <c r="C339" s="223"/>
      <c r="D339" s="223"/>
      <c r="E339" s="223"/>
      <c r="F339" s="223"/>
      <c r="G339" s="223"/>
      <c r="H339" s="223"/>
      <c r="I339" s="223"/>
      <c r="J339" s="223"/>
      <c r="K339" s="223"/>
      <c r="L339" s="223"/>
      <c r="M339" s="223"/>
      <c r="N339" s="223"/>
      <c r="O339" s="223"/>
      <c r="P339" s="223"/>
      <c r="Q339" s="223"/>
      <c r="R339" s="223"/>
      <c r="S339" s="223"/>
      <c r="T339" s="223"/>
      <c r="Y339" s="216" t="s">
        <v>102</v>
      </c>
      <c r="Z339" s="216"/>
      <c r="AA339" s="216"/>
      <c r="AB339" s="216"/>
      <c r="AC339" s="216"/>
      <c r="AD339" s="216"/>
      <c r="AE339" s="216"/>
      <c r="AF339" s="216"/>
      <c r="AG339" s="216"/>
      <c r="AH339" s="216"/>
      <c r="AI339" s="216"/>
      <c r="AJ339" s="216"/>
      <c r="AK339" s="216"/>
      <c r="AL339" s="216"/>
      <c r="AM339" s="216"/>
      <c r="AN339" s="216"/>
      <c r="AO339" s="216"/>
      <c r="AP339" s="216"/>
      <c r="AQ339" s="216"/>
      <c r="AR339" s="216"/>
      <c r="AS339" s="216"/>
      <c r="AT339" s="216"/>
      <c r="AU339" s="216"/>
      <c r="AV339" s="216"/>
      <c r="AW339" s="216"/>
      <c r="AX339" s="216"/>
      <c r="AY339" s="216"/>
      <c r="AZ339" s="216"/>
      <c r="BA339" s="216"/>
      <c r="BB339" s="216"/>
      <c r="BC339" s="216"/>
      <c r="BD339" s="216"/>
      <c r="BE339" s="216"/>
      <c r="BF339" s="216"/>
      <c r="BG339" s="216"/>
      <c r="BH339" s="216"/>
      <c r="BI339" s="216"/>
      <c r="BJ339" s="216"/>
      <c r="BK339" s="216"/>
      <c r="BL339" s="216"/>
      <c r="BM339" s="216"/>
      <c r="BN339" s="216"/>
      <c r="BO339" s="216"/>
      <c r="BP339" s="216"/>
    </row>
    <row r="340" spans="1:68" ht="20.100000000000001" customHeight="1" x14ac:dyDescent="0.25">
      <c r="A340" s="206" t="s">
        <v>88</v>
      </c>
      <c r="B340" s="206"/>
      <c r="C340" s="206"/>
      <c r="D340" s="206"/>
      <c r="E340" s="206"/>
      <c r="F340" s="206"/>
      <c r="G340" s="206"/>
      <c r="H340" s="206"/>
      <c r="I340" s="206" t="s">
        <v>89</v>
      </c>
      <c r="J340" s="206"/>
      <c r="K340" s="206"/>
      <c r="L340" s="206"/>
      <c r="M340" s="206"/>
      <c r="N340" s="206"/>
      <c r="O340" s="206"/>
      <c r="P340" s="206"/>
      <c r="Q340" s="206"/>
      <c r="R340" s="206"/>
      <c r="S340" s="206"/>
      <c r="T340" s="206"/>
      <c r="Y340" s="216" t="s">
        <v>103</v>
      </c>
      <c r="Z340" s="216"/>
      <c r="AA340" s="216"/>
      <c r="AB340" s="216"/>
      <c r="AC340" s="216"/>
      <c r="AD340" s="216"/>
      <c r="AE340" s="216"/>
      <c r="AF340" s="216"/>
      <c r="AG340" s="216"/>
      <c r="AH340" s="216"/>
      <c r="AI340" s="216"/>
      <c r="AJ340" s="216"/>
      <c r="AK340" s="216"/>
      <c r="AL340" s="216"/>
      <c r="AM340" s="216"/>
      <c r="AN340" s="216"/>
      <c r="AO340" s="216"/>
      <c r="AP340" s="216"/>
      <c r="AQ340" s="216"/>
      <c r="AR340" s="216"/>
      <c r="AS340" s="216"/>
      <c r="AT340" s="216"/>
      <c r="AU340" s="216"/>
      <c r="AV340" s="216"/>
      <c r="AW340" s="216"/>
      <c r="AX340" s="216"/>
      <c r="AY340" s="216"/>
      <c r="AZ340" s="216"/>
      <c r="BA340" s="216"/>
      <c r="BB340" s="216"/>
      <c r="BC340" s="216"/>
      <c r="BD340" s="216"/>
      <c r="BE340" s="216"/>
      <c r="BF340" s="216"/>
      <c r="BG340" s="216"/>
      <c r="BH340" s="216"/>
      <c r="BI340" s="216"/>
      <c r="BJ340" s="216"/>
      <c r="BK340" s="216"/>
      <c r="BL340" s="216"/>
      <c r="BM340" s="216"/>
      <c r="BN340" s="216"/>
      <c r="BO340" s="216"/>
      <c r="BP340" s="216"/>
    </row>
    <row r="341" spans="1:68" ht="20.100000000000001" customHeight="1" x14ac:dyDescent="0.25">
      <c r="A341" s="206"/>
      <c r="B341" s="206"/>
      <c r="C341" s="206"/>
      <c r="D341" s="206"/>
      <c r="E341" s="206"/>
      <c r="F341" s="206"/>
      <c r="G341" s="206"/>
      <c r="H341" s="206"/>
      <c r="I341" s="206" t="s">
        <v>92</v>
      </c>
      <c r="J341" s="206"/>
      <c r="K341" s="206"/>
      <c r="L341" s="206"/>
      <c r="M341" s="206" t="s">
        <v>93</v>
      </c>
      <c r="N341" s="206"/>
      <c r="O341" s="206"/>
      <c r="P341" s="206"/>
      <c r="Q341" s="206" t="s">
        <v>83</v>
      </c>
      <c r="R341" s="206"/>
      <c r="S341" s="206"/>
      <c r="T341" s="206"/>
      <c r="Y341" s="216" t="s">
        <v>252</v>
      </c>
      <c r="Z341" s="216"/>
      <c r="AA341" s="216"/>
      <c r="AB341" s="216"/>
      <c r="AC341" s="216"/>
      <c r="AD341" s="216"/>
      <c r="AE341" s="216"/>
      <c r="AF341" s="216"/>
      <c r="AG341" s="216"/>
      <c r="AH341" s="216"/>
      <c r="AI341" s="216"/>
      <c r="AJ341" s="216"/>
      <c r="AK341" s="216"/>
      <c r="AL341" s="216"/>
      <c r="AM341" s="216"/>
      <c r="AN341" s="216"/>
      <c r="AO341" s="216"/>
      <c r="AP341" s="216"/>
      <c r="AQ341" s="216"/>
      <c r="AR341" s="216"/>
      <c r="AS341" s="216"/>
      <c r="AT341" s="216"/>
      <c r="AU341" s="216"/>
      <c r="AV341" s="216"/>
      <c r="AW341" s="216"/>
      <c r="AX341" s="216"/>
      <c r="AY341" s="216"/>
      <c r="AZ341" s="216"/>
      <c r="BA341" s="216"/>
      <c r="BB341" s="216"/>
      <c r="BC341" s="216"/>
      <c r="BD341" s="216"/>
      <c r="BE341" s="216"/>
      <c r="BF341" s="216"/>
      <c r="BG341" s="216"/>
      <c r="BH341" s="216"/>
      <c r="BI341" s="216"/>
      <c r="BJ341" s="216"/>
      <c r="BK341" s="216"/>
      <c r="BL341" s="216"/>
      <c r="BM341" s="216"/>
      <c r="BN341" s="216"/>
      <c r="BO341" s="216"/>
      <c r="BP341" s="216"/>
    </row>
    <row r="342" spans="1:68" ht="20.100000000000001" customHeight="1" x14ac:dyDescent="0.25">
      <c r="A342" s="211" t="s">
        <v>90</v>
      </c>
      <c r="B342" s="211"/>
      <c r="C342" s="211"/>
      <c r="D342" s="211"/>
      <c r="E342" s="211"/>
      <c r="F342" s="211"/>
      <c r="G342" s="211"/>
      <c r="H342" s="211"/>
      <c r="I342" s="217" t="s">
        <v>98</v>
      </c>
      <c r="J342" s="217"/>
      <c r="K342" s="217"/>
      <c r="L342" s="217"/>
      <c r="M342" s="217" t="s">
        <v>99</v>
      </c>
      <c r="N342" s="217"/>
      <c r="O342" s="217"/>
      <c r="P342" s="217"/>
      <c r="Q342" s="217" t="s">
        <v>100</v>
      </c>
      <c r="R342" s="217"/>
      <c r="S342" s="217"/>
      <c r="T342" s="217"/>
    </row>
    <row r="343" spans="1:68" ht="20.100000000000001" customHeight="1" x14ac:dyDescent="0.25">
      <c r="A343" s="211"/>
      <c r="B343" s="211"/>
      <c r="C343" s="211"/>
      <c r="D343" s="211"/>
      <c r="E343" s="211"/>
      <c r="F343" s="211"/>
      <c r="G343" s="211"/>
      <c r="H343" s="211"/>
      <c r="I343" s="217"/>
      <c r="J343" s="217"/>
      <c r="K343" s="217"/>
      <c r="L343" s="217"/>
      <c r="M343" s="217"/>
      <c r="N343" s="217"/>
      <c r="O343" s="217"/>
      <c r="P343" s="217"/>
      <c r="Q343" s="217"/>
      <c r="R343" s="217"/>
      <c r="S343" s="217"/>
      <c r="T343" s="217"/>
    </row>
    <row r="346" spans="1:68" ht="20.100000000000001" customHeight="1" x14ac:dyDescent="0.25">
      <c r="A346" s="149" t="s">
        <v>97</v>
      </c>
      <c r="B346" s="149"/>
      <c r="C346" s="149"/>
      <c r="D346" s="149"/>
      <c r="E346" s="149"/>
      <c r="F346" s="149"/>
      <c r="G346" s="149"/>
      <c r="H346" s="149"/>
      <c r="I346" s="149"/>
      <c r="J346" s="149"/>
      <c r="K346" s="149"/>
      <c r="L346" s="149"/>
      <c r="M346" s="149"/>
      <c r="N346" s="149"/>
      <c r="O346" s="149"/>
      <c r="P346" s="149"/>
      <c r="Q346" s="149"/>
      <c r="R346" s="149"/>
      <c r="S346" s="149"/>
      <c r="T346" s="149"/>
    </row>
    <row r="347" spans="1:68" ht="20.100000000000001" customHeight="1" x14ac:dyDescent="0.25">
      <c r="X347" s="97"/>
    </row>
    <row r="348" spans="1:68" ht="20.100000000000001" customHeight="1" x14ac:dyDescent="0.25">
      <c r="A348" s="148" t="s">
        <v>74</v>
      </c>
      <c r="B348" s="148"/>
      <c r="C348" s="148"/>
      <c r="D348" s="148"/>
      <c r="E348" s="148"/>
      <c r="F348" s="148"/>
      <c r="G348" s="148"/>
      <c r="H348" s="148"/>
      <c r="I348" s="148"/>
      <c r="J348" s="148"/>
      <c r="K348" s="148"/>
      <c r="L348" s="148"/>
      <c r="M348" s="148"/>
      <c r="N348" s="148"/>
      <c r="O348" s="196">
        <v>320</v>
      </c>
      <c r="P348" s="196"/>
      <c r="Q348" s="196"/>
      <c r="R348" s="196"/>
      <c r="S348" s="196"/>
      <c r="T348" s="196"/>
      <c r="X348" s="97"/>
    </row>
    <row r="349" spans="1:68" ht="20.100000000000001" customHeight="1" x14ac:dyDescent="0.25">
      <c r="A349" s="148" t="s">
        <v>75</v>
      </c>
      <c r="B349" s="148"/>
      <c r="C349" s="148"/>
      <c r="D349" s="148"/>
      <c r="E349" s="148"/>
      <c r="F349" s="148"/>
      <c r="G349" s="148"/>
      <c r="H349" s="148"/>
      <c r="I349" s="148"/>
      <c r="J349" s="148"/>
      <c r="K349" s="148"/>
      <c r="L349" s="148"/>
      <c r="M349" s="148"/>
      <c r="N349" s="148"/>
      <c r="O349" s="196">
        <f>G320</f>
        <v>506.78875273700447</v>
      </c>
      <c r="P349" s="196"/>
      <c r="Q349" s="196"/>
      <c r="R349" s="196"/>
      <c r="S349" s="196"/>
      <c r="T349" s="196"/>
    </row>
    <row r="350" spans="1:68" ht="20.100000000000001" customHeight="1" x14ac:dyDescent="0.25">
      <c r="A350" s="148" t="s">
        <v>97</v>
      </c>
      <c r="B350" s="148"/>
      <c r="C350" s="148"/>
      <c r="D350" s="148"/>
      <c r="E350" s="148"/>
      <c r="F350" s="148"/>
      <c r="G350" s="148"/>
      <c r="H350" s="148"/>
      <c r="I350" s="148"/>
      <c r="J350" s="148"/>
      <c r="K350" s="148"/>
      <c r="L350" s="148"/>
      <c r="M350" s="148"/>
      <c r="N350" s="148"/>
      <c r="O350" s="196">
        <f>O348*O349</f>
        <v>162172.40087584144</v>
      </c>
      <c r="P350" s="196"/>
      <c r="Q350" s="196"/>
      <c r="R350" s="196"/>
      <c r="S350" s="196"/>
      <c r="T350" s="196"/>
      <c r="AC350" s="97"/>
    </row>
    <row r="351" spans="1:68" ht="20.100000000000001" customHeight="1" x14ac:dyDescent="0.25">
      <c r="AC351" s="97"/>
    </row>
    <row r="353" spans="1:37" ht="20.100000000000001" customHeight="1" x14ac:dyDescent="0.25">
      <c r="A353" s="149" t="s">
        <v>379</v>
      </c>
      <c r="B353" s="149"/>
      <c r="C353" s="149"/>
      <c r="D353" s="149"/>
      <c r="E353" s="149"/>
      <c r="F353" s="149"/>
      <c r="G353" s="149"/>
      <c r="H353" s="149"/>
      <c r="I353" s="149"/>
      <c r="J353" s="149"/>
      <c r="K353" s="149"/>
      <c r="L353" s="149"/>
      <c r="M353" s="149"/>
      <c r="N353" s="149"/>
      <c r="O353" s="149"/>
      <c r="P353" s="149"/>
      <c r="Q353" s="149"/>
      <c r="R353" s="149"/>
      <c r="S353" s="149"/>
      <c r="T353" s="149"/>
      <c r="X353" s="65"/>
      <c r="Y353" s="65"/>
      <c r="Z353" s="65"/>
      <c r="AA353" s="65"/>
      <c r="AB353" s="65"/>
      <c r="AC353" s="65"/>
      <c r="AD353" s="65"/>
      <c r="AE353" s="111"/>
      <c r="AF353" s="65"/>
      <c r="AG353" s="65"/>
      <c r="AH353" s="65"/>
      <c r="AJ353" s="58" t="s">
        <v>380</v>
      </c>
      <c r="AK353" s="58" t="s">
        <v>381</v>
      </c>
    </row>
    <row r="354" spans="1:37" ht="20.100000000000001" customHeight="1" x14ac:dyDescent="0.25">
      <c r="AJ354" s="58" t="s">
        <v>382</v>
      </c>
      <c r="AK354" s="58" t="s">
        <v>383</v>
      </c>
    </row>
    <row r="355" spans="1:37" ht="20.100000000000001" customHeight="1" x14ac:dyDescent="0.25">
      <c r="A355" s="214" t="s">
        <v>514</v>
      </c>
      <c r="B355" s="214"/>
      <c r="C355" s="214"/>
      <c r="D355" s="214"/>
      <c r="E355" s="214"/>
      <c r="F355" s="214"/>
      <c r="G355" s="214"/>
      <c r="H355" s="214"/>
      <c r="I355" s="214"/>
      <c r="J355" s="214"/>
      <c r="K355" s="214"/>
      <c r="L355" s="214"/>
      <c r="M355" s="214"/>
      <c r="N355" s="214"/>
      <c r="O355" s="214"/>
      <c r="P355" s="214"/>
      <c r="Q355" s="214"/>
      <c r="R355" s="214"/>
      <c r="S355" s="214"/>
      <c r="T355" s="214"/>
      <c r="AJ355" s="58" t="s">
        <v>384</v>
      </c>
      <c r="AK355" s="58" t="s">
        <v>385</v>
      </c>
    </row>
    <row r="356" spans="1:37" ht="20.100000000000001" customHeight="1" x14ac:dyDescent="0.25">
      <c r="A356" s="214"/>
      <c r="B356" s="214"/>
      <c r="C356" s="214"/>
      <c r="D356" s="214"/>
      <c r="E356" s="214"/>
      <c r="F356" s="214"/>
      <c r="G356" s="214"/>
      <c r="H356" s="214"/>
      <c r="I356" s="214"/>
      <c r="J356" s="214"/>
      <c r="K356" s="214"/>
      <c r="L356" s="214"/>
      <c r="M356" s="214"/>
      <c r="N356" s="214"/>
      <c r="O356" s="214"/>
      <c r="P356" s="214"/>
      <c r="Q356" s="214"/>
      <c r="R356" s="214"/>
      <c r="S356" s="214"/>
      <c r="T356" s="214"/>
      <c r="AJ356" s="58" t="s">
        <v>386</v>
      </c>
    </row>
    <row r="357" spans="1:37" ht="20.100000000000001" customHeight="1" x14ac:dyDescent="0.25">
      <c r="A357" s="214"/>
      <c r="B357" s="214"/>
      <c r="C357" s="214"/>
      <c r="D357" s="214"/>
      <c r="E357" s="214"/>
      <c r="F357" s="214"/>
      <c r="G357" s="214"/>
      <c r="H357" s="214"/>
      <c r="I357" s="214"/>
      <c r="J357" s="214"/>
      <c r="K357" s="214"/>
      <c r="L357" s="214"/>
      <c r="M357" s="214"/>
      <c r="N357" s="214"/>
      <c r="O357" s="214"/>
      <c r="P357" s="214"/>
      <c r="Q357" s="214"/>
      <c r="R357" s="214"/>
      <c r="S357" s="214"/>
      <c r="T357" s="214"/>
      <c r="AJ357" s="58" t="s">
        <v>387</v>
      </c>
      <c r="AK357" s="58" t="s">
        <v>388</v>
      </c>
    </row>
    <row r="358" spans="1:37" ht="20.100000000000001" customHeight="1" x14ac:dyDescent="0.25">
      <c r="A358" s="214"/>
      <c r="B358" s="214"/>
      <c r="C358" s="214"/>
      <c r="D358" s="214"/>
      <c r="E358" s="214"/>
      <c r="F358" s="214"/>
      <c r="G358" s="214"/>
      <c r="H358" s="214"/>
      <c r="I358" s="214"/>
      <c r="J358" s="214"/>
      <c r="K358" s="214"/>
      <c r="L358" s="214"/>
      <c r="M358" s="214"/>
      <c r="N358" s="214"/>
      <c r="O358" s="214"/>
      <c r="P358" s="214"/>
      <c r="Q358" s="214"/>
      <c r="R358" s="214"/>
      <c r="S358" s="214"/>
      <c r="T358" s="214"/>
      <c r="AJ358" s="58" t="s">
        <v>389</v>
      </c>
      <c r="AK358" s="58" t="s">
        <v>390</v>
      </c>
    </row>
    <row r="359" spans="1:37" ht="20.100000000000001" customHeight="1" x14ac:dyDescent="0.25">
      <c r="AJ359" s="58" t="s">
        <v>391</v>
      </c>
      <c r="AK359" s="58" t="s">
        <v>392</v>
      </c>
    </row>
    <row r="360" spans="1:37" ht="20.100000000000001" customHeight="1" x14ac:dyDescent="0.25">
      <c r="A360" s="148" t="s">
        <v>393</v>
      </c>
      <c r="B360" s="148"/>
      <c r="C360" s="148"/>
      <c r="D360" s="148"/>
      <c r="E360" s="148"/>
      <c r="F360" s="208" t="s">
        <v>388</v>
      </c>
      <c r="G360" s="208"/>
      <c r="H360" s="208"/>
      <c r="I360" s="208"/>
      <c r="J360" s="208"/>
      <c r="K360" s="208"/>
      <c r="L360" s="148" t="s">
        <v>394</v>
      </c>
      <c r="M360" s="148"/>
      <c r="N360" s="148"/>
      <c r="O360" s="148"/>
      <c r="P360" s="148"/>
      <c r="Q360" s="209" t="s">
        <v>383</v>
      </c>
      <c r="R360" s="209"/>
      <c r="S360" s="209"/>
      <c r="T360" s="209"/>
      <c r="AJ360" s="58" t="s">
        <v>395</v>
      </c>
      <c r="AK360" s="58" t="s">
        <v>64</v>
      </c>
    </row>
    <row r="361" spans="1:37" ht="20.100000000000001" customHeight="1" x14ac:dyDescent="0.25">
      <c r="A361" s="138" t="s">
        <v>396</v>
      </c>
      <c r="B361" s="138"/>
      <c r="C361" s="138"/>
      <c r="D361" s="138"/>
      <c r="E361" s="138"/>
      <c r="F361" s="191" t="s">
        <v>380</v>
      </c>
      <c r="G361" s="191"/>
      <c r="H361" s="191"/>
      <c r="I361" s="191"/>
      <c r="J361" s="191"/>
      <c r="K361" s="191"/>
      <c r="L361" s="138" t="s">
        <v>397</v>
      </c>
      <c r="M361" s="138"/>
      <c r="N361" s="138"/>
      <c r="O361" s="138"/>
      <c r="P361" s="138"/>
      <c r="Q361" s="124" t="s">
        <v>398</v>
      </c>
      <c r="R361" s="124"/>
      <c r="S361" s="124"/>
      <c r="T361" s="124"/>
      <c r="AJ361" s="58" t="s">
        <v>399</v>
      </c>
    </row>
    <row r="362" spans="1:37" ht="20.100000000000001" customHeight="1" x14ac:dyDescent="0.25">
      <c r="A362" s="138" t="s">
        <v>402</v>
      </c>
      <c r="B362" s="138"/>
      <c r="C362" s="138"/>
      <c r="D362" s="138"/>
      <c r="E362" s="138"/>
      <c r="F362" s="138"/>
      <c r="G362" s="138"/>
      <c r="H362" s="138"/>
      <c r="I362" s="138"/>
      <c r="J362" s="138"/>
      <c r="K362" s="138"/>
      <c r="L362" s="138"/>
      <c r="M362" s="138"/>
      <c r="N362" s="138"/>
      <c r="O362" s="138"/>
      <c r="P362" s="138"/>
      <c r="Q362" s="190">
        <v>1997.51</v>
      </c>
      <c r="R362" s="190"/>
      <c r="S362" s="190"/>
      <c r="T362" s="190"/>
    </row>
    <row r="364" spans="1:37" ht="20.100000000000001" customHeight="1" x14ac:dyDescent="0.25">
      <c r="A364" s="142" t="s">
        <v>400</v>
      </c>
      <c r="B364" s="142"/>
      <c r="C364" s="142"/>
      <c r="D364" s="142"/>
      <c r="E364" s="142"/>
      <c r="F364" s="142"/>
      <c r="G364" s="142"/>
      <c r="H364" s="142"/>
      <c r="I364" s="142"/>
      <c r="J364" s="142"/>
      <c r="K364" s="142"/>
      <c r="L364" s="142"/>
      <c r="M364" s="142"/>
      <c r="N364" s="142"/>
      <c r="O364" s="142"/>
      <c r="P364" s="142"/>
      <c r="Q364" s="142"/>
      <c r="R364" s="142"/>
      <c r="S364" s="142"/>
      <c r="T364" s="142"/>
    </row>
    <row r="365" spans="1:37" ht="20.100000000000001" customHeight="1" x14ac:dyDescent="0.25">
      <c r="A365" s="142" t="s">
        <v>401</v>
      </c>
      <c r="B365" s="142"/>
      <c r="C365" s="142"/>
      <c r="D365" s="142"/>
      <c r="E365" s="142"/>
      <c r="F365" s="142"/>
      <c r="G365" s="142"/>
      <c r="H365" s="142"/>
      <c r="I365" s="142"/>
      <c r="J365" s="142"/>
      <c r="K365" s="142"/>
      <c r="L365" s="142"/>
      <c r="M365" s="142"/>
      <c r="N365" s="142"/>
      <c r="O365" s="142"/>
      <c r="P365" s="142"/>
      <c r="Q365" s="142"/>
      <c r="R365" s="142"/>
      <c r="S365" s="142"/>
      <c r="T365" s="142"/>
    </row>
    <row r="366" spans="1:37" ht="20.100000000000001" customHeight="1" x14ac:dyDescent="0.25">
      <c r="A366" s="142"/>
      <c r="B366" s="142"/>
      <c r="C366" s="142"/>
      <c r="D366" s="142"/>
      <c r="E366" s="142"/>
      <c r="F366" s="142"/>
      <c r="G366" s="142"/>
      <c r="H366" s="142"/>
      <c r="I366" s="142"/>
      <c r="J366" s="142"/>
      <c r="K366" s="142"/>
      <c r="L366" s="142"/>
      <c r="M366" s="142"/>
      <c r="N366" s="142"/>
      <c r="O366" s="142"/>
      <c r="P366" s="142"/>
      <c r="Q366" s="142"/>
      <c r="R366" s="142"/>
      <c r="S366" s="142"/>
      <c r="T366" s="142"/>
    </row>
    <row r="367" spans="1:37" ht="20.100000000000001" customHeight="1" x14ac:dyDescent="0.25">
      <c r="A367" s="142"/>
      <c r="B367" s="142"/>
      <c r="C367" s="142"/>
      <c r="D367" s="142"/>
      <c r="E367" s="142"/>
      <c r="F367" s="142"/>
      <c r="G367" s="142"/>
      <c r="H367" s="142"/>
      <c r="I367" s="142"/>
      <c r="J367" s="142"/>
      <c r="K367" s="142"/>
      <c r="L367" s="142"/>
      <c r="M367" s="142"/>
      <c r="N367" s="142"/>
      <c r="O367" s="142"/>
      <c r="P367" s="142"/>
      <c r="Q367" s="142"/>
      <c r="R367" s="142"/>
      <c r="S367" s="142"/>
      <c r="T367" s="142"/>
    </row>
    <row r="368" spans="1:37" ht="20.100000000000001" customHeight="1" x14ac:dyDescent="0.25">
      <c r="A368" s="142"/>
      <c r="B368" s="142"/>
      <c r="C368" s="142"/>
      <c r="D368" s="142"/>
      <c r="E368" s="142"/>
      <c r="F368" s="142"/>
      <c r="G368" s="142"/>
      <c r="H368" s="142"/>
      <c r="I368" s="142"/>
      <c r="J368" s="142"/>
      <c r="K368" s="142"/>
      <c r="L368" s="142"/>
      <c r="M368" s="142"/>
      <c r="N368" s="142"/>
      <c r="O368" s="142"/>
      <c r="P368" s="142"/>
      <c r="Q368" s="142"/>
      <c r="R368" s="142"/>
      <c r="S368" s="142"/>
      <c r="T368" s="142"/>
    </row>
    <row r="369" spans="1:20" ht="20.100000000000001" customHeight="1" x14ac:dyDescent="0.25">
      <c r="A369" s="142"/>
      <c r="B369" s="142"/>
      <c r="C369" s="142"/>
      <c r="D369" s="142"/>
      <c r="E369" s="142"/>
      <c r="F369" s="142"/>
      <c r="G369" s="142"/>
      <c r="H369" s="142"/>
      <c r="I369" s="142"/>
      <c r="J369" s="142"/>
      <c r="K369" s="142"/>
      <c r="L369" s="142"/>
      <c r="M369" s="142"/>
      <c r="N369" s="142"/>
      <c r="O369" s="142"/>
      <c r="P369" s="142"/>
      <c r="Q369" s="142"/>
      <c r="R369" s="142"/>
      <c r="S369" s="142"/>
      <c r="T369" s="142"/>
    </row>
    <row r="370" spans="1:20" ht="20.100000000000001" customHeight="1" x14ac:dyDescent="0.25">
      <c r="A370" s="142"/>
      <c r="B370" s="142"/>
      <c r="C370" s="142"/>
      <c r="D370" s="142"/>
      <c r="E370" s="142"/>
      <c r="F370" s="142"/>
      <c r="G370" s="142"/>
      <c r="H370" s="142"/>
      <c r="I370" s="142"/>
      <c r="J370" s="142"/>
      <c r="K370" s="142"/>
      <c r="L370" s="142"/>
      <c r="M370" s="142"/>
      <c r="N370" s="142"/>
      <c r="O370" s="142"/>
      <c r="P370" s="142"/>
      <c r="Q370" s="142"/>
      <c r="R370" s="142"/>
      <c r="S370" s="142"/>
      <c r="T370" s="142"/>
    </row>
    <row r="371" spans="1:20" ht="20.100000000000001" customHeight="1" x14ac:dyDescent="0.25">
      <c r="A371" s="60"/>
      <c r="B371" s="60"/>
      <c r="C371" s="60"/>
      <c r="D371" s="60"/>
      <c r="E371" s="60"/>
      <c r="F371" s="60"/>
      <c r="G371" s="60"/>
      <c r="H371" s="60"/>
      <c r="I371" s="60"/>
      <c r="J371" s="60"/>
      <c r="K371" s="60"/>
      <c r="L371" s="60"/>
      <c r="M371" s="60"/>
      <c r="N371" s="60"/>
      <c r="O371" s="60"/>
      <c r="P371" s="60"/>
      <c r="Q371" s="60"/>
      <c r="R371" s="60"/>
    </row>
    <row r="372" spans="1:20" ht="39.950000000000003" customHeight="1" x14ac:dyDescent="0.25">
      <c r="A372" s="61" t="s">
        <v>17</v>
      </c>
      <c r="B372" s="192" t="s">
        <v>88</v>
      </c>
      <c r="C372" s="192"/>
      <c r="D372" s="192"/>
      <c r="E372" s="192"/>
      <c r="F372" s="192"/>
      <c r="G372" s="192"/>
      <c r="H372" s="192"/>
      <c r="I372" s="192"/>
      <c r="J372" s="192"/>
      <c r="K372" s="192"/>
      <c r="L372" s="192"/>
      <c r="M372" s="192" t="s">
        <v>427</v>
      </c>
      <c r="N372" s="192"/>
      <c r="O372" s="192" t="s">
        <v>428</v>
      </c>
      <c r="P372" s="192"/>
      <c r="Q372" s="192" t="s">
        <v>429</v>
      </c>
      <c r="R372" s="192"/>
      <c r="S372" s="192" t="s">
        <v>430</v>
      </c>
      <c r="T372" s="192"/>
    </row>
    <row r="373" spans="1:20" ht="20.100000000000001" customHeight="1" x14ac:dyDescent="0.25">
      <c r="A373" s="62" t="s">
        <v>431</v>
      </c>
      <c r="B373" s="117" t="s">
        <v>432</v>
      </c>
      <c r="C373" s="117"/>
      <c r="D373" s="117"/>
      <c r="E373" s="117"/>
      <c r="F373" s="117"/>
      <c r="G373" s="117"/>
      <c r="H373" s="117"/>
      <c r="I373" s="117"/>
      <c r="J373" s="117"/>
      <c r="K373" s="117"/>
      <c r="L373" s="117"/>
      <c r="M373" s="139">
        <v>0</v>
      </c>
      <c r="N373" s="139"/>
      <c r="O373" s="140">
        <f t="shared" ref="O373:O387" si="53">M373/$M$389</f>
        <v>0</v>
      </c>
      <c r="P373" s="140"/>
      <c r="Q373" s="141">
        <v>0.5</v>
      </c>
      <c r="R373" s="141"/>
      <c r="S373" s="141">
        <f t="shared" ref="S373:S382" si="54">M373*Q373</f>
        <v>0</v>
      </c>
      <c r="T373" s="141"/>
    </row>
    <row r="374" spans="1:20" ht="20.100000000000001" customHeight="1" x14ac:dyDescent="0.25">
      <c r="A374" s="63" t="s">
        <v>433</v>
      </c>
      <c r="B374" s="117" t="s">
        <v>434</v>
      </c>
      <c r="C374" s="117"/>
      <c r="D374" s="117"/>
      <c r="E374" s="117"/>
      <c r="F374" s="117"/>
      <c r="G374" s="117"/>
      <c r="H374" s="117"/>
      <c r="I374" s="117"/>
      <c r="J374" s="117"/>
      <c r="K374" s="117"/>
      <c r="L374" s="117"/>
      <c r="M374" s="139">
        <v>85</v>
      </c>
      <c r="N374" s="139"/>
      <c r="O374" s="140">
        <f t="shared" si="53"/>
        <v>0.32319391634980987</v>
      </c>
      <c r="P374" s="140"/>
      <c r="Q374" s="141">
        <v>1</v>
      </c>
      <c r="R374" s="141"/>
      <c r="S374" s="141">
        <f t="shared" si="54"/>
        <v>85</v>
      </c>
      <c r="T374" s="141"/>
    </row>
    <row r="375" spans="1:20" ht="20.100000000000001" customHeight="1" x14ac:dyDescent="0.25">
      <c r="A375" s="63" t="s">
        <v>435</v>
      </c>
      <c r="B375" s="117" t="s">
        <v>436</v>
      </c>
      <c r="C375" s="117"/>
      <c r="D375" s="117"/>
      <c r="E375" s="117"/>
      <c r="F375" s="117"/>
      <c r="G375" s="117"/>
      <c r="H375" s="117"/>
      <c r="I375" s="117"/>
      <c r="J375" s="117"/>
      <c r="K375" s="117"/>
      <c r="L375" s="117"/>
      <c r="M375" s="139">
        <v>12</v>
      </c>
      <c r="N375" s="139"/>
      <c r="O375" s="140">
        <f t="shared" si="53"/>
        <v>4.5627376425855515E-2</v>
      </c>
      <c r="P375" s="140"/>
      <c r="Q375" s="141">
        <v>1</v>
      </c>
      <c r="R375" s="141"/>
      <c r="S375" s="141">
        <f t="shared" si="54"/>
        <v>12</v>
      </c>
      <c r="T375" s="141"/>
    </row>
    <row r="376" spans="1:20" ht="20.100000000000001" customHeight="1" x14ac:dyDescent="0.25">
      <c r="A376" s="63" t="s">
        <v>437</v>
      </c>
      <c r="B376" s="117" t="s">
        <v>438</v>
      </c>
      <c r="C376" s="117"/>
      <c r="D376" s="117"/>
      <c r="E376" s="117"/>
      <c r="F376" s="117"/>
      <c r="G376" s="117"/>
      <c r="H376" s="117"/>
      <c r="I376" s="117"/>
      <c r="J376" s="117"/>
      <c r="K376" s="117"/>
      <c r="L376" s="117"/>
      <c r="M376" s="139">
        <v>0</v>
      </c>
      <c r="N376" s="139"/>
      <c r="O376" s="140">
        <f t="shared" si="53"/>
        <v>0</v>
      </c>
      <c r="P376" s="140"/>
      <c r="Q376" s="141">
        <v>0.75</v>
      </c>
      <c r="R376" s="141"/>
      <c r="S376" s="141">
        <f t="shared" si="54"/>
        <v>0</v>
      </c>
      <c r="T376" s="141"/>
    </row>
    <row r="377" spans="1:20" ht="20.100000000000001" customHeight="1" x14ac:dyDescent="0.25">
      <c r="A377" s="63" t="s">
        <v>439</v>
      </c>
      <c r="B377" s="117" t="s">
        <v>440</v>
      </c>
      <c r="C377" s="117"/>
      <c r="D377" s="117"/>
      <c r="E377" s="117"/>
      <c r="F377" s="117"/>
      <c r="G377" s="117"/>
      <c r="H377" s="117"/>
      <c r="I377" s="117"/>
      <c r="J377" s="117"/>
      <c r="K377" s="117"/>
      <c r="L377" s="117"/>
      <c r="M377" s="139">
        <v>0</v>
      </c>
      <c r="N377" s="139"/>
      <c r="O377" s="140">
        <f t="shared" si="53"/>
        <v>0</v>
      </c>
      <c r="P377" s="140"/>
      <c r="Q377" s="141">
        <v>0.4</v>
      </c>
      <c r="R377" s="141"/>
      <c r="S377" s="141">
        <f t="shared" si="54"/>
        <v>0</v>
      </c>
      <c r="T377" s="141"/>
    </row>
    <row r="378" spans="1:20" ht="20.100000000000001" customHeight="1" x14ac:dyDescent="0.25">
      <c r="A378" s="63" t="s">
        <v>441</v>
      </c>
      <c r="B378" s="117" t="s">
        <v>442</v>
      </c>
      <c r="C378" s="117"/>
      <c r="D378" s="117"/>
      <c r="E378" s="117"/>
      <c r="F378" s="117"/>
      <c r="G378" s="117"/>
      <c r="H378" s="117"/>
      <c r="I378" s="117"/>
      <c r="J378" s="117"/>
      <c r="K378" s="117"/>
      <c r="L378" s="117"/>
      <c r="M378" s="139">
        <v>16</v>
      </c>
      <c r="N378" s="139"/>
      <c r="O378" s="140">
        <f t="shared" si="53"/>
        <v>6.0836501901140684E-2</v>
      </c>
      <c r="P378" s="140"/>
      <c r="Q378" s="141">
        <v>0.75</v>
      </c>
      <c r="R378" s="141"/>
      <c r="S378" s="141">
        <f t="shared" si="54"/>
        <v>12</v>
      </c>
      <c r="T378" s="141"/>
    </row>
    <row r="379" spans="1:20" ht="20.100000000000001" customHeight="1" x14ac:dyDescent="0.25">
      <c r="A379" s="63" t="s">
        <v>443</v>
      </c>
      <c r="B379" s="117" t="s">
        <v>444</v>
      </c>
      <c r="C379" s="117"/>
      <c r="D379" s="117"/>
      <c r="E379" s="117"/>
      <c r="F379" s="117"/>
      <c r="G379" s="117"/>
      <c r="H379" s="117"/>
      <c r="I379" s="117"/>
      <c r="J379" s="117"/>
      <c r="K379" s="117"/>
      <c r="L379" s="117"/>
      <c r="M379" s="139">
        <v>0</v>
      </c>
      <c r="N379" s="139"/>
      <c r="O379" s="140">
        <f t="shared" si="53"/>
        <v>0</v>
      </c>
      <c r="P379" s="140"/>
      <c r="Q379" s="141">
        <v>0.3</v>
      </c>
      <c r="R379" s="141"/>
      <c r="S379" s="141">
        <f t="shared" si="54"/>
        <v>0</v>
      </c>
      <c r="T379" s="141"/>
    </row>
    <row r="380" spans="1:20" ht="20.100000000000001" customHeight="1" x14ac:dyDescent="0.25">
      <c r="A380" s="63" t="s">
        <v>445</v>
      </c>
      <c r="B380" s="117" t="s">
        <v>446</v>
      </c>
      <c r="C380" s="117"/>
      <c r="D380" s="117"/>
      <c r="E380" s="117"/>
      <c r="F380" s="117"/>
      <c r="G380" s="117"/>
      <c r="H380" s="117"/>
      <c r="I380" s="117"/>
      <c r="J380" s="117"/>
      <c r="K380" s="117"/>
      <c r="L380" s="117"/>
      <c r="M380" s="139">
        <v>0</v>
      </c>
      <c r="N380" s="139"/>
      <c r="O380" s="140">
        <f t="shared" si="53"/>
        <v>0</v>
      </c>
      <c r="P380" s="140"/>
      <c r="Q380" s="141">
        <v>0.05</v>
      </c>
      <c r="R380" s="141"/>
      <c r="S380" s="141">
        <f t="shared" si="54"/>
        <v>0</v>
      </c>
      <c r="T380" s="141"/>
    </row>
    <row r="381" spans="1:20" ht="20.100000000000001" customHeight="1" x14ac:dyDescent="0.25">
      <c r="A381" s="63" t="s">
        <v>447</v>
      </c>
      <c r="B381" s="117" t="s">
        <v>448</v>
      </c>
      <c r="C381" s="117"/>
      <c r="D381" s="117"/>
      <c r="E381" s="117"/>
      <c r="F381" s="117"/>
      <c r="G381" s="117"/>
      <c r="H381" s="117"/>
      <c r="I381" s="117"/>
      <c r="J381" s="117"/>
      <c r="K381" s="117"/>
      <c r="L381" s="117"/>
      <c r="M381" s="139">
        <v>120</v>
      </c>
      <c r="N381" s="139"/>
      <c r="O381" s="140">
        <f t="shared" si="53"/>
        <v>0.45627376425855515</v>
      </c>
      <c r="P381" s="140"/>
      <c r="Q381" s="141">
        <v>0</v>
      </c>
      <c r="R381" s="141"/>
      <c r="S381" s="141">
        <f t="shared" si="54"/>
        <v>0</v>
      </c>
      <c r="T381" s="141"/>
    </row>
    <row r="382" spans="1:20" ht="20.100000000000001" customHeight="1" x14ac:dyDescent="0.25">
      <c r="A382" s="98" t="s">
        <v>449</v>
      </c>
      <c r="B382" s="117" t="s">
        <v>450</v>
      </c>
      <c r="C382" s="117"/>
      <c r="D382" s="117"/>
      <c r="E382" s="117"/>
      <c r="F382" s="117"/>
      <c r="G382" s="117"/>
      <c r="H382" s="117"/>
      <c r="I382" s="117"/>
      <c r="J382" s="117"/>
      <c r="K382" s="117"/>
      <c r="L382" s="117"/>
      <c r="M382" s="197">
        <v>12</v>
      </c>
      <c r="N382" s="197"/>
      <c r="O382" s="198">
        <f t="shared" si="53"/>
        <v>4.5627376425855515E-2</v>
      </c>
      <c r="P382" s="198"/>
      <c r="Q382" s="199">
        <v>0.5</v>
      </c>
      <c r="R382" s="199"/>
      <c r="S382" s="200">
        <f t="shared" si="54"/>
        <v>6</v>
      </c>
      <c r="T382" s="200"/>
    </row>
    <row r="383" spans="1:20" ht="20.100000000000001" customHeight="1" x14ac:dyDescent="0.25">
      <c r="A383" s="63" t="s">
        <v>451</v>
      </c>
      <c r="B383" s="117" t="s">
        <v>452</v>
      </c>
      <c r="C383" s="117"/>
      <c r="D383" s="117"/>
      <c r="E383" s="117"/>
      <c r="F383" s="117"/>
      <c r="G383" s="117"/>
      <c r="H383" s="117"/>
      <c r="I383" s="117"/>
      <c r="J383" s="117"/>
      <c r="K383" s="117"/>
      <c r="L383" s="117"/>
      <c r="M383" s="139">
        <v>0</v>
      </c>
      <c r="N383" s="139"/>
      <c r="O383" s="198">
        <f t="shared" si="53"/>
        <v>0</v>
      </c>
      <c r="P383" s="198"/>
      <c r="Q383" s="141">
        <v>0.5</v>
      </c>
      <c r="R383" s="141"/>
      <c r="S383" s="141">
        <f>M383*Q383</f>
        <v>0</v>
      </c>
      <c r="T383" s="141"/>
    </row>
    <row r="384" spans="1:20" ht="20.100000000000001" customHeight="1" x14ac:dyDescent="0.25">
      <c r="A384" s="63" t="s">
        <v>453</v>
      </c>
      <c r="B384" s="117" t="s">
        <v>454</v>
      </c>
      <c r="C384" s="117"/>
      <c r="D384" s="117"/>
      <c r="E384" s="117"/>
      <c r="F384" s="117"/>
      <c r="G384" s="117"/>
      <c r="H384" s="117"/>
      <c r="I384" s="117"/>
      <c r="J384" s="117"/>
      <c r="K384" s="117"/>
      <c r="L384" s="117"/>
      <c r="M384" s="139">
        <v>0</v>
      </c>
      <c r="N384" s="139"/>
      <c r="O384" s="198">
        <f t="shared" si="53"/>
        <v>0</v>
      </c>
      <c r="P384" s="198"/>
      <c r="Q384" s="141">
        <v>0.5</v>
      </c>
      <c r="R384" s="141"/>
      <c r="S384" s="141">
        <f>M384*Q384</f>
        <v>0</v>
      </c>
      <c r="T384" s="141"/>
    </row>
    <row r="385" spans="1:20" ht="20.100000000000001" customHeight="1" x14ac:dyDescent="0.25">
      <c r="A385" s="63" t="s">
        <v>455</v>
      </c>
      <c r="B385" s="117" t="s">
        <v>456</v>
      </c>
      <c r="C385" s="117"/>
      <c r="D385" s="117"/>
      <c r="E385" s="117"/>
      <c r="F385" s="117"/>
      <c r="G385" s="117"/>
      <c r="H385" s="117"/>
      <c r="I385" s="117"/>
      <c r="J385" s="117"/>
      <c r="K385" s="117"/>
      <c r="L385" s="117"/>
      <c r="M385" s="139">
        <v>0</v>
      </c>
      <c r="N385" s="139"/>
      <c r="O385" s="198">
        <f t="shared" si="53"/>
        <v>0</v>
      </c>
      <c r="P385" s="198"/>
      <c r="Q385" s="141">
        <v>0.5</v>
      </c>
      <c r="R385" s="141"/>
      <c r="S385" s="141">
        <f>M385*Q385</f>
        <v>0</v>
      </c>
      <c r="T385" s="141"/>
    </row>
    <row r="386" spans="1:20" ht="20.100000000000001" customHeight="1" x14ac:dyDescent="0.25">
      <c r="A386" s="63" t="s">
        <v>457</v>
      </c>
      <c r="B386" s="117" t="s">
        <v>458</v>
      </c>
      <c r="C386" s="117"/>
      <c r="D386" s="117"/>
      <c r="E386" s="117"/>
      <c r="F386" s="117"/>
      <c r="G386" s="117"/>
      <c r="H386" s="117"/>
      <c r="I386" s="117"/>
      <c r="J386" s="117"/>
      <c r="K386" s="117"/>
      <c r="L386" s="117"/>
      <c r="M386" s="139">
        <v>0</v>
      </c>
      <c r="N386" s="139"/>
      <c r="O386" s="198">
        <f t="shared" si="53"/>
        <v>0</v>
      </c>
      <c r="P386" s="198"/>
      <c r="Q386" s="141">
        <v>0.5</v>
      </c>
      <c r="R386" s="141"/>
      <c r="S386" s="141">
        <f>M386*Q386</f>
        <v>0</v>
      </c>
      <c r="T386" s="141"/>
    </row>
    <row r="387" spans="1:20" ht="20.100000000000001" customHeight="1" x14ac:dyDescent="0.25">
      <c r="A387" s="63" t="s">
        <v>459</v>
      </c>
      <c r="B387" s="117" t="s">
        <v>460</v>
      </c>
      <c r="C387" s="117"/>
      <c r="D387" s="117"/>
      <c r="E387" s="117"/>
      <c r="F387" s="117"/>
      <c r="G387" s="117"/>
      <c r="H387" s="117"/>
      <c r="I387" s="117"/>
      <c r="J387" s="117"/>
      <c r="K387" s="117"/>
      <c r="L387" s="117"/>
      <c r="M387" s="139">
        <v>18</v>
      </c>
      <c r="N387" s="139"/>
      <c r="O387" s="140">
        <f t="shared" si="53"/>
        <v>6.8441064638783272E-2</v>
      </c>
      <c r="P387" s="140"/>
      <c r="Q387" s="141">
        <v>0.1</v>
      </c>
      <c r="R387" s="141"/>
      <c r="S387" s="141">
        <f>M387*Q387</f>
        <v>1.8</v>
      </c>
      <c r="T387" s="141"/>
    </row>
    <row r="388" spans="1:20" ht="20.100000000000001" customHeight="1" x14ac:dyDescent="0.25">
      <c r="A388" s="64"/>
      <c r="S388" s="75"/>
      <c r="T388" s="75"/>
    </row>
    <row r="389" spans="1:20" ht="20.100000000000001" customHeight="1" x14ac:dyDescent="0.25">
      <c r="B389" s="194" t="s">
        <v>461</v>
      </c>
      <c r="C389" s="194"/>
      <c r="D389" s="194"/>
      <c r="E389" s="194"/>
      <c r="F389" s="194"/>
      <c r="G389" s="194"/>
      <c r="H389" s="194"/>
      <c r="I389" s="194"/>
      <c r="J389" s="194"/>
      <c r="K389" s="194"/>
      <c r="L389" s="194"/>
      <c r="M389" s="193">
        <f>SUM(M373:M387)</f>
        <v>263</v>
      </c>
      <c r="N389" s="193"/>
      <c r="O389" s="59"/>
      <c r="P389" s="194" t="s">
        <v>462</v>
      </c>
      <c r="Q389" s="194"/>
      <c r="R389" s="194"/>
      <c r="S389" s="195">
        <f>SUM(S373:S387)</f>
        <v>116.8</v>
      </c>
      <c r="T389" s="195"/>
    </row>
    <row r="391" spans="1:20" ht="20.100000000000001" customHeight="1" x14ac:dyDescent="0.25">
      <c r="A391" s="148" t="s">
        <v>463</v>
      </c>
      <c r="B391" s="148"/>
      <c r="C391" s="148"/>
      <c r="D391" s="148"/>
      <c r="E391" s="148"/>
      <c r="F391" s="148"/>
      <c r="G391" s="148"/>
      <c r="H391" s="148"/>
      <c r="I391" s="148"/>
      <c r="J391" s="148"/>
      <c r="K391" s="148"/>
      <c r="L391" s="148"/>
      <c r="M391" s="148"/>
      <c r="N391" s="148"/>
      <c r="O391" s="201">
        <f>S389</f>
        <v>116.8</v>
      </c>
      <c r="P391" s="201"/>
      <c r="Q391" s="201"/>
      <c r="R391" s="201"/>
      <c r="S391" s="201"/>
      <c r="T391" s="201"/>
    </row>
    <row r="392" spans="1:20" ht="20.100000000000001" customHeight="1" x14ac:dyDescent="0.25">
      <c r="A392" s="138" t="s">
        <v>402</v>
      </c>
      <c r="B392" s="138"/>
      <c r="C392" s="138"/>
      <c r="D392" s="138"/>
      <c r="E392" s="138"/>
      <c r="F392" s="138"/>
      <c r="G392" s="138"/>
      <c r="H392" s="138"/>
      <c r="I392" s="138"/>
      <c r="J392" s="138"/>
      <c r="K392" s="138"/>
      <c r="L392" s="138"/>
      <c r="M392" s="138"/>
      <c r="N392" s="138"/>
      <c r="O392" s="147">
        <f>Q362</f>
        <v>1997.51</v>
      </c>
      <c r="P392" s="147"/>
      <c r="Q392" s="147"/>
      <c r="R392" s="147"/>
      <c r="S392" s="147"/>
      <c r="T392" s="147"/>
    </row>
    <row r="393" spans="1:20" ht="20.100000000000001" customHeight="1" x14ac:dyDescent="0.25">
      <c r="A393" s="138" t="s">
        <v>403</v>
      </c>
      <c r="B393" s="138"/>
      <c r="C393" s="138"/>
      <c r="D393" s="138"/>
      <c r="E393" s="138"/>
      <c r="F393" s="138"/>
      <c r="G393" s="138"/>
      <c r="H393" s="138"/>
      <c r="I393" s="138"/>
      <c r="J393" s="138"/>
      <c r="K393" s="138"/>
      <c r="L393" s="138"/>
      <c r="M393" s="138"/>
      <c r="N393" s="138"/>
      <c r="O393" s="196">
        <f>Q362*O391</f>
        <v>233309.16800000001</v>
      </c>
      <c r="P393" s="196"/>
      <c r="Q393" s="196"/>
      <c r="R393" s="196"/>
      <c r="S393" s="196"/>
      <c r="T393" s="196"/>
    </row>
    <row r="394" spans="1:20" ht="20.100000000000001" customHeight="1" x14ac:dyDescent="0.25">
      <c r="A394" s="60"/>
      <c r="B394" s="60"/>
      <c r="C394" s="60"/>
      <c r="D394" s="60"/>
      <c r="E394" s="60"/>
      <c r="F394" s="60"/>
      <c r="G394" s="60"/>
      <c r="H394" s="60"/>
      <c r="I394" s="60"/>
      <c r="J394" s="60"/>
      <c r="K394" s="60"/>
      <c r="L394" s="60"/>
      <c r="M394" s="60"/>
      <c r="N394" s="60"/>
      <c r="O394" s="60"/>
      <c r="P394" s="60"/>
      <c r="Q394" s="60"/>
      <c r="R394" s="60"/>
      <c r="S394" s="60"/>
      <c r="T394" s="60"/>
    </row>
    <row r="396" spans="1:20" ht="20.100000000000001" customHeight="1" x14ac:dyDescent="0.25">
      <c r="A396" s="203" t="s">
        <v>404</v>
      </c>
      <c r="B396" s="203"/>
      <c r="C396" s="203"/>
      <c r="D396" s="203"/>
      <c r="E396" s="203"/>
      <c r="F396" s="203"/>
      <c r="G396" s="203"/>
      <c r="H396" s="203"/>
      <c r="I396" s="203"/>
      <c r="J396" s="203"/>
      <c r="K396" s="203"/>
      <c r="L396" s="203"/>
      <c r="M396" s="203"/>
      <c r="N396" s="203"/>
      <c r="O396" s="203"/>
      <c r="P396" s="203"/>
      <c r="Q396" s="203"/>
      <c r="R396" s="203"/>
      <c r="S396" s="203"/>
      <c r="T396" s="203"/>
    </row>
    <row r="398" spans="1:20" ht="20.100000000000001" customHeight="1" x14ac:dyDescent="0.25">
      <c r="A398" s="148" t="s">
        <v>405</v>
      </c>
      <c r="B398" s="148"/>
      <c r="C398" s="148"/>
      <c r="D398" s="148"/>
      <c r="E398" s="148"/>
      <c r="F398" s="148"/>
      <c r="G398" s="202">
        <v>10</v>
      </c>
      <c r="H398" s="202"/>
      <c r="I398" s="202"/>
      <c r="J398" s="202"/>
    </row>
    <row r="399" spans="1:20" ht="20.100000000000001" customHeight="1" x14ac:dyDescent="0.25">
      <c r="A399" s="148" t="s">
        <v>406</v>
      </c>
      <c r="B399" s="148"/>
      <c r="C399" s="148"/>
      <c r="D399" s="148"/>
      <c r="E399" s="148"/>
      <c r="F399" s="148"/>
      <c r="G399" s="204">
        <v>70</v>
      </c>
      <c r="H399" s="204"/>
      <c r="I399" s="204"/>
      <c r="J399" s="204"/>
    </row>
    <row r="400" spans="1:20" ht="20.100000000000001" customHeight="1" x14ac:dyDescent="0.25">
      <c r="A400" s="138" t="s">
        <v>407</v>
      </c>
      <c r="B400" s="138"/>
      <c r="C400" s="138"/>
      <c r="D400" s="138"/>
      <c r="E400" s="138"/>
      <c r="F400" s="138"/>
      <c r="G400" s="205">
        <f>G398/G399</f>
        <v>0.14285714285714285</v>
      </c>
      <c r="H400" s="205"/>
      <c r="I400" s="205"/>
      <c r="J400" s="205"/>
    </row>
    <row r="402" spans="1:31" s="100" customFormat="1" ht="20.100000000000001" customHeight="1" x14ac:dyDescent="0.25">
      <c r="A402" s="210" t="s">
        <v>464</v>
      </c>
      <c r="B402" s="210"/>
      <c r="C402" s="210"/>
      <c r="D402" s="210"/>
      <c r="E402" s="210"/>
      <c r="F402" s="210"/>
      <c r="G402" s="210"/>
      <c r="H402" s="210"/>
      <c r="I402" s="210"/>
      <c r="J402" s="210"/>
      <c r="K402" s="210"/>
      <c r="L402" s="210"/>
      <c r="M402" s="210"/>
      <c r="N402" s="210"/>
      <c r="O402" s="210"/>
      <c r="P402" s="210"/>
      <c r="Q402" s="210"/>
      <c r="R402" s="210"/>
      <c r="S402" s="210"/>
      <c r="T402" s="210"/>
      <c r="U402" s="99"/>
      <c r="V402" s="99"/>
      <c r="AE402" s="99"/>
    </row>
    <row r="403" spans="1:31" s="100" customFormat="1" ht="20.100000000000001" customHeight="1" x14ac:dyDescent="0.25">
      <c r="A403" s="99"/>
      <c r="B403" s="99"/>
      <c r="C403" s="99"/>
      <c r="D403" s="99"/>
      <c r="E403" s="99"/>
      <c r="F403" s="99"/>
      <c r="G403" s="99"/>
      <c r="H403" s="99"/>
      <c r="I403" s="99"/>
      <c r="J403" s="99"/>
      <c r="K403" s="99"/>
      <c r="L403" s="99"/>
      <c r="M403" s="99"/>
      <c r="N403" s="99"/>
      <c r="O403" s="99"/>
      <c r="P403" s="99"/>
      <c r="Q403" s="99"/>
      <c r="R403" s="99"/>
      <c r="S403" s="99"/>
      <c r="T403" s="99"/>
      <c r="U403" s="99"/>
      <c r="V403" s="99"/>
      <c r="AE403" s="99"/>
    </row>
    <row r="404" spans="1:31" s="100" customFormat="1" ht="20.100000000000001" customHeight="1" x14ac:dyDescent="0.25">
      <c r="A404" s="130" t="s">
        <v>465</v>
      </c>
      <c r="B404" s="130"/>
      <c r="C404" s="130"/>
      <c r="D404" s="130"/>
      <c r="E404" s="130"/>
      <c r="F404" s="130"/>
      <c r="G404" s="130"/>
      <c r="H404" s="130"/>
      <c r="I404" s="130"/>
      <c r="J404" s="130"/>
      <c r="K404" s="130"/>
      <c r="L404" s="130"/>
      <c r="M404" s="130"/>
      <c r="N404" s="130"/>
      <c r="O404" s="130"/>
      <c r="P404" s="130"/>
      <c r="Q404" s="130"/>
      <c r="R404" s="130"/>
      <c r="S404" s="130"/>
      <c r="T404" s="130"/>
      <c r="U404" s="99"/>
      <c r="V404" s="99"/>
      <c r="AE404" s="99"/>
    </row>
    <row r="405" spans="1:31" s="100" customFormat="1" ht="20.100000000000001" customHeight="1" x14ac:dyDescent="0.25">
      <c r="A405" s="130"/>
      <c r="B405" s="130"/>
      <c r="C405" s="130"/>
      <c r="D405" s="130"/>
      <c r="E405" s="130"/>
      <c r="F405" s="130"/>
      <c r="G405" s="130"/>
      <c r="H405" s="130"/>
      <c r="I405" s="130"/>
      <c r="J405" s="130"/>
      <c r="K405" s="130"/>
      <c r="L405" s="130"/>
      <c r="M405" s="130"/>
      <c r="N405" s="130"/>
      <c r="O405" s="130"/>
      <c r="P405" s="130"/>
      <c r="Q405" s="130"/>
      <c r="R405" s="130"/>
      <c r="S405" s="130"/>
      <c r="T405" s="130"/>
      <c r="U405" s="99"/>
      <c r="V405" s="99"/>
      <c r="AE405" s="99"/>
    </row>
    <row r="406" spans="1:31" s="100" customFormat="1" ht="20.100000000000001" customHeight="1" x14ac:dyDescent="0.25">
      <c r="A406" s="130"/>
      <c r="B406" s="130"/>
      <c r="C406" s="130"/>
      <c r="D406" s="130"/>
      <c r="E406" s="130"/>
      <c r="F406" s="130"/>
      <c r="G406" s="130"/>
      <c r="H406" s="130"/>
      <c r="I406" s="130"/>
      <c r="J406" s="130"/>
      <c r="K406" s="130"/>
      <c r="L406" s="130"/>
      <c r="M406" s="130"/>
      <c r="N406" s="130"/>
      <c r="O406" s="130"/>
      <c r="P406" s="130"/>
      <c r="Q406" s="130"/>
      <c r="R406" s="130"/>
      <c r="S406" s="130"/>
      <c r="T406" s="130"/>
      <c r="U406" s="99"/>
      <c r="V406" s="99"/>
      <c r="AE406" s="99"/>
    </row>
    <row r="407" spans="1:31" s="100" customFormat="1" ht="20.100000000000001" customHeight="1" x14ac:dyDescent="0.2">
      <c r="A407" s="99"/>
      <c r="B407" s="99"/>
      <c r="C407" s="99"/>
      <c r="D407" s="99"/>
      <c r="E407" s="99"/>
      <c r="F407" s="101"/>
      <c r="G407" s="99"/>
      <c r="H407" s="99"/>
      <c r="I407" s="99"/>
      <c r="J407" s="99"/>
      <c r="K407" s="99"/>
      <c r="L407" s="99"/>
      <c r="M407" s="99"/>
      <c r="N407" s="99"/>
      <c r="O407" s="99"/>
      <c r="P407" s="99"/>
      <c r="Q407" s="99"/>
      <c r="R407" s="99"/>
      <c r="S407" s="99"/>
      <c r="T407" s="99"/>
      <c r="U407" s="99"/>
      <c r="V407" s="99"/>
      <c r="AE407" s="99"/>
    </row>
    <row r="408" spans="1:31" s="100" customFormat="1" ht="20.100000000000001" customHeight="1" x14ac:dyDescent="0.25">
      <c r="A408" s="99"/>
      <c r="B408" s="99"/>
      <c r="C408" s="99"/>
      <c r="D408" s="99"/>
      <c r="E408" s="99"/>
      <c r="F408" s="99"/>
      <c r="G408" s="99"/>
      <c r="H408" s="99"/>
      <c r="I408" s="131" t="s">
        <v>466</v>
      </c>
      <c r="J408" s="131"/>
      <c r="K408" s="131"/>
      <c r="L408" s="132">
        <f>((1/2)*((G398/G399+(G398^2/G399^2)))*100)</f>
        <v>8.1632653061224492</v>
      </c>
      <c r="M408" s="132"/>
      <c r="N408" s="132"/>
      <c r="O408" s="99"/>
      <c r="P408" s="99"/>
      <c r="Q408" s="99"/>
      <c r="R408" s="99"/>
      <c r="S408" s="99"/>
      <c r="T408" s="99"/>
      <c r="U408" s="99"/>
      <c r="V408" s="99"/>
      <c r="AE408" s="99"/>
    </row>
    <row r="409" spans="1:31" s="100" customFormat="1" ht="20.100000000000001" customHeight="1" x14ac:dyDescent="0.25">
      <c r="A409" s="99"/>
      <c r="B409" s="99"/>
      <c r="C409" s="99"/>
      <c r="D409" s="99"/>
      <c r="E409" s="99"/>
      <c r="F409" s="99"/>
      <c r="G409" s="99"/>
      <c r="H409" s="99"/>
      <c r="I409" s="99"/>
      <c r="J409" s="99"/>
      <c r="K409" s="99"/>
      <c r="L409" s="99"/>
      <c r="M409" s="99"/>
      <c r="N409" s="99"/>
      <c r="O409" s="99"/>
      <c r="P409" s="99"/>
      <c r="Q409" s="99"/>
      <c r="R409" s="99"/>
      <c r="S409" s="99"/>
      <c r="T409" s="99"/>
      <c r="U409" s="99"/>
      <c r="V409" s="99"/>
      <c r="AE409" s="99"/>
    </row>
    <row r="410" spans="1:31" s="100" customFormat="1" ht="20.100000000000001" customHeight="1" x14ac:dyDescent="0.25">
      <c r="A410" s="99"/>
      <c r="B410" s="99"/>
      <c r="C410" s="99"/>
      <c r="D410" s="99"/>
      <c r="E410" s="99"/>
      <c r="F410" s="99"/>
      <c r="G410" s="99"/>
      <c r="H410" s="99"/>
      <c r="I410" s="99"/>
      <c r="J410" s="99"/>
      <c r="K410" s="99"/>
      <c r="L410" s="99"/>
      <c r="M410" s="99"/>
      <c r="N410" s="99"/>
      <c r="O410" s="99"/>
      <c r="P410" s="99"/>
      <c r="Q410" s="99"/>
      <c r="R410" s="99"/>
      <c r="S410" s="99"/>
      <c r="T410" s="99"/>
      <c r="U410" s="99"/>
      <c r="V410" s="99"/>
      <c r="AE410" s="99"/>
    </row>
    <row r="411" spans="1:31" s="100" customFormat="1" ht="20.100000000000001" customHeight="1" x14ac:dyDescent="0.25">
      <c r="A411" s="99"/>
      <c r="B411" s="99"/>
      <c r="C411" s="99"/>
      <c r="D411" s="99"/>
      <c r="E411" s="99"/>
      <c r="F411" s="99"/>
      <c r="G411" s="99"/>
      <c r="H411" s="99"/>
      <c r="I411" s="99"/>
      <c r="J411" s="99"/>
      <c r="K411" s="99"/>
      <c r="L411" s="99"/>
      <c r="M411" s="99"/>
      <c r="N411" s="99"/>
      <c r="O411" s="99"/>
      <c r="P411" s="99"/>
      <c r="Q411" s="99"/>
      <c r="R411" s="99"/>
      <c r="S411" s="99"/>
      <c r="T411" s="99"/>
      <c r="U411" s="99"/>
      <c r="V411" s="99"/>
      <c r="AE411" s="99"/>
    </row>
    <row r="412" spans="1:31" s="100" customFormat="1" ht="20.100000000000001" customHeight="1" x14ac:dyDescent="0.25">
      <c r="A412" s="99"/>
      <c r="B412" s="99"/>
      <c r="C412" s="99"/>
      <c r="D412" s="99"/>
      <c r="E412" s="99"/>
      <c r="F412" s="99"/>
      <c r="G412" s="99"/>
      <c r="H412" s="99"/>
      <c r="I412" s="99"/>
      <c r="J412" s="99"/>
      <c r="K412" s="99"/>
      <c r="L412" s="99"/>
      <c r="M412" s="99"/>
      <c r="N412" s="99"/>
      <c r="O412" s="99"/>
      <c r="P412" s="99"/>
      <c r="Q412" s="99"/>
      <c r="R412" s="99"/>
      <c r="S412" s="99"/>
      <c r="T412" s="99"/>
      <c r="U412" s="99"/>
      <c r="V412" s="99"/>
      <c r="AE412" s="99"/>
    </row>
    <row r="413" spans="1:31" s="100" customFormat="1" ht="20.100000000000001" customHeight="1" x14ac:dyDescent="0.25">
      <c r="A413" s="99"/>
      <c r="B413" s="99"/>
      <c r="C413" s="99"/>
      <c r="D413" s="99"/>
      <c r="E413" s="99"/>
      <c r="F413" s="99"/>
      <c r="G413" s="99"/>
      <c r="H413" s="99"/>
      <c r="I413" s="99"/>
      <c r="J413" s="99"/>
      <c r="K413" s="99"/>
      <c r="L413" s="99"/>
      <c r="M413" s="99"/>
      <c r="N413" s="99"/>
      <c r="O413" s="99"/>
      <c r="P413" s="99"/>
      <c r="Q413" s="99"/>
      <c r="R413" s="99"/>
      <c r="S413" s="99"/>
      <c r="T413" s="99"/>
      <c r="U413" s="99"/>
      <c r="V413" s="99"/>
      <c r="AE413" s="99"/>
    </row>
    <row r="414" spans="1:31" s="100" customFormat="1" ht="20.100000000000001" customHeight="1" x14ac:dyDescent="0.25">
      <c r="A414" s="130" t="s">
        <v>467</v>
      </c>
      <c r="B414" s="130"/>
      <c r="C414" s="130"/>
      <c r="D414" s="130"/>
      <c r="E414" s="130"/>
      <c r="F414" s="130"/>
      <c r="G414" s="130"/>
      <c r="H414" s="130"/>
      <c r="I414" s="130"/>
      <c r="J414" s="130"/>
      <c r="K414" s="130"/>
      <c r="L414" s="130"/>
      <c r="M414" s="130"/>
      <c r="N414" s="130"/>
      <c r="O414" s="130"/>
      <c r="P414" s="130"/>
      <c r="Q414" s="130"/>
      <c r="R414" s="130"/>
      <c r="S414" s="130"/>
      <c r="T414" s="130"/>
      <c r="U414" s="99"/>
      <c r="V414" s="99"/>
      <c r="AE414" s="99"/>
    </row>
    <row r="415" spans="1:31" s="100" customFormat="1" ht="20.100000000000001" customHeight="1" x14ac:dyDescent="0.25">
      <c r="A415" s="130"/>
      <c r="B415" s="130"/>
      <c r="C415" s="130"/>
      <c r="D415" s="130"/>
      <c r="E415" s="130"/>
      <c r="F415" s="130"/>
      <c r="G415" s="130"/>
      <c r="H415" s="130"/>
      <c r="I415" s="130"/>
      <c r="J415" s="130"/>
      <c r="K415" s="130"/>
      <c r="L415" s="130"/>
      <c r="M415" s="130"/>
      <c r="N415" s="130"/>
      <c r="O415" s="130"/>
      <c r="P415" s="130"/>
      <c r="Q415" s="130"/>
      <c r="R415" s="130"/>
      <c r="S415" s="130"/>
      <c r="T415" s="130"/>
      <c r="U415" s="99"/>
      <c r="V415" s="99"/>
      <c r="AE415" s="99"/>
    </row>
    <row r="416" spans="1:31" s="100" customFormat="1" ht="20.100000000000001" customHeight="1" x14ac:dyDescent="0.25">
      <c r="A416" s="133"/>
      <c r="B416" s="133"/>
      <c r="C416" s="133"/>
      <c r="D416" s="133"/>
      <c r="E416" s="133"/>
      <c r="F416" s="133"/>
      <c r="G416" s="133"/>
      <c r="H416" s="133"/>
      <c r="I416" s="133"/>
      <c r="J416" s="133"/>
      <c r="K416" s="133"/>
      <c r="L416" s="133"/>
      <c r="M416" s="133"/>
      <c r="N416" s="133"/>
      <c r="O416" s="133"/>
      <c r="P416" s="133"/>
      <c r="Q416" s="133"/>
      <c r="R416" s="133"/>
      <c r="S416" s="133"/>
      <c r="T416" s="133"/>
      <c r="U416" s="99"/>
      <c r="V416" s="99"/>
      <c r="AE416" s="99"/>
    </row>
    <row r="417" spans="1:31" s="100" customFormat="1" ht="39.950000000000003" customHeight="1" x14ac:dyDescent="0.25">
      <c r="A417" s="135" t="s">
        <v>17</v>
      </c>
      <c r="B417" s="137"/>
      <c r="C417" s="135" t="s">
        <v>468</v>
      </c>
      <c r="D417" s="136"/>
      <c r="E417" s="136"/>
      <c r="F417" s="136"/>
      <c r="G417" s="136"/>
      <c r="H417" s="136"/>
      <c r="I417" s="136"/>
      <c r="J417" s="136"/>
      <c r="K417" s="136"/>
      <c r="L417" s="136"/>
      <c r="M417" s="136"/>
      <c r="N417" s="136"/>
      <c r="O417" s="136"/>
      <c r="P417" s="136"/>
      <c r="Q417" s="136"/>
      <c r="R417" s="137"/>
      <c r="S417" s="129" t="s">
        <v>469</v>
      </c>
      <c r="T417" s="129"/>
      <c r="U417" s="99"/>
      <c r="V417" s="99"/>
      <c r="AE417" s="99"/>
    </row>
    <row r="418" spans="1:31" s="100" customFormat="1" ht="20.100000000000001" customHeight="1" x14ac:dyDescent="0.25">
      <c r="A418" s="143">
        <v>1</v>
      </c>
      <c r="B418" s="144"/>
      <c r="C418" s="184" t="s">
        <v>470</v>
      </c>
      <c r="D418" s="185"/>
      <c r="E418" s="185"/>
      <c r="F418" s="185"/>
      <c r="G418" s="185"/>
      <c r="H418" s="185"/>
      <c r="I418" s="185"/>
      <c r="J418" s="185"/>
      <c r="K418" s="185"/>
      <c r="L418" s="185"/>
      <c r="M418" s="185"/>
      <c r="N418" s="185"/>
      <c r="O418" s="185"/>
      <c r="P418" s="185"/>
      <c r="Q418" s="185"/>
      <c r="R418" s="186"/>
      <c r="S418" s="134">
        <v>0.04</v>
      </c>
      <c r="T418" s="134"/>
      <c r="U418" s="99"/>
      <c r="V418" s="99"/>
      <c r="AE418" s="99"/>
    </row>
    <row r="419" spans="1:31" s="100" customFormat="1" ht="20.100000000000001" customHeight="1" x14ac:dyDescent="0.25">
      <c r="A419" s="145"/>
      <c r="B419" s="146"/>
      <c r="C419" s="187"/>
      <c r="D419" s="188"/>
      <c r="E419" s="188"/>
      <c r="F419" s="188"/>
      <c r="G419" s="188"/>
      <c r="H419" s="188"/>
      <c r="I419" s="188"/>
      <c r="J419" s="188"/>
      <c r="K419" s="188"/>
      <c r="L419" s="188"/>
      <c r="M419" s="188"/>
      <c r="N419" s="188"/>
      <c r="O419" s="188"/>
      <c r="P419" s="188"/>
      <c r="Q419" s="188"/>
      <c r="R419" s="189"/>
      <c r="S419" s="134"/>
      <c r="T419" s="134"/>
      <c r="U419" s="99"/>
      <c r="V419" s="99"/>
      <c r="AE419" s="99"/>
    </row>
    <row r="420" spans="1:31" s="100" customFormat="1" ht="20.100000000000001" customHeight="1" x14ac:dyDescent="0.25">
      <c r="A420" s="127">
        <v>2</v>
      </c>
      <c r="B420" s="128"/>
      <c r="C420" s="118" t="s">
        <v>471</v>
      </c>
      <c r="D420" s="119"/>
      <c r="E420" s="119"/>
      <c r="F420" s="119"/>
      <c r="G420" s="119"/>
      <c r="H420" s="119"/>
      <c r="I420" s="119"/>
      <c r="J420" s="119"/>
      <c r="K420" s="119"/>
      <c r="L420" s="119"/>
      <c r="M420" s="119"/>
      <c r="N420" s="119"/>
      <c r="O420" s="119"/>
      <c r="P420" s="119"/>
      <c r="Q420" s="119"/>
      <c r="R420" s="120"/>
      <c r="S420" s="134">
        <v>7.0000000000000001E-3</v>
      </c>
      <c r="T420" s="134"/>
      <c r="U420" s="99"/>
      <c r="V420" s="99"/>
      <c r="AE420" s="99"/>
    </row>
    <row r="421" spans="1:31" s="100" customFormat="1" ht="20.100000000000001" customHeight="1" x14ac:dyDescent="0.25">
      <c r="A421" s="127">
        <v>3</v>
      </c>
      <c r="B421" s="128"/>
      <c r="C421" s="118" t="s">
        <v>472</v>
      </c>
      <c r="D421" s="119"/>
      <c r="E421" s="119"/>
      <c r="F421" s="119"/>
      <c r="G421" s="119"/>
      <c r="H421" s="119"/>
      <c r="I421" s="119"/>
      <c r="J421" s="119"/>
      <c r="K421" s="119"/>
      <c r="L421" s="119"/>
      <c r="M421" s="119"/>
      <c r="N421" s="119"/>
      <c r="O421" s="119"/>
      <c r="P421" s="119"/>
      <c r="Q421" s="119"/>
      <c r="R421" s="120"/>
      <c r="S421" s="134">
        <v>0.15</v>
      </c>
      <c r="T421" s="134"/>
      <c r="U421" s="99"/>
      <c r="V421" s="99"/>
      <c r="AE421" s="99"/>
    </row>
    <row r="422" spans="1:31" s="100" customFormat="1" ht="20.100000000000001" customHeight="1" x14ac:dyDescent="0.25">
      <c r="A422" s="127">
        <v>4</v>
      </c>
      <c r="B422" s="128"/>
      <c r="C422" s="118" t="s">
        <v>473</v>
      </c>
      <c r="D422" s="119"/>
      <c r="E422" s="119"/>
      <c r="F422" s="119"/>
      <c r="G422" s="119"/>
      <c r="H422" s="119"/>
      <c r="I422" s="119"/>
      <c r="J422" s="119"/>
      <c r="K422" s="119"/>
      <c r="L422" s="119"/>
      <c r="M422" s="119"/>
      <c r="N422" s="119"/>
      <c r="O422" s="119"/>
      <c r="P422" s="119"/>
      <c r="Q422" s="119"/>
      <c r="R422" s="120"/>
      <c r="S422" s="134">
        <v>0.1</v>
      </c>
      <c r="T422" s="134"/>
      <c r="U422" s="99"/>
      <c r="V422" s="99"/>
      <c r="AE422" s="99"/>
    </row>
    <row r="423" spans="1:31" s="100" customFormat="1" ht="20.100000000000001" customHeight="1" x14ac:dyDescent="0.25">
      <c r="A423" s="127">
        <v>5</v>
      </c>
      <c r="B423" s="128"/>
      <c r="C423" s="118" t="s">
        <v>474</v>
      </c>
      <c r="D423" s="119"/>
      <c r="E423" s="119"/>
      <c r="F423" s="119"/>
      <c r="G423" s="119"/>
      <c r="H423" s="119"/>
      <c r="I423" s="119"/>
      <c r="J423" s="119"/>
      <c r="K423" s="119"/>
      <c r="L423" s="119"/>
      <c r="M423" s="119"/>
      <c r="N423" s="119"/>
      <c r="O423" s="119"/>
      <c r="P423" s="119"/>
      <c r="Q423" s="119"/>
      <c r="R423" s="120"/>
      <c r="S423" s="134">
        <v>7.4999999999999997E-2</v>
      </c>
      <c r="T423" s="134"/>
      <c r="U423" s="99"/>
      <c r="V423" s="99"/>
      <c r="AE423" s="99"/>
    </row>
    <row r="424" spans="1:31" s="100" customFormat="1" ht="20.100000000000001" customHeight="1" x14ac:dyDescent="0.25">
      <c r="A424" s="127">
        <v>6</v>
      </c>
      <c r="B424" s="128"/>
      <c r="C424" s="118" t="s">
        <v>475</v>
      </c>
      <c r="D424" s="119"/>
      <c r="E424" s="119"/>
      <c r="F424" s="119"/>
      <c r="G424" s="119"/>
      <c r="H424" s="119"/>
      <c r="I424" s="119"/>
      <c r="J424" s="119"/>
      <c r="K424" s="119"/>
      <c r="L424" s="119"/>
      <c r="M424" s="119"/>
      <c r="N424" s="119"/>
      <c r="O424" s="119"/>
      <c r="P424" s="119"/>
      <c r="Q424" s="119"/>
      <c r="R424" s="120"/>
      <c r="S424" s="134">
        <v>0.04</v>
      </c>
      <c r="T424" s="134"/>
      <c r="U424" s="99"/>
      <c r="V424" s="99"/>
      <c r="AE424" s="99"/>
    </row>
    <row r="425" spans="1:31" s="100" customFormat="1" ht="20.100000000000001" customHeight="1" x14ac:dyDescent="0.25">
      <c r="A425" s="127">
        <v>7</v>
      </c>
      <c r="B425" s="128"/>
      <c r="C425" s="118" t="s">
        <v>476</v>
      </c>
      <c r="D425" s="119"/>
      <c r="E425" s="119"/>
      <c r="F425" s="119"/>
      <c r="G425" s="119"/>
      <c r="H425" s="119"/>
      <c r="I425" s="119"/>
      <c r="J425" s="119"/>
      <c r="K425" s="119"/>
      <c r="L425" s="119"/>
      <c r="M425" s="119"/>
      <c r="N425" s="119"/>
      <c r="O425" s="119"/>
      <c r="P425" s="119"/>
      <c r="Q425" s="119"/>
      <c r="R425" s="120"/>
      <c r="S425" s="134">
        <v>0.12</v>
      </c>
      <c r="T425" s="134"/>
      <c r="U425" s="99"/>
      <c r="V425" s="99"/>
      <c r="AE425" s="99"/>
    </row>
    <row r="426" spans="1:31" s="100" customFormat="1" ht="20.100000000000001" customHeight="1" x14ac:dyDescent="0.25">
      <c r="A426" s="143">
        <v>8</v>
      </c>
      <c r="B426" s="144"/>
      <c r="C426" s="184" t="s">
        <v>477</v>
      </c>
      <c r="D426" s="185"/>
      <c r="E426" s="185"/>
      <c r="F426" s="185"/>
      <c r="G426" s="185"/>
      <c r="H426" s="185"/>
      <c r="I426" s="185"/>
      <c r="J426" s="185"/>
      <c r="K426" s="185"/>
      <c r="L426" s="185"/>
      <c r="M426" s="185"/>
      <c r="N426" s="185"/>
      <c r="O426" s="185"/>
      <c r="P426" s="185"/>
      <c r="Q426" s="185"/>
      <c r="R426" s="186"/>
      <c r="S426" s="134">
        <v>0.08</v>
      </c>
      <c r="T426" s="134"/>
      <c r="U426" s="99"/>
      <c r="V426" s="99"/>
      <c r="AE426" s="99"/>
    </row>
    <row r="427" spans="1:31" s="100" customFormat="1" ht="20.100000000000001" customHeight="1" x14ac:dyDescent="0.25">
      <c r="A427" s="145"/>
      <c r="B427" s="146"/>
      <c r="C427" s="187"/>
      <c r="D427" s="188"/>
      <c r="E427" s="188"/>
      <c r="F427" s="188"/>
      <c r="G427" s="188"/>
      <c r="H427" s="188"/>
      <c r="I427" s="188"/>
      <c r="J427" s="188"/>
      <c r="K427" s="188"/>
      <c r="L427" s="188"/>
      <c r="M427" s="188"/>
      <c r="N427" s="188"/>
      <c r="O427" s="188"/>
      <c r="P427" s="188"/>
      <c r="Q427" s="188"/>
      <c r="R427" s="189"/>
      <c r="S427" s="134"/>
      <c r="T427" s="134"/>
      <c r="U427" s="99"/>
      <c r="V427" s="99"/>
      <c r="AE427" s="99"/>
    </row>
    <row r="428" spans="1:31" s="100" customFormat="1" ht="20.100000000000001" customHeight="1" x14ac:dyDescent="0.25">
      <c r="A428" s="127">
        <v>9</v>
      </c>
      <c r="B428" s="128"/>
      <c r="C428" s="118" t="s">
        <v>478</v>
      </c>
      <c r="D428" s="119"/>
      <c r="E428" s="119"/>
      <c r="F428" s="119"/>
      <c r="G428" s="119"/>
      <c r="H428" s="119"/>
      <c r="I428" s="119"/>
      <c r="J428" s="119"/>
      <c r="K428" s="119"/>
      <c r="L428" s="119"/>
      <c r="M428" s="119"/>
      <c r="N428" s="119"/>
      <c r="O428" s="119"/>
      <c r="P428" s="119"/>
      <c r="Q428" s="119"/>
      <c r="R428" s="120"/>
      <c r="S428" s="134">
        <v>7.0000000000000007E-2</v>
      </c>
      <c r="T428" s="134"/>
      <c r="U428" s="99"/>
      <c r="V428" s="99"/>
      <c r="AE428" s="99"/>
    </row>
    <row r="429" spans="1:31" s="100" customFormat="1" ht="20.100000000000001" customHeight="1" x14ac:dyDescent="0.25">
      <c r="A429" s="127">
        <v>10</v>
      </c>
      <c r="B429" s="128"/>
      <c r="C429" s="118" t="s">
        <v>479</v>
      </c>
      <c r="D429" s="119"/>
      <c r="E429" s="119"/>
      <c r="F429" s="119"/>
      <c r="G429" s="119"/>
      <c r="H429" s="119"/>
      <c r="I429" s="119"/>
      <c r="J429" s="119"/>
      <c r="K429" s="119"/>
      <c r="L429" s="119"/>
      <c r="M429" s="119"/>
      <c r="N429" s="119"/>
      <c r="O429" s="119"/>
      <c r="P429" s="119"/>
      <c r="Q429" s="119"/>
      <c r="R429" s="120"/>
      <c r="S429" s="134">
        <v>0.03</v>
      </c>
      <c r="T429" s="134"/>
      <c r="U429" s="99"/>
      <c r="V429" s="99"/>
      <c r="AE429" s="99"/>
    </row>
    <row r="430" spans="1:31" s="100" customFormat="1" ht="20.100000000000001" customHeight="1" x14ac:dyDescent="0.25">
      <c r="A430" s="127">
        <v>11</v>
      </c>
      <c r="B430" s="128"/>
      <c r="C430" s="118" t="s">
        <v>480</v>
      </c>
      <c r="D430" s="119"/>
      <c r="E430" s="119"/>
      <c r="F430" s="119"/>
      <c r="G430" s="119"/>
      <c r="H430" s="119"/>
      <c r="I430" s="119"/>
      <c r="J430" s="119"/>
      <c r="K430" s="119"/>
      <c r="L430" s="119"/>
      <c r="M430" s="119"/>
      <c r="N430" s="119"/>
      <c r="O430" s="119"/>
      <c r="P430" s="119"/>
      <c r="Q430" s="119"/>
      <c r="R430" s="120"/>
      <c r="S430" s="134">
        <v>4.4999999999999998E-2</v>
      </c>
      <c r="T430" s="134"/>
      <c r="U430" s="99"/>
      <c r="V430" s="99"/>
      <c r="AE430" s="99"/>
    </row>
    <row r="431" spans="1:31" s="100" customFormat="1" ht="20.100000000000001" customHeight="1" x14ac:dyDescent="0.25">
      <c r="A431" s="127">
        <v>12</v>
      </c>
      <c r="B431" s="128"/>
      <c r="C431" s="118" t="s">
        <v>481</v>
      </c>
      <c r="D431" s="119"/>
      <c r="E431" s="119"/>
      <c r="F431" s="119"/>
      <c r="G431" s="119"/>
      <c r="H431" s="119"/>
      <c r="I431" s="119"/>
      <c r="J431" s="119"/>
      <c r="K431" s="119"/>
      <c r="L431" s="119"/>
      <c r="M431" s="119"/>
      <c r="N431" s="119"/>
      <c r="O431" s="119"/>
      <c r="P431" s="119"/>
      <c r="Q431" s="119"/>
      <c r="R431" s="120"/>
      <c r="S431" s="134">
        <v>0.01</v>
      </c>
      <c r="T431" s="134"/>
      <c r="U431" s="99"/>
      <c r="V431" s="99"/>
      <c r="AE431" s="99"/>
    </row>
    <row r="432" spans="1:31" s="100" customFormat="1" ht="20.100000000000001" customHeight="1" x14ac:dyDescent="0.25">
      <c r="A432" s="127">
        <v>13</v>
      </c>
      <c r="B432" s="128"/>
      <c r="C432" s="118" t="s">
        <v>482</v>
      </c>
      <c r="D432" s="119"/>
      <c r="E432" s="119"/>
      <c r="F432" s="119"/>
      <c r="G432" s="119"/>
      <c r="H432" s="119"/>
      <c r="I432" s="119"/>
      <c r="J432" s="119"/>
      <c r="K432" s="119"/>
      <c r="L432" s="119"/>
      <c r="M432" s="119"/>
      <c r="N432" s="119"/>
      <c r="O432" s="119"/>
      <c r="P432" s="119"/>
      <c r="Q432" s="119"/>
      <c r="R432" s="120"/>
      <c r="S432" s="134">
        <v>7.0000000000000007E-2</v>
      </c>
      <c r="T432" s="134"/>
      <c r="U432" s="99"/>
      <c r="V432" s="99"/>
      <c r="AE432" s="99"/>
    </row>
    <row r="433" spans="1:31" s="100" customFormat="1" ht="20.100000000000001" customHeight="1" x14ac:dyDescent="0.25">
      <c r="A433" s="127">
        <v>14</v>
      </c>
      <c r="B433" s="128"/>
      <c r="C433" s="118" t="s">
        <v>483</v>
      </c>
      <c r="D433" s="119"/>
      <c r="E433" s="119"/>
      <c r="F433" s="119"/>
      <c r="G433" s="119"/>
      <c r="H433" s="119"/>
      <c r="I433" s="119"/>
      <c r="J433" s="119"/>
      <c r="K433" s="119"/>
      <c r="L433" s="119"/>
      <c r="M433" s="119"/>
      <c r="N433" s="119"/>
      <c r="O433" s="119"/>
      <c r="P433" s="119"/>
      <c r="Q433" s="119"/>
      <c r="R433" s="120"/>
      <c r="S433" s="134">
        <v>1.4999999999999999E-2</v>
      </c>
      <c r="T433" s="134"/>
      <c r="U433" s="99"/>
      <c r="V433" s="99"/>
      <c r="AE433" s="99"/>
    </row>
    <row r="434" spans="1:31" s="100" customFormat="1" ht="20.100000000000001" customHeight="1" x14ac:dyDescent="0.25">
      <c r="A434" s="127">
        <v>15</v>
      </c>
      <c r="B434" s="128"/>
      <c r="C434" s="118" t="s">
        <v>484</v>
      </c>
      <c r="D434" s="119"/>
      <c r="E434" s="119"/>
      <c r="F434" s="119"/>
      <c r="G434" s="119"/>
      <c r="H434" s="119"/>
      <c r="I434" s="119"/>
      <c r="J434" s="119"/>
      <c r="K434" s="119"/>
      <c r="L434" s="119"/>
      <c r="M434" s="119"/>
      <c r="N434" s="119"/>
      <c r="O434" s="119"/>
      <c r="P434" s="119"/>
      <c r="Q434" s="119"/>
      <c r="R434" s="120"/>
      <c r="S434" s="134">
        <v>3.3000000000000002E-2</v>
      </c>
      <c r="T434" s="134"/>
      <c r="U434" s="99"/>
      <c r="V434" s="99"/>
      <c r="AE434" s="99"/>
    </row>
    <row r="435" spans="1:31" s="100" customFormat="1" ht="20.100000000000001" customHeight="1" x14ac:dyDescent="0.25">
      <c r="A435" s="127">
        <v>16</v>
      </c>
      <c r="B435" s="128"/>
      <c r="C435" s="118" t="s">
        <v>485</v>
      </c>
      <c r="D435" s="119"/>
      <c r="E435" s="119"/>
      <c r="F435" s="119"/>
      <c r="G435" s="119"/>
      <c r="H435" s="119"/>
      <c r="I435" s="119"/>
      <c r="J435" s="119"/>
      <c r="K435" s="119"/>
      <c r="L435" s="119"/>
      <c r="M435" s="119"/>
      <c r="N435" s="119"/>
      <c r="O435" s="119"/>
      <c r="P435" s="119"/>
      <c r="Q435" s="119"/>
      <c r="R435" s="120"/>
      <c r="S435" s="134">
        <v>1.7000000000000001E-2</v>
      </c>
      <c r="T435" s="134"/>
      <c r="U435" s="99"/>
      <c r="V435" s="99"/>
      <c r="AE435" s="99"/>
    </row>
    <row r="436" spans="1:31" s="100" customFormat="1" ht="20.100000000000001" customHeight="1" x14ac:dyDescent="0.25">
      <c r="A436" s="127">
        <v>17</v>
      </c>
      <c r="B436" s="128"/>
      <c r="C436" s="118" t="s">
        <v>486</v>
      </c>
      <c r="D436" s="119"/>
      <c r="E436" s="119"/>
      <c r="F436" s="119"/>
      <c r="G436" s="119"/>
      <c r="H436" s="119"/>
      <c r="I436" s="119"/>
      <c r="J436" s="119"/>
      <c r="K436" s="119"/>
      <c r="L436" s="119"/>
      <c r="M436" s="119"/>
      <c r="N436" s="119"/>
      <c r="O436" s="119"/>
      <c r="P436" s="119"/>
      <c r="Q436" s="119"/>
      <c r="R436" s="120"/>
      <c r="S436" s="134">
        <v>1.4999999999999999E-2</v>
      </c>
      <c r="T436" s="134"/>
      <c r="U436" s="99"/>
      <c r="V436" s="99"/>
      <c r="AE436" s="99"/>
    </row>
    <row r="437" spans="1:31" s="100" customFormat="1" ht="20.100000000000001" customHeight="1" x14ac:dyDescent="0.25">
      <c r="A437" s="127">
        <v>18</v>
      </c>
      <c r="B437" s="128"/>
      <c r="C437" s="118" t="s">
        <v>487</v>
      </c>
      <c r="D437" s="119"/>
      <c r="E437" s="119"/>
      <c r="F437" s="119"/>
      <c r="G437" s="119"/>
      <c r="H437" s="119"/>
      <c r="I437" s="119"/>
      <c r="J437" s="119"/>
      <c r="K437" s="119"/>
      <c r="L437" s="119"/>
      <c r="M437" s="119"/>
      <c r="N437" s="119"/>
      <c r="O437" s="119"/>
      <c r="P437" s="119"/>
      <c r="Q437" s="119"/>
      <c r="R437" s="120"/>
      <c r="S437" s="134">
        <v>3.5000000000000003E-2</v>
      </c>
      <c r="T437" s="134"/>
      <c r="U437" s="99"/>
      <c r="V437" s="99"/>
      <c r="AE437" s="99"/>
    </row>
    <row r="438" spans="1:31" s="100" customFormat="1" ht="20.100000000000001" customHeight="1" x14ac:dyDescent="0.25">
      <c r="A438" s="127">
        <v>19</v>
      </c>
      <c r="B438" s="128"/>
      <c r="C438" s="118" t="s">
        <v>488</v>
      </c>
      <c r="D438" s="119"/>
      <c r="E438" s="119"/>
      <c r="F438" s="119"/>
      <c r="G438" s="119"/>
      <c r="H438" s="119"/>
      <c r="I438" s="119"/>
      <c r="J438" s="119"/>
      <c r="K438" s="119"/>
      <c r="L438" s="119"/>
      <c r="M438" s="119"/>
      <c r="N438" s="119"/>
      <c r="O438" s="119"/>
      <c r="P438" s="119"/>
      <c r="Q438" s="119"/>
      <c r="R438" s="120"/>
      <c r="S438" s="134">
        <v>0.01</v>
      </c>
      <c r="T438" s="134"/>
      <c r="U438" s="99"/>
      <c r="V438" s="99"/>
      <c r="AE438" s="99"/>
    </row>
    <row r="439" spans="1:31" s="100" customFormat="1" ht="20.100000000000001" customHeight="1" x14ac:dyDescent="0.25">
      <c r="A439" s="143">
        <v>20</v>
      </c>
      <c r="B439" s="144"/>
      <c r="C439" s="184" t="s">
        <v>489</v>
      </c>
      <c r="D439" s="185"/>
      <c r="E439" s="185"/>
      <c r="F439" s="185"/>
      <c r="G439" s="185"/>
      <c r="H439" s="185"/>
      <c r="I439" s="185"/>
      <c r="J439" s="185"/>
      <c r="K439" s="185"/>
      <c r="L439" s="185"/>
      <c r="M439" s="185"/>
      <c r="N439" s="185"/>
      <c r="O439" s="185"/>
      <c r="P439" s="185"/>
      <c r="Q439" s="185"/>
      <c r="R439" s="186"/>
      <c r="S439" s="134">
        <v>2.5000000000000001E-2</v>
      </c>
      <c r="T439" s="134"/>
      <c r="U439" s="99"/>
      <c r="V439" s="99"/>
      <c r="AE439" s="99"/>
    </row>
    <row r="440" spans="1:31" s="100" customFormat="1" ht="20.100000000000001" customHeight="1" x14ac:dyDescent="0.25">
      <c r="A440" s="145"/>
      <c r="B440" s="146"/>
      <c r="C440" s="187"/>
      <c r="D440" s="188"/>
      <c r="E440" s="188"/>
      <c r="F440" s="188"/>
      <c r="G440" s="188"/>
      <c r="H440" s="188"/>
      <c r="I440" s="188"/>
      <c r="J440" s="188"/>
      <c r="K440" s="188"/>
      <c r="L440" s="188"/>
      <c r="M440" s="188"/>
      <c r="N440" s="188"/>
      <c r="O440" s="188"/>
      <c r="P440" s="188"/>
      <c r="Q440" s="188"/>
      <c r="R440" s="189"/>
      <c r="S440" s="134"/>
      <c r="T440" s="134"/>
      <c r="U440" s="99"/>
      <c r="V440" s="99"/>
      <c r="AE440" s="99"/>
    </row>
    <row r="441" spans="1:31" s="100" customFormat="1" ht="20.100000000000001" customHeight="1" x14ac:dyDescent="0.25">
      <c r="A441" s="127">
        <v>21</v>
      </c>
      <c r="B441" s="128"/>
      <c r="C441" s="118" t="s">
        <v>490</v>
      </c>
      <c r="D441" s="119"/>
      <c r="E441" s="119"/>
      <c r="F441" s="119"/>
      <c r="G441" s="119"/>
      <c r="H441" s="119"/>
      <c r="I441" s="119"/>
      <c r="J441" s="119"/>
      <c r="K441" s="119"/>
      <c r="L441" s="119"/>
      <c r="M441" s="119"/>
      <c r="N441" s="119"/>
      <c r="O441" s="119"/>
      <c r="P441" s="119"/>
      <c r="Q441" s="119"/>
      <c r="R441" s="120"/>
      <c r="S441" s="134">
        <v>1.2999999999999999E-2</v>
      </c>
      <c r="T441" s="134"/>
      <c r="U441" s="99"/>
      <c r="V441" s="99"/>
      <c r="AE441" s="99"/>
    </row>
    <row r="442" spans="1:31" s="100" customFormat="1" ht="20.100000000000001" customHeight="1" x14ac:dyDescent="0.25">
      <c r="A442" s="99"/>
      <c r="B442" s="99"/>
      <c r="C442" s="99"/>
      <c r="D442" s="99"/>
      <c r="E442" s="99"/>
      <c r="F442" s="99"/>
      <c r="G442" s="99"/>
      <c r="H442" s="99"/>
      <c r="I442" s="99"/>
      <c r="J442" s="99"/>
      <c r="K442" s="99"/>
      <c r="L442" s="99"/>
      <c r="M442" s="99"/>
      <c r="N442" s="99"/>
      <c r="O442" s="99"/>
      <c r="P442" s="99"/>
      <c r="Q442" s="99"/>
      <c r="R442" s="99"/>
      <c r="S442" s="99"/>
      <c r="T442" s="99"/>
      <c r="U442" s="99"/>
      <c r="V442" s="99"/>
      <c r="AE442" s="99"/>
    </row>
    <row r="443" spans="1:31" s="100" customFormat="1" ht="20.100000000000001" customHeight="1" x14ac:dyDescent="0.2">
      <c r="A443" s="99"/>
      <c r="B443" s="99"/>
      <c r="C443" s="99"/>
      <c r="D443" s="99"/>
      <c r="E443" s="102"/>
      <c r="F443" s="102"/>
      <c r="G443" s="102"/>
      <c r="H443" s="102"/>
      <c r="I443" s="102"/>
      <c r="J443" s="102"/>
      <c r="K443" s="102"/>
      <c r="L443" s="102"/>
      <c r="M443" s="102"/>
      <c r="N443" s="102"/>
      <c r="O443" s="102"/>
      <c r="P443" s="102"/>
      <c r="Q443" s="102"/>
      <c r="R443" s="102"/>
      <c r="S443" s="102"/>
      <c r="T443" s="102"/>
      <c r="U443" s="99"/>
      <c r="V443" s="99"/>
      <c r="AE443" s="99"/>
    </row>
    <row r="444" spans="1:31" s="100" customFormat="1" ht="39.950000000000003" customHeight="1" x14ac:dyDescent="0.25">
      <c r="A444" s="129" t="s">
        <v>17</v>
      </c>
      <c r="B444" s="129"/>
      <c r="C444" s="129" t="s">
        <v>469</v>
      </c>
      <c r="D444" s="129"/>
      <c r="E444" s="129" t="s">
        <v>303</v>
      </c>
      <c r="F444" s="129"/>
      <c r="G444" s="129" t="s">
        <v>88</v>
      </c>
      <c r="H444" s="129"/>
      <c r="I444" s="129"/>
      <c r="J444" s="129"/>
      <c r="K444" s="129"/>
      <c r="L444" s="129"/>
      <c r="M444" s="129"/>
      <c r="N444" s="129"/>
      <c r="O444" s="129" t="s">
        <v>491</v>
      </c>
      <c r="P444" s="129"/>
      <c r="Q444" s="129"/>
      <c r="R444" s="129" t="s">
        <v>492</v>
      </c>
      <c r="S444" s="129"/>
      <c r="T444" s="129"/>
      <c r="U444" s="99"/>
      <c r="V444" s="99"/>
      <c r="AE444" s="99"/>
    </row>
    <row r="445" spans="1:31" s="100" customFormat="1" ht="20.100000000000001" customHeight="1" x14ac:dyDescent="0.2">
      <c r="A445" s="178">
        <v>1</v>
      </c>
      <c r="B445" s="178"/>
      <c r="C445" s="172">
        <v>0.04</v>
      </c>
      <c r="D445" s="172"/>
      <c r="E445" s="122" t="s">
        <v>307</v>
      </c>
      <c r="F445" s="122"/>
      <c r="G445" s="116" t="str">
        <f t="shared" ref="G445:G465" si="55">VLOOKUP(E445,$V$447:$X$455,3,0)</f>
        <v>Novo</v>
      </c>
      <c r="H445" s="116"/>
      <c r="I445" s="116"/>
      <c r="J445" s="116"/>
      <c r="K445" s="116"/>
      <c r="L445" s="116"/>
      <c r="M445" s="116"/>
      <c r="N445" s="116"/>
      <c r="O445" s="125">
        <f t="shared" ref="O445:O465" si="56">VLOOKUP(E445,$V$447:$X$455,2,0)</f>
        <v>0</v>
      </c>
      <c r="P445" s="125"/>
      <c r="Q445" s="125"/>
      <c r="R445" s="126">
        <f t="shared" ref="R445:R465" si="57">C445*O445</f>
        <v>0</v>
      </c>
      <c r="S445" s="126"/>
      <c r="T445" s="126"/>
      <c r="U445" s="99"/>
      <c r="V445" s="99"/>
      <c r="AE445" s="99"/>
    </row>
    <row r="446" spans="1:31" s="100" customFormat="1" ht="20.100000000000001" customHeight="1" x14ac:dyDescent="0.2">
      <c r="A446" s="178">
        <v>2</v>
      </c>
      <c r="B446" s="178"/>
      <c r="C446" s="172">
        <v>7.0000000000000001E-3</v>
      </c>
      <c r="D446" s="172"/>
      <c r="E446" s="122" t="s">
        <v>307</v>
      </c>
      <c r="F446" s="122"/>
      <c r="G446" s="116" t="str">
        <f t="shared" si="55"/>
        <v>Novo</v>
      </c>
      <c r="H446" s="116"/>
      <c r="I446" s="116"/>
      <c r="J446" s="116"/>
      <c r="K446" s="116"/>
      <c r="L446" s="116"/>
      <c r="M446" s="116"/>
      <c r="N446" s="116"/>
      <c r="O446" s="125">
        <f t="shared" si="56"/>
        <v>0</v>
      </c>
      <c r="P446" s="125"/>
      <c r="Q446" s="125"/>
      <c r="R446" s="126">
        <f t="shared" si="57"/>
        <v>0</v>
      </c>
      <c r="S446" s="126"/>
      <c r="T446" s="126"/>
      <c r="U446" s="99"/>
      <c r="AE446" s="99"/>
    </row>
    <row r="447" spans="1:31" s="100" customFormat="1" ht="20.100000000000001" customHeight="1" x14ac:dyDescent="0.2">
      <c r="A447" s="178">
        <v>3</v>
      </c>
      <c r="B447" s="178"/>
      <c r="C447" s="172">
        <v>0.15</v>
      </c>
      <c r="D447" s="172"/>
      <c r="E447" s="122" t="s">
        <v>307</v>
      </c>
      <c r="F447" s="122"/>
      <c r="G447" s="116" t="str">
        <f t="shared" si="55"/>
        <v>Novo</v>
      </c>
      <c r="H447" s="116"/>
      <c r="I447" s="116"/>
      <c r="J447" s="116"/>
      <c r="K447" s="116"/>
      <c r="L447" s="116"/>
      <c r="M447" s="116"/>
      <c r="N447" s="116"/>
      <c r="O447" s="125">
        <f t="shared" si="56"/>
        <v>0</v>
      </c>
      <c r="P447" s="125"/>
      <c r="Q447" s="125"/>
      <c r="R447" s="126">
        <f t="shared" si="57"/>
        <v>0</v>
      </c>
      <c r="S447" s="126"/>
      <c r="T447" s="126"/>
      <c r="U447" s="99"/>
      <c r="V447" s="100" t="s">
        <v>307</v>
      </c>
      <c r="W447" s="100">
        <v>0</v>
      </c>
      <c r="X447" s="100" t="s">
        <v>262</v>
      </c>
      <c r="AE447" s="99"/>
    </row>
    <row r="448" spans="1:31" s="100" customFormat="1" ht="20.100000000000001" customHeight="1" x14ac:dyDescent="0.2">
      <c r="A448" s="178">
        <v>4</v>
      </c>
      <c r="B448" s="178"/>
      <c r="C448" s="172">
        <v>0.1</v>
      </c>
      <c r="D448" s="172"/>
      <c r="E448" s="122" t="s">
        <v>307</v>
      </c>
      <c r="F448" s="122"/>
      <c r="G448" s="116" t="str">
        <f t="shared" si="55"/>
        <v>Novo</v>
      </c>
      <c r="H448" s="116"/>
      <c r="I448" s="116"/>
      <c r="J448" s="116"/>
      <c r="K448" s="116"/>
      <c r="L448" s="116"/>
      <c r="M448" s="116"/>
      <c r="N448" s="116"/>
      <c r="O448" s="125">
        <f t="shared" si="56"/>
        <v>0</v>
      </c>
      <c r="P448" s="125"/>
      <c r="Q448" s="125"/>
      <c r="R448" s="126">
        <f t="shared" si="57"/>
        <v>0</v>
      </c>
      <c r="S448" s="126"/>
      <c r="T448" s="126"/>
      <c r="U448" s="99"/>
      <c r="V448" s="100" t="s">
        <v>309</v>
      </c>
      <c r="W448" s="100">
        <v>0.32</v>
      </c>
      <c r="X448" s="100" t="s">
        <v>310</v>
      </c>
      <c r="AE448" s="99"/>
    </row>
    <row r="449" spans="1:31" s="100" customFormat="1" ht="20.100000000000001" customHeight="1" x14ac:dyDescent="0.2">
      <c r="A449" s="178">
        <v>5</v>
      </c>
      <c r="B449" s="178"/>
      <c r="C449" s="172">
        <v>7.4999999999999997E-2</v>
      </c>
      <c r="D449" s="172"/>
      <c r="E449" s="122" t="s">
        <v>307</v>
      </c>
      <c r="F449" s="122"/>
      <c r="G449" s="116" t="str">
        <f t="shared" si="55"/>
        <v>Novo</v>
      </c>
      <c r="H449" s="116"/>
      <c r="I449" s="116"/>
      <c r="J449" s="116"/>
      <c r="K449" s="116"/>
      <c r="L449" s="116"/>
      <c r="M449" s="116"/>
      <c r="N449" s="116"/>
      <c r="O449" s="125">
        <f t="shared" si="56"/>
        <v>0</v>
      </c>
      <c r="P449" s="125"/>
      <c r="Q449" s="125"/>
      <c r="R449" s="126">
        <f t="shared" si="57"/>
        <v>0</v>
      </c>
      <c r="S449" s="126"/>
      <c r="T449" s="126"/>
      <c r="U449" s="99"/>
      <c r="V449" s="100" t="s">
        <v>312</v>
      </c>
      <c r="W449" s="100">
        <v>2.52</v>
      </c>
      <c r="X449" s="100" t="s">
        <v>7</v>
      </c>
      <c r="AE449" s="99"/>
    </row>
    <row r="450" spans="1:31" s="100" customFormat="1" ht="20.100000000000001" customHeight="1" x14ac:dyDescent="0.2">
      <c r="A450" s="178">
        <v>6</v>
      </c>
      <c r="B450" s="178"/>
      <c r="C450" s="172">
        <v>0.04</v>
      </c>
      <c r="D450" s="172"/>
      <c r="E450" s="122" t="s">
        <v>307</v>
      </c>
      <c r="F450" s="122"/>
      <c r="G450" s="116" t="str">
        <f t="shared" si="55"/>
        <v>Novo</v>
      </c>
      <c r="H450" s="116"/>
      <c r="I450" s="116"/>
      <c r="J450" s="116"/>
      <c r="K450" s="116"/>
      <c r="L450" s="116"/>
      <c r="M450" s="116"/>
      <c r="N450" s="116"/>
      <c r="O450" s="125">
        <f t="shared" si="56"/>
        <v>0</v>
      </c>
      <c r="P450" s="125"/>
      <c r="Q450" s="125"/>
      <c r="R450" s="126">
        <f t="shared" si="57"/>
        <v>0</v>
      </c>
      <c r="S450" s="126"/>
      <c r="T450" s="126"/>
      <c r="U450" s="99"/>
      <c r="V450" s="100" t="s">
        <v>314</v>
      </c>
      <c r="W450" s="100">
        <v>8.09</v>
      </c>
      <c r="X450" s="100" t="s">
        <v>315</v>
      </c>
      <c r="AE450" s="99"/>
    </row>
    <row r="451" spans="1:31" s="100" customFormat="1" ht="20.100000000000001" customHeight="1" x14ac:dyDescent="0.2">
      <c r="A451" s="178">
        <v>7</v>
      </c>
      <c r="B451" s="178"/>
      <c r="C451" s="172">
        <v>0.12</v>
      </c>
      <c r="D451" s="172"/>
      <c r="E451" s="122" t="s">
        <v>307</v>
      </c>
      <c r="F451" s="122"/>
      <c r="G451" s="116" t="str">
        <f t="shared" si="55"/>
        <v>Novo</v>
      </c>
      <c r="H451" s="116"/>
      <c r="I451" s="116"/>
      <c r="J451" s="116"/>
      <c r="K451" s="116"/>
      <c r="L451" s="116"/>
      <c r="M451" s="116"/>
      <c r="N451" s="116"/>
      <c r="O451" s="125">
        <f t="shared" si="56"/>
        <v>0</v>
      </c>
      <c r="P451" s="125"/>
      <c r="Q451" s="125"/>
      <c r="R451" s="126">
        <f t="shared" si="57"/>
        <v>0</v>
      </c>
      <c r="S451" s="126"/>
      <c r="T451" s="126"/>
      <c r="U451" s="99"/>
      <c r="V451" s="100" t="s">
        <v>317</v>
      </c>
      <c r="W451" s="100">
        <v>18.100000000000001</v>
      </c>
      <c r="X451" s="100" t="s">
        <v>318</v>
      </c>
      <c r="AE451" s="99"/>
    </row>
    <row r="452" spans="1:31" s="100" customFormat="1" ht="20.100000000000001" customHeight="1" x14ac:dyDescent="0.2">
      <c r="A452" s="178">
        <v>8</v>
      </c>
      <c r="B452" s="178"/>
      <c r="C452" s="172">
        <v>0.08</v>
      </c>
      <c r="D452" s="172"/>
      <c r="E452" s="122" t="s">
        <v>309</v>
      </c>
      <c r="F452" s="122"/>
      <c r="G452" s="116" t="str">
        <f t="shared" si="55"/>
        <v>Entre novo e regular</v>
      </c>
      <c r="H452" s="116"/>
      <c r="I452" s="116"/>
      <c r="J452" s="116"/>
      <c r="K452" s="116"/>
      <c r="L452" s="116"/>
      <c r="M452" s="116"/>
      <c r="N452" s="116"/>
      <c r="O452" s="125">
        <f t="shared" si="56"/>
        <v>0.32</v>
      </c>
      <c r="P452" s="125"/>
      <c r="Q452" s="125"/>
      <c r="R452" s="126">
        <f t="shared" si="57"/>
        <v>2.5600000000000001E-2</v>
      </c>
      <c r="S452" s="126"/>
      <c r="T452" s="126"/>
      <c r="U452" s="99"/>
      <c r="V452" s="100" t="s">
        <v>320</v>
      </c>
      <c r="W452" s="100">
        <v>33.200000000000003</v>
      </c>
      <c r="X452" s="100" t="s">
        <v>321</v>
      </c>
      <c r="AE452" s="99"/>
    </row>
    <row r="453" spans="1:31" s="100" customFormat="1" ht="20.100000000000001" customHeight="1" x14ac:dyDescent="0.2">
      <c r="A453" s="178">
        <v>9</v>
      </c>
      <c r="B453" s="178"/>
      <c r="C453" s="172">
        <v>7.0000000000000007E-2</v>
      </c>
      <c r="D453" s="172"/>
      <c r="E453" s="122" t="s">
        <v>307</v>
      </c>
      <c r="F453" s="122"/>
      <c r="G453" s="116" t="str">
        <f t="shared" si="55"/>
        <v>Novo</v>
      </c>
      <c r="H453" s="116"/>
      <c r="I453" s="116"/>
      <c r="J453" s="116"/>
      <c r="K453" s="116"/>
      <c r="L453" s="116"/>
      <c r="M453" s="116"/>
      <c r="N453" s="116"/>
      <c r="O453" s="125">
        <f t="shared" si="56"/>
        <v>0</v>
      </c>
      <c r="P453" s="125"/>
      <c r="Q453" s="125"/>
      <c r="R453" s="126">
        <f t="shared" si="57"/>
        <v>0</v>
      </c>
      <c r="S453" s="126"/>
      <c r="T453" s="126"/>
      <c r="U453" s="99"/>
      <c r="V453" s="100" t="s">
        <v>323</v>
      </c>
      <c r="W453" s="100">
        <v>52.6</v>
      </c>
      <c r="X453" s="100" t="s">
        <v>324</v>
      </c>
      <c r="AE453" s="99"/>
    </row>
    <row r="454" spans="1:31" s="100" customFormat="1" ht="20.100000000000001" customHeight="1" x14ac:dyDescent="0.2">
      <c r="A454" s="178">
        <v>10</v>
      </c>
      <c r="B454" s="178"/>
      <c r="C454" s="172">
        <v>0.03</v>
      </c>
      <c r="D454" s="172"/>
      <c r="E454" s="122" t="s">
        <v>307</v>
      </c>
      <c r="F454" s="122"/>
      <c r="G454" s="116" t="str">
        <f t="shared" si="55"/>
        <v>Novo</v>
      </c>
      <c r="H454" s="116"/>
      <c r="I454" s="116"/>
      <c r="J454" s="116"/>
      <c r="K454" s="116"/>
      <c r="L454" s="116"/>
      <c r="M454" s="116"/>
      <c r="N454" s="116"/>
      <c r="O454" s="125">
        <f t="shared" si="56"/>
        <v>0</v>
      </c>
      <c r="P454" s="125"/>
      <c r="Q454" s="125"/>
      <c r="R454" s="126">
        <f t="shared" si="57"/>
        <v>0</v>
      </c>
      <c r="S454" s="126"/>
      <c r="T454" s="126"/>
      <c r="U454" s="99"/>
      <c r="V454" s="100" t="s">
        <v>326</v>
      </c>
      <c r="W454" s="100">
        <v>75.2</v>
      </c>
      <c r="X454" s="100" t="s">
        <v>327</v>
      </c>
      <c r="AE454" s="99"/>
    </row>
    <row r="455" spans="1:31" s="100" customFormat="1" ht="20.100000000000001" customHeight="1" x14ac:dyDescent="0.2">
      <c r="A455" s="178">
        <v>11</v>
      </c>
      <c r="B455" s="178"/>
      <c r="C455" s="172">
        <v>4.4999999999999998E-2</v>
      </c>
      <c r="D455" s="172"/>
      <c r="E455" s="122" t="s">
        <v>83</v>
      </c>
      <c r="F455" s="122"/>
      <c r="G455" s="116" t="str">
        <f t="shared" si="55"/>
        <v>Sem valor</v>
      </c>
      <c r="H455" s="116"/>
      <c r="I455" s="116"/>
      <c r="J455" s="116"/>
      <c r="K455" s="116"/>
      <c r="L455" s="116"/>
      <c r="M455" s="116"/>
      <c r="N455" s="116"/>
      <c r="O455" s="125">
        <f t="shared" si="56"/>
        <v>100</v>
      </c>
      <c r="P455" s="125"/>
      <c r="Q455" s="125"/>
      <c r="R455" s="126">
        <f t="shared" si="57"/>
        <v>4.5</v>
      </c>
      <c r="S455" s="126"/>
      <c r="T455" s="126"/>
      <c r="U455" s="99"/>
      <c r="V455" s="100" t="s">
        <v>83</v>
      </c>
      <c r="W455" s="100">
        <v>100</v>
      </c>
      <c r="X455" s="100" t="s">
        <v>329</v>
      </c>
      <c r="AE455" s="99"/>
    </row>
    <row r="456" spans="1:31" s="100" customFormat="1" ht="20.100000000000001" customHeight="1" x14ac:dyDescent="0.2">
      <c r="A456" s="178">
        <v>12</v>
      </c>
      <c r="B456" s="178"/>
      <c r="C456" s="172">
        <v>0.01</v>
      </c>
      <c r="D456" s="172"/>
      <c r="E456" s="122" t="s">
        <v>83</v>
      </c>
      <c r="F456" s="122"/>
      <c r="G456" s="116" t="str">
        <f t="shared" si="55"/>
        <v>Sem valor</v>
      </c>
      <c r="H456" s="116"/>
      <c r="I456" s="116"/>
      <c r="J456" s="116"/>
      <c r="K456" s="116"/>
      <c r="L456" s="116"/>
      <c r="M456" s="116"/>
      <c r="N456" s="116"/>
      <c r="O456" s="125">
        <f t="shared" si="56"/>
        <v>100</v>
      </c>
      <c r="P456" s="125"/>
      <c r="Q456" s="125"/>
      <c r="R456" s="126">
        <f t="shared" si="57"/>
        <v>1</v>
      </c>
      <c r="S456" s="126"/>
      <c r="T456" s="126"/>
      <c r="U456" s="99"/>
      <c r="AE456" s="99"/>
    </row>
    <row r="457" spans="1:31" s="100" customFormat="1" ht="20.100000000000001" customHeight="1" x14ac:dyDescent="0.2">
      <c r="A457" s="178">
        <v>13</v>
      </c>
      <c r="B457" s="178"/>
      <c r="C457" s="172">
        <v>7.0000000000000007E-2</v>
      </c>
      <c r="D457" s="172"/>
      <c r="E457" s="122" t="s">
        <v>307</v>
      </c>
      <c r="F457" s="122"/>
      <c r="G457" s="116" t="str">
        <f t="shared" si="55"/>
        <v>Novo</v>
      </c>
      <c r="H457" s="116"/>
      <c r="I457" s="116"/>
      <c r="J457" s="116"/>
      <c r="K457" s="116"/>
      <c r="L457" s="116"/>
      <c r="M457" s="116"/>
      <c r="N457" s="116"/>
      <c r="O457" s="125">
        <f t="shared" si="56"/>
        <v>0</v>
      </c>
      <c r="P457" s="125"/>
      <c r="Q457" s="125"/>
      <c r="R457" s="126">
        <f t="shared" si="57"/>
        <v>0</v>
      </c>
      <c r="S457" s="126"/>
      <c r="T457" s="126"/>
      <c r="U457" s="99"/>
      <c r="V457" s="99"/>
      <c r="AE457" s="99"/>
    </row>
    <row r="458" spans="1:31" s="100" customFormat="1" ht="20.100000000000001" customHeight="1" x14ac:dyDescent="0.2">
      <c r="A458" s="178">
        <v>14</v>
      </c>
      <c r="B458" s="178"/>
      <c r="C458" s="172">
        <v>1.4999999999999999E-2</v>
      </c>
      <c r="D458" s="172"/>
      <c r="E458" s="122" t="s">
        <v>307</v>
      </c>
      <c r="F458" s="122"/>
      <c r="G458" s="116" t="str">
        <f t="shared" si="55"/>
        <v>Novo</v>
      </c>
      <c r="H458" s="116"/>
      <c r="I458" s="116"/>
      <c r="J458" s="116"/>
      <c r="K458" s="116"/>
      <c r="L458" s="116"/>
      <c r="M458" s="116"/>
      <c r="N458" s="116"/>
      <c r="O458" s="125">
        <f t="shared" si="56"/>
        <v>0</v>
      </c>
      <c r="P458" s="125"/>
      <c r="Q458" s="125"/>
      <c r="R458" s="126">
        <f t="shared" si="57"/>
        <v>0</v>
      </c>
      <c r="S458" s="126"/>
      <c r="T458" s="126"/>
      <c r="U458" s="99"/>
      <c r="V458" s="99"/>
      <c r="AE458" s="99"/>
    </row>
    <row r="459" spans="1:31" s="100" customFormat="1" ht="20.100000000000001" customHeight="1" x14ac:dyDescent="0.2">
      <c r="A459" s="178">
        <v>15</v>
      </c>
      <c r="B459" s="178"/>
      <c r="C459" s="172">
        <v>3.3000000000000002E-2</v>
      </c>
      <c r="D459" s="172"/>
      <c r="E459" s="122" t="s">
        <v>307</v>
      </c>
      <c r="F459" s="122"/>
      <c r="G459" s="116" t="str">
        <f t="shared" si="55"/>
        <v>Novo</v>
      </c>
      <c r="H459" s="116"/>
      <c r="I459" s="116"/>
      <c r="J459" s="116"/>
      <c r="K459" s="116"/>
      <c r="L459" s="116"/>
      <c r="M459" s="116"/>
      <c r="N459" s="116"/>
      <c r="O459" s="125">
        <f t="shared" si="56"/>
        <v>0</v>
      </c>
      <c r="P459" s="125"/>
      <c r="Q459" s="125"/>
      <c r="R459" s="126">
        <f t="shared" si="57"/>
        <v>0</v>
      </c>
      <c r="S459" s="126"/>
      <c r="T459" s="126"/>
      <c r="U459" s="99"/>
      <c r="V459" s="99"/>
      <c r="AE459" s="99"/>
    </row>
    <row r="460" spans="1:31" s="100" customFormat="1" ht="20.100000000000001" customHeight="1" x14ac:dyDescent="0.2">
      <c r="A460" s="178">
        <v>16</v>
      </c>
      <c r="B460" s="178"/>
      <c r="C460" s="172">
        <v>1.7000000000000001E-2</v>
      </c>
      <c r="D460" s="172"/>
      <c r="E460" s="122" t="s">
        <v>307</v>
      </c>
      <c r="F460" s="122"/>
      <c r="G460" s="116" t="str">
        <f t="shared" si="55"/>
        <v>Novo</v>
      </c>
      <c r="H460" s="116"/>
      <c r="I460" s="116"/>
      <c r="J460" s="116"/>
      <c r="K460" s="116"/>
      <c r="L460" s="116"/>
      <c r="M460" s="116"/>
      <c r="N460" s="116"/>
      <c r="O460" s="125">
        <f t="shared" si="56"/>
        <v>0</v>
      </c>
      <c r="P460" s="125"/>
      <c r="Q460" s="125"/>
      <c r="R460" s="126">
        <f t="shared" si="57"/>
        <v>0</v>
      </c>
      <c r="S460" s="126"/>
      <c r="T460" s="126"/>
      <c r="U460" s="99"/>
      <c r="V460" s="99"/>
      <c r="AE460" s="99"/>
    </row>
    <row r="461" spans="1:31" s="100" customFormat="1" ht="20.100000000000001" customHeight="1" x14ac:dyDescent="0.2">
      <c r="A461" s="178">
        <v>17</v>
      </c>
      <c r="B461" s="178"/>
      <c r="C461" s="172">
        <v>1.4999999999999999E-2</v>
      </c>
      <c r="D461" s="172"/>
      <c r="E461" s="122" t="s">
        <v>83</v>
      </c>
      <c r="F461" s="122"/>
      <c r="G461" s="116" t="str">
        <f t="shared" si="55"/>
        <v>Sem valor</v>
      </c>
      <c r="H461" s="116"/>
      <c r="I461" s="116"/>
      <c r="J461" s="116"/>
      <c r="K461" s="116"/>
      <c r="L461" s="116"/>
      <c r="M461" s="116"/>
      <c r="N461" s="116"/>
      <c r="O461" s="125">
        <f t="shared" si="56"/>
        <v>100</v>
      </c>
      <c r="P461" s="125"/>
      <c r="Q461" s="125"/>
      <c r="R461" s="126">
        <f t="shared" si="57"/>
        <v>1.5</v>
      </c>
      <c r="S461" s="126"/>
      <c r="T461" s="126"/>
      <c r="U461" s="99"/>
      <c r="V461" s="99"/>
      <c r="AE461" s="99"/>
    </row>
    <row r="462" spans="1:31" s="100" customFormat="1" ht="20.100000000000001" customHeight="1" x14ac:dyDescent="0.2">
      <c r="A462" s="178">
        <v>18</v>
      </c>
      <c r="B462" s="178"/>
      <c r="C462" s="172">
        <v>3.5000000000000003E-2</v>
      </c>
      <c r="D462" s="172"/>
      <c r="E462" s="122" t="s">
        <v>83</v>
      </c>
      <c r="F462" s="122"/>
      <c r="G462" s="116" t="str">
        <f t="shared" si="55"/>
        <v>Sem valor</v>
      </c>
      <c r="H462" s="116"/>
      <c r="I462" s="116"/>
      <c r="J462" s="116"/>
      <c r="K462" s="116"/>
      <c r="L462" s="116"/>
      <c r="M462" s="116"/>
      <c r="N462" s="116"/>
      <c r="O462" s="125">
        <f t="shared" si="56"/>
        <v>100</v>
      </c>
      <c r="P462" s="125"/>
      <c r="Q462" s="125"/>
      <c r="R462" s="126">
        <f t="shared" si="57"/>
        <v>3.5000000000000004</v>
      </c>
      <c r="S462" s="126"/>
      <c r="T462" s="126"/>
      <c r="U462" s="99"/>
      <c r="V462" s="99"/>
      <c r="AE462" s="99"/>
    </row>
    <row r="463" spans="1:31" s="100" customFormat="1" ht="20.100000000000001" customHeight="1" x14ac:dyDescent="0.2">
      <c r="A463" s="178">
        <v>19</v>
      </c>
      <c r="B463" s="178"/>
      <c r="C463" s="172">
        <v>0.01</v>
      </c>
      <c r="D463" s="172"/>
      <c r="E463" s="122" t="s">
        <v>307</v>
      </c>
      <c r="F463" s="122"/>
      <c r="G463" s="116" t="str">
        <f t="shared" si="55"/>
        <v>Novo</v>
      </c>
      <c r="H463" s="116"/>
      <c r="I463" s="116"/>
      <c r="J463" s="116"/>
      <c r="K463" s="116"/>
      <c r="L463" s="116"/>
      <c r="M463" s="116"/>
      <c r="N463" s="116"/>
      <c r="O463" s="125">
        <f t="shared" si="56"/>
        <v>0</v>
      </c>
      <c r="P463" s="125"/>
      <c r="Q463" s="125"/>
      <c r="R463" s="126">
        <f t="shared" si="57"/>
        <v>0</v>
      </c>
      <c r="S463" s="126"/>
      <c r="T463" s="126"/>
      <c r="U463" s="99"/>
      <c r="V463" s="99"/>
      <c r="AE463" s="99"/>
    </row>
    <row r="464" spans="1:31" s="100" customFormat="1" ht="20.100000000000001" customHeight="1" x14ac:dyDescent="0.2">
      <c r="A464" s="178">
        <v>20</v>
      </c>
      <c r="B464" s="178"/>
      <c r="C464" s="172">
        <v>2.5000000000000001E-2</v>
      </c>
      <c r="D464" s="172"/>
      <c r="E464" s="122" t="s">
        <v>307</v>
      </c>
      <c r="F464" s="122"/>
      <c r="G464" s="116" t="str">
        <f t="shared" si="55"/>
        <v>Novo</v>
      </c>
      <c r="H464" s="116"/>
      <c r="I464" s="116"/>
      <c r="J464" s="116"/>
      <c r="K464" s="116"/>
      <c r="L464" s="116"/>
      <c r="M464" s="116"/>
      <c r="N464" s="116"/>
      <c r="O464" s="125">
        <f t="shared" si="56"/>
        <v>0</v>
      </c>
      <c r="P464" s="125"/>
      <c r="Q464" s="125"/>
      <c r="R464" s="126">
        <f t="shared" si="57"/>
        <v>0</v>
      </c>
      <c r="S464" s="126"/>
      <c r="T464" s="126"/>
      <c r="U464" s="99"/>
      <c r="V464" s="99"/>
      <c r="AE464" s="99"/>
    </row>
    <row r="465" spans="1:31" s="100" customFormat="1" ht="20.100000000000001" customHeight="1" x14ac:dyDescent="0.2">
      <c r="A465" s="178">
        <v>21</v>
      </c>
      <c r="B465" s="178"/>
      <c r="C465" s="172">
        <v>1.2999999999999999E-2</v>
      </c>
      <c r="D465" s="172"/>
      <c r="E465" s="122" t="s">
        <v>83</v>
      </c>
      <c r="F465" s="122"/>
      <c r="G465" s="116" t="str">
        <f t="shared" si="55"/>
        <v>Sem valor</v>
      </c>
      <c r="H465" s="116"/>
      <c r="I465" s="116"/>
      <c r="J465" s="116"/>
      <c r="K465" s="116"/>
      <c r="L465" s="116"/>
      <c r="M465" s="116"/>
      <c r="N465" s="116"/>
      <c r="O465" s="125">
        <f t="shared" si="56"/>
        <v>100</v>
      </c>
      <c r="P465" s="125"/>
      <c r="Q465" s="125"/>
      <c r="R465" s="126">
        <f t="shared" si="57"/>
        <v>1.3</v>
      </c>
      <c r="S465" s="126"/>
      <c r="T465" s="126"/>
      <c r="U465" s="99"/>
      <c r="V465" s="99"/>
      <c r="AE465" s="99"/>
    </row>
    <row r="466" spans="1:31" s="100" customFormat="1" ht="20.100000000000001" customHeight="1" x14ac:dyDescent="0.25">
      <c r="A466" s="99"/>
      <c r="B466" s="99"/>
      <c r="C466" s="99"/>
      <c r="D466" s="99"/>
      <c r="E466" s="99"/>
      <c r="F466" s="99"/>
      <c r="G466" s="99"/>
      <c r="H466" s="99"/>
      <c r="I466" s="99"/>
      <c r="J466" s="99"/>
      <c r="K466" s="99"/>
      <c r="L466" s="99"/>
      <c r="M466" s="99"/>
      <c r="N466" s="99"/>
      <c r="O466" s="99"/>
      <c r="P466" s="99"/>
      <c r="Q466" s="99"/>
      <c r="R466" s="99"/>
      <c r="S466" s="99"/>
      <c r="T466" s="99"/>
      <c r="U466" s="99"/>
      <c r="V466" s="99"/>
      <c r="AE466" s="99"/>
    </row>
    <row r="467" spans="1:31" s="100" customFormat="1" ht="20.100000000000001" customHeight="1" x14ac:dyDescent="0.2">
      <c r="A467" s="164" t="s">
        <v>493</v>
      </c>
      <c r="B467" s="164"/>
      <c r="C467" s="164"/>
      <c r="D467" s="164"/>
      <c r="E467" s="164"/>
      <c r="F467" s="164"/>
      <c r="G467" s="164"/>
      <c r="H467" s="164"/>
      <c r="I467" s="164"/>
      <c r="J467" s="164"/>
      <c r="K467" s="164"/>
      <c r="L467" s="164"/>
      <c r="M467" s="164"/>
      <c r="N467" s="164"/>
      <c r="O467" s="164"/>
      <c r="P467" s="164"/>
      <c r="Q467" s="164"/>
      <c r="R467" s="164"/>
      <c r="S467" s="164"/>
      <c r="T467" s="164"/>
      <c r="U467" s="99"/>
      <c r="V467" s="99"/>
      <c r="AE467" s="99"/>
    </row>
    <row r="468" spans="1:31" s="100" customFormat="1" ht="20.100000000000001" customHeight="1" x14ac:dyDescent="0.2">
      <c r="A468" s="103"/>
      <c r="B468" s="103"/>
      <c r="C468" s="103"/>
      <c r="D468" s="103"/>
      <c r="E468" s="103"/>
      <c r="F468" s="103"/>
      <c r="G468" s="103"/>
      <c r="H468" s="103"/>
      <c r="I468" s="103"/>
      <c r="J468" s="103"/>
      <c r="K468" s="103"/>
      <c r="L468" s="103"/>
      <c r="M468" s="103"/>
      <c r="N468" s="103"/>
      <c r="O468" s="103"/>
      <c r="P468" s="103"/>
      <c r="Q468" s="103"/>
      <c r="R468" s="99"/>
      <c r="S468" s="99"/>
      <c r="T468" s="103"/>
      <c r="V468" s="99"/>
      <c r="AE468" s="99"/>
    </row>
    <row r="469" spans="1:31" s="100" customFormat="1" ht="20.100000000000001" customHeight="1" x14ac:dyDescent="0.2">
      <c r="A469" s="168" t="s">
        <v>494</v>
      </c>
      <c r="B469" s="168"/>
      <c r="C469" s="104"/>
      <c r="D469" s="167">
        <v>1</v>
      </c>
      <c r="E469" s="167"/>
      <c r="F469" s="102"/>
      <c r="G469" s="102"/>
      <c r="H469" s="102"/>
      <c r="I469" s="102"/>
      <c r="J469" s="99"/>
      <c r="K469" s="103"/>
      <c r="L469" s="168" t="s">
        <v>495</v>
      </c>
      <c r="M469" s="168"/>
      <c r="N469" s="168"/>
      <c r="O469" s="168"/>
      <c r="P469" s="168"/>
      <c r="Q469" s="168"/>
      <c r="R469" s="171">
        <f>SUM(R445:T465)</f>
        <v>11.825600000000001</v>
      </c>
      <c r="S469" s="171"/>
      <c r="T469" s="171"/>
      <c r="AE469" s="99"/>
    </row>
    <row r="470" spans="1:31" s="100" customFormat="1" ht="20.100000000000001" customHeight="1" x14ac:dyDescent="0.2">
      <c r="A470" s="102"/>
      <c r="B470" s="102"/>
      <c r="C470" s="102"/>
      <c r="D470" s="102"/>
      <c r="E470" s="102"/>
      <c r="F470" s="102"/>
      <c r="G470" s="102"/>
      <c r="H470" s="102"/>
      <c r="I470" s="102"/>
      <c r="J470" s="102"/>
      <c r="K470" s="102"/>
      <c r="L470" s="102"/>
      <c r="M470" s="102"/>
      <c r="N470" s="102"/>
      <c r="O470" s="102"/>
      <c r="P470" s="102"/>
      <c r="Q470" s="102"/>
      <c r="R470" s="102"/>
      <c r="S470" s="99"/>
      <c r="T470" s="99"/>
      <c r="AE470" s="99"/>
    </row>
    <row r="471" spans="1:31" s="100" customFormat="1" ht="20.100000000000001" customHeight="1" x14ac:dyDescent="0.25">
      <c r="A471" s="164" t="s">
        <v>543</v>
      </c>
      <c r="B471" s="164"/>
      <c r="C471" s="164"/>
      <c r="D471" s="164"/>
      <c r="E471" s="164"/>
      <c r="F471" s="164"/>
      <c r="G471" s="164"/>
      <c r="H471" s="164"/>
      <c r="I471" s="164"/>
      <c r="J471" s="164"/>
      <c r="K471" s="164"/>
      <c r="L471" s="164"/>
      <c r="M471" s="164"/>
      <c r="N471" s="164"/>
      <c r="O471" s="164"/>
      <c r="P471" s="164"/>
      <c r="Q471" s="164"/>
      <c r="R471" s="164"/>
      <c r="S471" s="166">
        <f>R469</f>
        <v>11.825600000000001</v>
      </c>
      <c r="T471" s="166"/>
      <c r="AE471" s="99"/>
    </row>
    <row r="472" spans="1:31" s="100" customFormat="1" ht="20.100000000000001" customHeight="1" x14ac:dyDescent="0.25">
      <c r="A472" s="165"/>
      <c r="B472" s="165"/>
      <c r="C472" s="165"/>
      <c r="D472" s="165"/>
      <c r="E472" s="165"/>
      <c r="F472" s="165"/>
      <c r="G472" s="165"/>
      <c r="H472" s="165"/>
      <c r="I472" s="165"/>
      <c r="J472" s="165"/>
      <c r="K472" s="165"/>
      <c r="L472" s="165"/>
      <c r="M472" s="165"/>
      <c r="N472" s="165"/>
      <c r="O472" s="165"/>
      <c r="P472" s="165"/>
      <c r="Q472" s="165"/>
      <c r="R472" s="165"/>
      <c r="S472" s="166"/>
      <c r="T472" s="166"/>
      <c r="AE472" s="99"/>
    </row>
    <row r="473" spans="1:31" s="100" customFormat="1" ht="20.100000000000001" customHeight="1" x14ac:dyDescent="0.25">
      <c r="A473" s="99"/>
      <c r="B473" s="99"/>
      <c r="C473" s="99"/>
      <c r="D473" s="99"/>
      <c r="E473" s="99"/>
      <c r="F473" s="99"/>
      <c r="G473" s="99"/>
      <c r="H473" s="99"/>
      <c r="I473" s="99"/>
      <c r="J473" s="99"/>
      <c r="K473" s="99"/>
      <c r="L473" s="99"/>
      <c r="M473" s="99"/>
      <c r="N473" s="99"/>
      <c r="O473" s="99"/>
      <c r="P473" s="99"/>
      <c r="Q473" s="99"/>
      <c r="R473" s="99"/>
      <c r="S473" s="99"/>
      <c r="T473" s="99"/>
      <c r="AE473" s="99"/>
    </row>
    <row r="474" spans="1:31" s="100" customFormat="1" ht="20.100000000000001" customHeight="1" x14ac:dyDescent="0.25">
      <c r="A474" s="99"/>
      <c r="B474" s="99"/>
      <c r="C474" s="99"/>
      <c r="D474" s="99"/>
      <c r="E474" s="99"/>
      <c r="F474" s="99"/>
      <c r="G474" s="99"/>
      <c r="H474" s="99"/>
      <c r="I474" s="99"/>
      <c r="J474" s="99"/>
      <c r="K474" s="99"/>
      <c r="L474" s="99"/>
      <c r="M474" s="99"/>
      <c r="N474" s="99"/>
      <c r="O474" s="99"/>
      <c r="P474" s="99"/>
      <c r="Q474" s="99"/>
      <c r="R474" s="99"/>
      <c r="S474" s="99"/>
      <c r="T474" s="99"/>
      <c r="AE474" s="99"/>
    </row>
    <row r="475" spans="1:31" s="100" customFormat="1" ht="20.100000000000001" customHeight="1" x14ac:dyDescent="0.25">
      <c r="A475" s="160" t="s">
        <v>496</v>
      </c>
      <c r="B475" s="160"/>
      <c r="C475" s="160"/>
      <c r="D475" s="160"/>
      <c r="E475" s="160"/>
      <c r="F475" s="160"/>
      <c r="G475" s="160"/>
      <c r="H475" s="160"/>
      <c r="I475" s="160"/>
      <c r="J475" s="160"/>
      <c r="K475" s="160"/>
      <c r="L475" s="160"/>
      <c r="M475" s="160"/>
      <c r="N475" s="160"/>
      <c r="O475" s="160"/>
      <c r="P475" s="160"/>
      <c r="Q475" s="160"/>
      <c r="R475" s="160"/>
      <c r="S475" s="160"/>
      <c r="T475" s="160"/>
      <c r="AE475" s="99"/>
    </row>
    <row r="476" spans="1:31" s="100" customFormat="1" ht="20.100000000000001" customHeight="1" x14ac:dyDescent="0.25">
      <c r="A476" s="99"/>
      <c r="B476" s="99"/>
      <c r="C476" s="99"/>
      <c r="D476" s="99"/>
      <c r="E476" s="99"/>
      <c r="F476" s="99"/>
      <c r="G476" s="99"/>
      <c r="H476" s="99"/>
      <c r="I476" s="99"/>
      <c r="J476" s="99"/>
      <c r="K476" s="99"/>
      <c r="L476" s="99"/>
      <c r="M476" s="99"/>
      <c r="N476" s="99"/>
      <c r="O476" s="99"/>
      <c r="P476" s="99"/>
      <c r="Q476" s="99"/>
      <c r="R476" s="99"/>
      <c r="S476" s="99"/>
      <c r="T476" s="99"/>
      <c r="AE476" s="99"/>
    </row>
    <row r="477" spans="1:31" s="100" customFormat="1" ht="20.100000000000001" customHeight="1" x14ac:dyDescent="0.25">
      <c r="A477" s="99"/>
      <c r="B477" s="99"/>
      <c r="C477" s="99"/>
      <c r="D477" s="99"/>
      <c r="E477" s="121"/>
      <c r="F477" s="121"/>
      <c r="G477" s="121"/>
      <c r="H477" s="121"/>
      <c r="I477" s="121"/>
      <c r="J477" s="121"/>
      <c r="K477" s="121"/>
      <c r="L477" s="121"/>
      <c r="M477" s="121"/>
      <c r="N477" s="99"/>
      <c r="O477" s="99"/>
      <c r="P477" s="99"/>
      <c r="Q477" s="99"/>
      <c r="R477" s="99"/>
      <c r="S477" s="99"/>
      <c r="T477" s="99"/>
      <c r="AE477" s="99"/>
    </row>
    <row r="478" spans="1:31" s="100" customFormat="1" ht="20.100000000000001" customHeight="1" x14ac:dyDescent="0.25">
      <c r="A478" s="99"/>
      <c r="B478" s="99"/>
      <c r="C478" s="99"/>
      <c r="D478" s="99"/>
      <c r="E478" s="121"/>
      <c r="F478" s="121"/>
      <c r="G478" s="121"/>
      <c r="H478" s="121"/>
      <c r="I478" s="121"/>
      <c r="J478" s="121"/>
      <c r="K478" s="121"/>
      <c r="L478" s="121"/>
      <c r="M478" s="121"/>
      <c r="N478" s="99"/>
      <c r="O478" s="99"/>
      <c r="P478" s="99"/>
      <c r="Q478" s="99"/>
      <c r="R478" s="99"/>
      <c r="S478" s="99"/>
      <c r="T478" s="99"/>
      <c r="AE478" s="99"/>
    </row>
    <row r="479" spans="1:31" s="100" customFormat="1" ht="20.100000000000001" customHeight="1" x14ac:dyDescent="0.25">
      <c r="A479" s="99"/>
      <c r="B479" s="99"/>
      <c r="C479" s="99"/>
      <c r="D479" s="99"/>
      <c r="E479" s="121"/>
      <c r="F479" s="121"/>
      <c r="G479" s="121"/>
      <c r="H479" s="121"/>
      <c r="I479" s="121"/>
      <c r="J479" s="121"/>
      <c r="K479" s="121"/>
      <c r="L479" s="121"/>
      <c r="M479" s="121"/>
      <c r="N479" s="99"/>
      <c r="O479" s="99"/>
      <c r="P479" s="99"/>
      <c r="Q479" s="99"/>
      <c r="R479" s="99"/>
      <c r="S479" s="99"/>
      <c r="T479" s="99"/>
      <c r="AE479" s="99"/>
    </row>
    <row r="480" spans="1:31" s="100" customFormat="1" ht="20.100000000000001" customHeight="1" x14ac:dyDescent="0.25">
      <c r="A480" s="99"/>
      <c r="B480" s="99"/>
      <c r="C480" s="99"/>
      <c r="D480" s="99"/>
      <c r="E480" s="121"/>
      <c r="F480" s="121"/>
      <c r="G480" s="121"/>
      <c r="H480" s="121"/>
      <c r="I480" s="121"/>
      <c r="J480" s="121"/>
      <c r="K480" s="121"/>
      <c r="L480" s="121"/>
      <c r="M480" s="121"/>
      <c r="N480" s="99"/>
      <c r="O480" s="99"/>
      <c r="P480" s="99"/>
      <c r="Q480" s="99"/>
      <c r="R480" s="99"/>
      <c r="S480" s="99"/>
      <c r="T480" s="99"/>
      <c r="AE480" s="99"/>
    </row>
    <row r="481" spans="1:31" s="100" customFormat="1" ht="20.100000000000001" customHeight="1" x14ac:dyDescent="0.25">
      <c r="A481" s="99"/>
      <c r="B481" s="99"/>
      <c r="C481" s="99"/>
      <c r="D481" s="99"/>
      <c r="E481" s="121"/>
      <c r="F481" s="121"/>
      <c r="G481" s="121"/>
      <c r="H481" s="121"/>
      <c r="I481" s="121"/>
      <c r="J481" s="121"/>
      <c r="K481" s="121"/>
      <c r="L481" s="121"/>
      <c r="M481" s="121"/>
      <c r="N481" s="99"/>
      <c r="O481" s="99"/>
      <c r="P481" s="99"/>
      <c r="Q481" s="99"/>
      <c r="R481" s="99"/>
      <c r="S481" s="99"/>
      <c r="T481" s="99"/>
      <c r="AE481" s="99"/>
    </row>
    <row r="482" spans="1:31" s="100" customFormat="1" ht="20.100000000000001" customHeight="1" x14ac:dyDescent="0.25">
      <c r="A482" s="99"/>
      <c r="B482" s="99"/>
      <c r="C482" s="99"/>
      <c r="D482" s="99"/>
      <c r="E482" s="121"/>
      <c r="F482" s="121"/>
      <c r="G482" s="121"/>
      <c r="H482" s="121"/>
      <c r="I482" s="121"/>
      <c r="J482" s="121"/>
      <c r="K482" s="121"/>
      <c r="L482" s="121"/>
      <c r="M482" s="121"/>
      <c r="N482" s="99"/>
      <c r="O482" s="99"/>
      <c r="P482" s="99"/>
      <c r="Q482" s="99"/>
      <c r="R482" s="99"/>
      <c r="S482" s="99"/>
      <c r="T482" s="99"/>
      <c r="AE482" s="99"/>
    </row>
    <row r="483" spans="1:31" s="100" customFormat="1" ht="20.100000000000001" customHeight="1" x14ac:dyDescent="0.25">
      <c r="A483" s="99"/>
      <c r="B483" s="99"/>
      <c r="C483" s="99"/>
      <c r="D483" s="99"/>
      <c r="E483" s="121"/>
      <c r="F483" s="121"/>
      <c r="G483" s="121"/>
      <c r="H483" s="121"/>
      <c r="I483" s="121"/>
      <c r="J483" s="121"/>
      <c r="K483" s="121"/>
      <c r="L483" s="121"/>
      <c r="M483" s="121"/>
      <c r="N483" s="99"/>
      <c r="O483" s="99"/>
      <c r="P483" s="99"/>
      <c r="Q483" s="99"/>
      <c r="R483" s="99"/>
      <c r="S483" s="99"/>
      <c r="T483" s="99"/>
      <c r="AE483" s="99"/>
    </row>
    <row r="484" spans="1:31" s="100" customFormat="1" ht="20.100000000000001" customHeight="1" x14ac:dyDescent="0.25">
      <c r="A484" s="99"/>
      <c r="B484" s="99"/>
      <c r="C484" s="99"/>
      <c r="D484" s="99"/>
      <c r="E484" s="121"/>
      <c r="F484" s="121"/>
      <c r="G484" s="121"/>
      <c r="H484" s="121"/>
      <c r="I484" s="121"/>
      <c r="J484" s="121"/>
      <c r="K484" s="121"/>
      <c r="L484" s="121"/>
      <c r="M484" s="121"/>
      <c r="N484" s="99"/>
      <c r="O484" s="99"/>
      <c r="P484" s="99"/>
      <c r="Q484" s="99"/>
      <c r="R484" s="99"/>
      <c r="S484" s="99"/>
      <c r="T484" s="99"/>
      <c r="AE484" s="99"/>
    </row>
    <row r="485" spans="1:31" s="100" customFormat="1" ht="20.100000000000001" customHeight="1" x14ac:dyDescent="0.25">
      <c r="A485" s="99"/>
      <c r="B485" s="99"/>
      <c r="C485" s="99"/>
      <c r="D485" s="99"/>
      <c r="E485" s="121"/>
      <c r="F485" s="121"/>
      <c r="G485" s="121"/>
      <c r="H485" s="121"/>
      <c r="I485" s="121"/>
      <c r="J485" s="121"/>
      <c r="K485" s="121"/>
      <c r="L485" s="121"/>
      <c r="M485" s="121"/>
      <c r="N485" s="99"/>
      <c r="O485" s="99"/>
      <c r="P485" s="99"/>
      <c r="Q485" s="99"/>
      <c r="R485" s="99"/>
      <c r="S485" s="99"/>
      <c r="T485" s="99"/>
      <c r="AE485" s="99"/>
    </row>
    <row r="486" spans="1:31" s="100" customFormat="1" ht="20.100000000000001" customHeight="1" x14ac:dyDescent="0.25">
      <c r="A486" s="99"/>
      <c r="B486" s="99"/>
      <c r="C486" s="99"/>
      <c r="D486" s="99"/>
      <c r="E486" s="121"/>
      <c r="F486" s="121"/>
      <c r="G486" s="121"/>
      <c r="H486" s="121"/>
      <c r="I486" s="121"/>
      <c r="J486" s="121"/>
      <c r="K486" s="121"/>
      <c r="L486" s="121"/>
      <c r="M486" s="121"/>
      <c r="N486" s="99"/>
      <c r="O486" s="99"/>
      <c r="P486" s="99"/>
      <c r="Q486" s="99"/>
      <c r="R486" s="99"/>
      <c r="S486" s="99"/>
      <c r="T486" s="99"/>
      <c r="AE486" s="99"/>
    </row>
    <row r="487" spans="1:31" s="100" customFormat="1" ht="20.100000000000001" customHeight="1" x14ac:dyDescent="0.25">
      <c r="A487" s="99"/>
      <c r="B487" s="99"/>
      <c r="C487" s="99"/>
      <c r="D487" s="99"/>
      <c r="E487" s="121"/>
      <c r="F487" s="121"/>
      <c r="G487" s="121"/>
      <c r="H487" s="121"/>
      <c r="I487" s="121"/>
      <c r="J487" s="121"/>
      <c r="K487" s="121"/>
      <c r="L487" s="121"/>
      <c r="M487" s="121"/>
      <c r="N487" s="99"/>
      <c r="O487" s="99"/>
      <c r="P487" s="99"/>
      <c r="Q487" s="99"/>
      <c r="R487" s="99"/>
      <c r="S487" s="99"/>
      <c r="T487" s="99"/>
      <c r="AE487" s="99"/>
    </row>
    <row r="488" spans="1:31" s="100" customFormat="1" ht="20.100000000000001" customHeight="1" x14ac:dyDescent="0.25">
      <c r="A488" s="99"/>
      <c r="B488" s="99"/>
      <c r="C488" s="99"/>
      <c r="D488" s="99"/>
      <c r="E488" s="121"/>
      <c r="F488" s="121"/>
      <c r="G488" s="121"/>
      <c r="H488" s="121"/>
      <c r="I488" s="121"/>
      <c r="J488" s="121"/>
      <c r="K488" s="121"/>
      <c r="L488" s="121"/>
      <c r="M488" s="121"/>
      <c r="N488" s="99"/>
      <c r="O488" s="99"/>
      <c r="P488" s="99"/>
      <c r="Q488" s="99"/>
      <c r="R488" s="99"/>
      <c r="S488" s="99"/>
      <c r="T488" s="99"/>
      <c r="AE488" s="99"/>
    </row>
    <row r="489" spans="1:31" s="100" customFormat="1" ht="20.100000000000001" customHeight="1" x14ac:dyDescent="0.25">
      <c r="A489" s="99"/>
      <c r="B489" s="99"/>
      <c r="C489" s="99"/>
      <c r="D489" s="99"/>
      <c r="E489" s="121"/>
      <c r="F489" s="121"/>
      <c r="G489" s="121"/>
      <c r="H489" s="121"/>
      <c r="I489" s="121"/>
      <c r="J489" s="121"/>
      <c r="K489" s="121"/>
      <c r="L489" s="121"/>
      <c r="M489" s="121"/>
      <c r="N489" s="99"/>
      <c r="O489" s="99"/>
      <c r="P489" s="99"/>
      <c r="Q489" s="99"/>
      <c r="R489" s="99"/>
      <c r="S489" s="99"/>
      <c r="T489" s="99"/>
      <c r="AE489" s="99"/>
    </row>
    <row r="490" spans="1:31" s="100" customFormat="1" ht="20.100000000000001" customHeight="1" x14ac:dyDescent="0.25">
      <c r="A490" s="99"/>
      <c r="B490" s="99"/>
      <c r="C490" s="99"/>
      <c r="D490" s="99"/>
      <c r="E490" s="99"/>
      <c r="F490" s="99"/>
      <c r="G490" s="99"/>
      <c r="H490" s="99"/>
      <c r="I490" s="99"/>
      <c r="J490" s="99"/>
      <c r="K490" s="99"/>
      <c r="L490" s="99"/>
      <c r="M490" s="99"/>
      <c r="N490" s="99"/>
      <c r="O490" s="99"/>
      <c r="P490" s="99"/>
      <c r="Q490" s="121"/>
      <c r="R490" s="121"/>
      <c r="S490" s="121"/>
      <c r="T490" s="121"/>
      <c r="AE490" s="99"/>
    </row>
    <row r="491" spans="1:31" s="100" customFormat="1" ht="20.100000000000001" customHeight="1" x14ac:dyDescent="0.25">
      <c r="A491" s="162" t="s">
        <v>408</v>
      </c>
      <c r="B491" s="162"/>
      <c r="C491" s="162"/>
      <c r="D491" s="162"/>
      <c r="E491" s="162"/>
      <c r="F491" s="162"/>
      <c r="G491" s="162"/>
      <c r="H491" s="162"/>
      <c r="I491" s="162"/>
      <c r="J491" s="162"/>
      <c r="K491" s="162"/>
      <c r="L491" s="162"/>
      <c r="M491" s="162"/>
      <c r="N491" s="162"/>
      <c r="O491" s="162"/>
      <c r="P491" s="162"/>
      <c r="Q491" s="169"/>
      <c r="R491" s="169"/>
      <c r="S491" s="169"/>
      <c r="T491" s="169"/>
      <c r="U491" s="99"/>
      <c r="V491" s="99"/>
      <c r="AE491" s="99"/>
    </row>
    <row r="492" spans="1:31" s="100" customFormat="1" ht="20.100000000000001" customHeight="1" x14ac:dyDescent="0.25">
      <c r="A492" s="99"/>
      <c r="B492" s="99"/>
      <c r="C492" s="99"/>
      <c r="D492" s="99"/>
      <c r="E492" s="99"/>
      <c r="F492" s="99"/>
      <c r="G492" s="99"/>
      <c r="H492" s="99"/>
      <c r="I492" s="99"/>
      <c r="J492" s="99"/>
      <c r="K492" s="99"/>
      <c r="L492" s="99"/>
      <c r="M492" s="99"/>
      <c r="N492" s="99"/>
      <c r="O492" s="99"/>
      <c r="P492" s="99"/>
      <c r="Q492" s="99"/>
      <c r="R492" s="99"/>
      <c r="S492" s="99"/>
      <c r="T492" s="99"/>
      <c r="U492" s="99"/>
      <c r="V492" s="99"/>
      <c r="AE492" s="99"/>
    </row>
    <row r="493" spans="1:31" s="100" customFormat="1" ht="20.100000000000001" customHeight="1" x14ac:dyDescent="0.25">
      <c r="A493" s="159" t="s">
        <v>500</v>
      </c>
      <c r="B493" s="159"/>
      <c r="C493" s="159"/>
      <c r="D493" s="159"/>
      <c r="E493" s="159"/>
      <c r="F493" s="159"/>
      <c r="G493" s="159"/>
      <c r="H493" s="159"/>
      <c r="I493" s="159"/>
      <c r="J493" s="159"/>
      <c r="K493" s="86"/>
      <c r="L493" s="86"/>
      <c r="M493" s="86"/>
      <c r="N493" s="181">
        <f>R469</f>
        <v>11.825600000000001</v>
      </c>
      <c r="O493" s="182"/>
      <c r="P493" s="182"/>
      <c r="Q493" s="182"/>
      <c r="R493" s="182"/>
      <c r="S493" s="182"/>
      <c r="T493" s="182"/>
      <c r="U493" s="99"/>
      <c r="V493" s="99"/>
      <c r="AE493" s="99"/>
    </row>
    <row r="494" spans="1:31" s="100" customFormat="1" ht="20.100000000000001" customHeight="1" x14ac:dyDescent="0.25">
      <c r="A494" s="99"/>
      <c r="B494" s="99"/>
      <c r="C494" s="99"/>
      <c r="D494" s="99"/>
      <c r="E494" s="99"/>
      <c r="F494" s="99"/>
      <c r="G494" s="99"/>
      <c r="H494" s="99"/>
      <c r="I494" s="99"/>
      <c r="J494" s="99"/>
      <c r="K494" s="99"/>
      <c r="L494" s="99"/>
      <c r="M494" s="99"/>
      <c r="N494" s="99"/>
      <c r="O494" s="99"/>
      <c r="P494" s="99"/>
      <c r="Q494" s="99"/>
      <c r="R494" s="99"/>
      <c r="S494" s="99"/>
      <c r="T494" s="99"/>
      <c r="U494" s="99"/>
      <c r="V494" s="99"/>
      <c r="AE494" s="99"/>
    </row>
    <row r="495" spans="1:31" s="100" customFormat="1" ht="20.100000000000001" customHeight="1" x14ac:dyDescent="0.25">
      <c r="A495" s="162" t="s">
        <v>409</v>
      </c>
      <c r="B495" s="162"/>
      <c r="C495" s="162"/>
      <c r="D495" s="162"/>
      <c r="E495" s="162"/>
      <c r="F495" s="162"/>
      <c r="G495" s="162"/>
      <c r="H495" s="162"/>
      <c r="I495" s="162"/>
      <c r="J495" s="162"/>
      <c r="K495" s="162"/>
      <c r="L495" s="162"/>
      <c r="M495" s="162"/>
      <c r="N495" s="105"/>
      <c r="O495" s="105"/>
      <c r="P495" s="105"/>
      <c r="Q495" s="183">
        <f>(L408)+(100-(L408))*(N493/100)</f>
        <v>19.023510204081632</v>
      </c>
      <c r="R495" s="183"/>
      <c r="S495" s="183"/>
      <c r="T495" s="183"/>
      <c r="U495" s="99"/>
      <c r="V495" s="99"/>
      <c r="AE495" s="99"/>
    </row>
    <row r="496" spans="1:31" s="100" customFormat="1" ht="20.100000000000001" customHeight="1" x14ac:dyDescent="0.25">
      <c r="A496" s="162" t="s">
        <v>410</v>
      </c>
      <c r="B496" s="162"/>
      <c r="C496" s="162"/>
      <c r="D496" s="162"/>
      <c r="E496" s="162"/>
      <c r="F496" s="162"/>
      <c r="G496" s="162"/>
      <c r="H496" s="162"/>
      <c r="I496" s="162"/>
      <c r="J496" s="162"/>
      <c r="K496" s="162"/>
      <c r="L496" s="162"/>
      <c r="M496" s="162"/>
      <c r="N496" s="105"/>
      <c r="O496" s="105"/>
      <c r="P496" s="105"/>
      <c r="Q496" s="170">
        <f>-(Q495/100)</f>
        <v>-0.19023510204081631</v>
      </c>
      <c r="R496" s="170"/>
      <c r="S496" s="170"/>
      <c r="T496" s="170"/>
      <c r="U496" s="99"/>
      <c r="V496" s="99"/>
      <c r="AE496" s="99"/>
    </row>
    <row r="497" spans="1:31" s="100" customFormat="1" ht="20.100000000000001" customHeight="1" x14ac:dyDescent="0.25">
      <c r="A497" s="159" t="s">
        <v>411</v>
      </c>
      <c r="B497" s="159"/>
      <c r="C497" s="159"/>
      <c r="D497" s="159"/>
      <c r="E497" s="159"/>
      <c r="F497" s="159"/>
      <c r="G497" s="159"/>
      <c r="H497" s="159"/>
      <c r="I497" s="159"/>
      <c r="J497" s="159"/>
      <c r="K497" s="159"/>
      <c r="L497" s="159"/>
      <c r="M497" s="159"/>
      <c r="N497" s="86"/>
      <c r="O497" s="86"/>
      <c r="P497" s="86"/>
      <c r="Q497" s="161">
        <f>1+Q496</f>
        <v>0.80976489795918372</v>
      </c>
      <c r="R497" s="161"/>
      <c r="S497" s="161"/>
      <c r="T497" s="161"/>
      <c r="U497" s="99"/>
      <c r="V497" s="99"/>
      <c r="AE497" s="99"/>
    </row>
    <row r="498" spans="1:31" s="100" customFormat="1" ht="20.100000000000001" customHeight="1" x14ac:dyDescent="0.2">
      <c r="A498" s="99"/>
      <c r="B498" s="99"/>
      <c r="C498" s="99"/>
      <c r="D498" s="101"/>
      <c r="E498" s="99"/>
      <c r="F498" s="99"/>
      <c r="G498" s="99"/>
      <c r="H498" s="99"/>
      <c r="I498" s="99"/>
      <c r="J498" s="99"/>
      <c r="K498" s="99"/>
      <c r="L498" s="99"/>
      <c r="M498" s="99"/>
      <c r="N498" s="99"/>
      <c r="O498" s="99"/>
      <c r="P498" s="99"/>
      <c r="Q498" s="99"/>
      <c r="R498" s="99"/>
      <c r="S498" s="99"/>
      <c r="T498" s="99"/>
      <c r="U498" s="99"/>
      <c r="V498" s="99"/>
      <c r="AE498" s="99"/>
    </row>
    <row r="499" spans="1:31" s="100" customFormat="1" ht="20.100000000000001" customHeight="1" x14ac:dyDescent="0.25">
      <c r="A499" s="162" t="s">
        <v>403</v>
      </c>
      <c r="B499" s="162"/>
      <c r="C499" s="162"/>
      <c r="D499" s="162"/>
      <c r="E499" s="162"/>
      <c r="F499" s="162"/>
      <c r="G499" s="162"/>
      <c r="H499" s="162"/>
      <c r="I499" s="162"/>
      <c r="J499" s="162"/>
      <c r="K499" s="162"/>
      <c r="L499" s="162"/>
      <c r="M499" s="162"/>
      <c r="N499" s="162"/>
      <c r="O499" s="163">
        <f>O393</f>
        <v>233309.16800000001</v>
      </c>
      <c r="P499" s="163"/>
      <c r="Q499" s="163"/>
      <c r="R499" s="163"/>
      <c r="S499" s="163"/>
      <c r="T499" s="163"/>
      <c r="U499" s="99"/>
      <c r="V499" s="99"/>
      <c r="AE499" s="99"/>
    </row>
    <row r="500" spans="1:31" s="100" customFormat="1" ht="20.100000000000001" customHeight="1" x14ac:dyDescent="0.25">
      <c r="A500" s="162" t="s">
        <v>412</v>
      </c>
      <c r="B500" s="162"/>
      <c r="C500" s="162"/>
      <c r="D500" s="162"/>
      <c r="E500" s="162"/>
      <c r="F500" s="162"/>
      <c r="G500" s="162"/>
      <c r="H500" s="162"/>
      <c r="I500" s="162"/>
      <c r="J500" s="162"/>
      <c r="K500" s="162"/>
      <c r="L500" s="162"/>
      <c r="M500" s="162"/>
      <c r="N500" s="162"/>
      <c r="O500" s="163">
        <f>O499*Q496</f>
        <v>-44383.593381537954</v>
      </c>
      <c r="P500" s="163"/>
      <c r="Q500" s="163"/>
      <c r="R500" s="163"/>
      <c r="S500" s="163"/>
      <c r="T500" s="163"/>
      <c r="U500" s="99"/>
      <c r="V500" s="99"/>
      <c r="AE500" s="99"/>
    </row>
    <row r="501" spans="1:31" s="100" customFormat="1" ht="20.100000000000001" customHeight="1" x14ac:dyDescent="0.25">
      <c r="A501" s="99"/>
      <c r="B501" s="99"/>
      <c r="C501" s="99"/>
      <c r="D501" s="99"/>
      <c r="E501" s="99"/>
      <c r="F501" s="99"/>
      <c r="G501" s="99"/>
      <c r="H501" s="99"/>
      <c r="I501" s="99"/>
      <c r="J501" s="99"/>
      <c r="K501" s="99"/>
      <c r="L501" s="99"/>
      <c r="M501" s="99"/>
      <c r="N501" s="99"/>
      <c r="O501" s="99"/>
      <c r="P501" s="99"/>
      <c r="Q501" s="99"/>
      <c r="R501" s="99"/>
      <c r="S501" s="99"/>
      <c r="T501" s="99"/>
      <c r="U501" s="99"/>
      <c r="V501" s="99"/>
      <c r="AE501" s="99"/>
    </row>
    <row r="502" spans="1:31" s="100" customFormat="1" ht="20.100000000000001" customHeight="1" x14ac:dyDescent="0.25">
      <c r="A502" s="162" t="s">
        <v>413</v>
      </c>
      <c r="B502" s="162"/>
      <c r="C502" s="162"/>
      <c r="D502" s="162"/>
      <c r="E502" s="162"/>
      <c r="F502" s="162"/>
      <c r="G502" s="162"/>
      <c r="H502" s="162"/>
      <c r="I502" s="162"/>
      <c r="J502" s="162"/>
      <c r="K502" s="162"/>
      <c r="L502" s="162"/>
      <c r="M502" s="162"/>
      <c r="N502" s="162"/>
      <c r="O502" s="163">
        <f>O499+O500</f>
        <v>188925.57461846207</v>
      </c>
      <c r="P502" s="163"/>
      <c r="Q502" s="163"/>
      <c r="R502" s="163"/>
      <c r="S502" s="163"/>
      <c r="T502" s="163"/>
      <c r="U502" s="99"/>
      <c r="V502" s="99"/>
      <c r="AE502" s="99"/>
    </row>
    <row r="503" spans="1:31" s="100" customFormat="1" ht="20.100000000000001" customHeight="1" x14ac:dyDescent="0.25">
      <c r="A503" s="99"/>
      <c r="B503" s="99"/>
      <c r="C503" s="99"/>
      <c r="D503" s="99"/>
      <c r="E503" s="99"/>
      <c r="F503" s="99"/>
      <c r="G503" s="99"/>
      <c r="H503" s="99"/>
      <c r="I503" s="99"/>
      <c r="J503" s="99"/>
      <c r="K503" s="99"/>
      <c r="L503" s="99"/>
      <c r="M503" s="99"/>
      <c r="N503" s="99"/>
      <c r="O503" s="99"/>
      <c r="P503" s="99"/>
      <c r="Q503" s="99"/>
      <c r="R503" s="99"/>
      <c r="S503" s="99"/>
      <c r="T503" s="99"/>
      <c r="U503" s="99"/>
      <c r="V503" s="99"/>
      <c r="AE503" s="99"/>
    </row>
    <row r="504" spans="1:31" s="100" customFormat="1" ht="20.100000000000001" customHeight="1" x14ac:dyDescent="0.25">
      <c r="A504" s="99"/>
      <c r="B504" s="99"/>
      <c r="C504" s="99"/>
      <c r="D504" s="99"/>
      <c r="E504" s="99"/>
      <c r="F504" s="99"/>
      <c r="G504" s="99"/>
      <c r="H504" s="99"/>
      <c r="I504" s="99"/>
      <c r="J504" s="99"/>
      <c r="K504" s="99"/>
      <c r="L504" s="99"/>
      <c r="M504" s="99"/>
      <c r="N504" s="99"/>
      <c r="O504" s="99"/>
      <c r="P504" s="99"/>
      <c r="Q504" s="99"/>
      <c r="R504" s="99"/>
      <c r="S504" s="99"/>
      <c r="T504" s="99"/>
      <c r="U504" s="99"/>
      <c r="V504" s="99"/>
      <c r="AE504" s="99"/>
    </row>
    <row r="505" spans="1:31" s="100" customFormat="1" ht="20.100000000000001" customHeight="1" x14ac:dyDescent="0.25">
      <c r="A505" s="176" t="s">
        <v>414</v>
      </c>
      <c r="B505" s="176"/>
      <c r="C505" s="176"/>
      <c r="D505" s="176"/>
      <c r="E505" s="176"/>
      <c r="F505" s="176"/>
      <c r="G505" s="176"/>
      <c r="H505" s="176"/>
      <c r="I505" s="176"/>
      <c r="J505" s="176"/>
      <c r="K505" s="176"/>
      <c r="L505" s="176"/>
      <c r="M505" s="176"/>
      <c r="N505" s="176"/>
      <c r="O505" s="176"/>
      <c r="P505" s="176"/>
      <c r="Q505" s="176"/>
      <c r="R505" s="176"/>
      <c r="S505" s="176"/>
      <c r="T505" s="176"/>
      <c r="U505" s="99"/>
      <c r="V505" s="99"/>
      <c r="AE505" s="99"/>
    </row>
    <row r="506" spans="1:31" s="100" customFormat="1" ht="20.100000000000001" customHeight="1" x14ac:dyDescent="0.25">
      <c r="A506" s="99"/>
      <c r="B506" s="99"/>
      <c r="C506" s="99"/>
      <c r="D506" s="99"/>
      <c r="E506" s="99"/>
      <c r="F506" s="99"/>
      <c r="G506" s="99"/>
      <c r="H506" s="99"/>
      <c r="I506" s="99"/>
      <c r="J506" s="99"/>
      <c r="K506" s="99"/>
      <c r="L506" s="99"/>
      <c r="M506" s="99"/>
      <c r="N506" s="99"/>
      <c r="O506" s="99"/>
      <c r="P506" s="99"/>
      <c r="Q506" s="99"/>
      <c r="R506" s="99"/>
      <c r="S506" s="99"/>
      <c r="T506" s="99"/>
      <c r="U506" s="99"/>
      <c r="V506" s="99"/>
      <c r="AE506" s="99"/>
    </row>
    <row r="507" spans="1:31" s="100" customFormat="1" ht="20.100000000000001" customHeight="1" x14ac:dyDescent="0.25">
      <c r="A507" s="162" t="s">
        <v>416</v>
      </c>
      <c r="B507" s="162"/>
      <c r="C507" s="162"/>
      <c r="D507" s="162"/>
      <c r="E507" s="162"/>
      <c r="F507" s="162"/>
      <c r="G507" s="105"/>
      <c r="H507" s="105"/>
      <c r="I507" s="105"/>
      <c r="J507" s="105"/>
      <c r="K507" s="105"/>
      <c r="L507" s="105"/>
      <c r="M507" s="105"/>
      <c r="N507" s="177" t="s">
        <v>268</v>
      </c>
      <c r="O507" s="177"/>
      <c r="P507" s="177"/>
      <c r="Q507" s="177"/>
      <c r="R507" s="177"/>
      <c r="S507" s="177"/>
      <c r="T507" s="177"/>
      <c r="U507" s="99"/>
      <c r="V507" s="99"/>
      <c r="AE507" s="99"/>
    </row>
    <row r="508" spans="1:31" s="100" customFormat="1" ht="20.100000000000001" customHeight="1" x14ac:dyDescent="0.25">
      <c r="A508" s="162" t="s">
        <v>417</v>
      </c>
      <c r="B508" s="162"/>
      <c r="C508" s="162"/>
      <c r="D508" s="162"/>
      <c r="E508" s="162"/>
      <c r="F508" s="162"/>
      <c r="G508" s="105"/>
      <c r="H508" s="105"/>
      <c r="I508" s="105"/>
      <c r="J508" s="105"/>
      <c r="K508" s="105"/>
      <c r="L508" s="105"/>
      <c r="M508" s="105"/>
      <c r="N508" s="110">
        <f>G398</f>
        <v>10</v>
      </c>
      <c r="O508" s="105" t="s">
        <v>418</v>
      </c>
      <c r="P508" s="105"/>
      <c r="Q508" s="105"/>
      <c r="R508" s="105"/>
      <c r="S508" s="105"/>
      <c r="T508" s="105"/>
      <c r="U508" s="99"/>
      <c r="V508" s="99"/>
      <c r="AE508" s="99"/>
    </row>
    <row r="509" spans="1:31" s="100" customFormat="1" ht="20.100000000000001" customHeight="1" x14ac:dyDescent="0.25">
      <c r="A509" s="99"/>
      <c r="B509" s="99"/>
      <c r="C509" s="99"/>
      <c r="D509" s="99"/>
      <c r="E509" s="99"/>
      <c r="F509" s="99"/>
      <c r="G509" s="99"/>
      <c r="H509" s="99"/>
      <c r="I509" s="99"/>
      <c r="J509" s="99"/>
      <c r="K509" s="99"/>
      <c r="L509" s="99"/>
      <c r="M509" s="99"/>
      <c r="N509" s="99"/>
      <c r="O509" s="99"/>
      <c r="P509" s="99"/>
      <c r="Q509" s="99"/>
      <c r="R509" s="99"/>
      <c r="S509" s="99"/>
      <c r="T509" s="99"/>
      <c r="U509" s="99"/>
      <c r="V509" s="99"/>
      <c r="AE509" s="99"/>
    </row>
    <row r="510" spans="1:31" s="100" customFormat="1" ht="20.100000000000001" customHeight="1" x14ac:dyDescent="0.25">
      <c r="A510" s="162" t="s">
        <v>419</v>
      </c>
      <c r="B510" s="162"/>
      <c r="C510" s="162"/>
      <c r="D510" s="162"/>
      <c r="E510" s="162"/>
      <c r="F510" s="162"/>
      <c r="G510" s="162"/>
      <c r="H510" s="162"/>
      <c r="I510" s="162"/>
      <c r="J510" s="162"/>
      <c r="K510" s="162"/>
      <c r="L510" s="162"/>
      <c r="M510" s="162"/>
      <c r="N510" s="162"/>
      <c r="O510" s="163">
        <f>O350</f>
        <v>162172.40087584144</v>
      </c>
      <c r="P510" s="163"/>
      <c r="Q510" s="163"/>
      <c r="R510" s="163"/>
      <c r="S510" s="163"/>
      <c r="T510" s="163"/>
      <c r="U510" s="99"/>
      <c r="V510" s="99"/>
      <c r="Y510" s="100" t="s">
        <v>415</v>
      </c>
      <c r="AE510" s="99"/>
    </row>
    <row r="511" spans="1:31" s="100" customFormat="1" ht="20.100000000000001" customHeight="1" x14ac:dyDescent="0.25">
      <c r="A511" s="162" t="s">
        <v>420</v>
      </c>
      <c r="B511" s="162"/>
      <c r="C511" s="162"/>
      <c r="D511" s="162"/>
      <c r="E511" s="162"/>
      <c r="F511" s="162"/>
      <c r="G511" s="162"/>
      <c r="H511" s="162"/>
      <c r="I511" s="162"/>
      <c r="J511" s="162"/>
      <c r="K511" s="162"/>
      <c r="L511" s="162"/>
      <c r="M511" s="162"/>
      <c r="N511" s="162"/>
      <c r="O511" s="163">
        <f>O502</f>
        <v>188925.57461846207</v>
      </c>
      <c r="P511" s="163"/>
      <c r="Q511" s="163"/>
      <c r="R511" s="163"/>
      <c r="S511" s="163"/>
      <c r="T511" s="163"/>
      <c r="U511" s="99"/>
      <c r="V511" s="99"/>
      <c r="Y511" s="100" t="s">
        <v>497</v>
      </c>
      <c r="Z511" s="112">
        <f>MATCH(G398,'VANTAGEM DA COISA FEITA'!U12:U81,0)</f>
        <v>10</v>
      </c>
      <c r="AE511" s="99"/>
    </row>
    <row r="512" spans="1:31" s="100" customFormat="1" ht="20.100000000000001" customHeight="1" x14ac:dyDescent="0.25">
      <c r="A512" s="99"/>
      <c r="B512" s="99"/>
      <c r="C512" s="99"/>
      <c r="D512" s="99"/>
      <c r="E512" s="99"/>
      <c r="F512" s="99"/>
      <c r="G512" s="99"/>
      <c r="H512" s="99"/>
      <c r="I512" s="99"/>
      <c r="J512" s="99"/>
      <c r="K512" s="99"/>
      <c r="L512" s="99"/>
      <c r="M512" s="99"/>
      <c r="N512" s="99"/>
      <c r="O512" s="99"/>
      <c r="P512" s="99"/>
      <c r="Q512" s="99"/>
      <c r="R512" s="99"/>
      <c r="S512" s="99"/>
      <c r="T512" s="99"/>
      <c r="U512" s="99"/>
      <c r="V512" s="99"/>
      <c r="Y512" s="100" t="s">
        <v>498</v>
      </c>
      <c r="Z512" s="112">
        <f>MATCH(N507,'VANTAGEM DA COISA FEITA'!V11:Y11,0)</f>
        <v>3</v>
      </c>
      <c r="AE512" s="99"/>
    </row>
    <row r="513" spans="1:31" s="100" customFormat="1" ht="20.100000000000001" customHeight="1" x14ac:dyDescent="0.25">
      <c r="A513" s="162" t="s">
        <v>421</v>
      </c>
      <c r="B513" s="162"/>
      <c r="C513" s="162"/>
      <c r="D513" s="162"/>
      <c r="E513" s="162"/>
      <c r="F513" s="162"/>
      <c r="G513" s="162"/>
      <c r="H513" s="162"/>
      <c r="I513" s="162"/>
      <c r="J513" s="162"/>
      <c r="K513" s="162"/>
      <c r="L513" s="162"/>
      <c r="M513" s="162"/>
      <c r="N513" s="162"/>
      <c r="O513" s="163">
        <f>O510+O511</f>
        <v>351097.97549430351</v>
      </c>
      <c r="P513" s="163"/>
      <c r="Q513" s="163"/>
      <c r="R513" s="163"/>
      <c r="S513" s="163"/>
      <c r="T513" s="163"/>
      <c r="U513" s="99"/>
      <c r="V513" s="99"/>
      <c r="Y513" s="100" t="s">
        <v>499</v>
      </c>
      <c r="Z513" s="113" cm="1">
        <f t="array" ref="Z513">INDEX('VANTAGEM DA COISA FEITA'!V12:Y81,Z511,Z512)</f>
        <v>8.4000000000000005E-2</v>
      </c>
      <c r="AE513" s="99"/>
    </row>
    <row r="514" spans="1:31" s="100" customFormat="1" ht="20.100000000000001" customHeight="1" x14ac:dyDescent="0.25">
      <c r="A514" s="162" t="s">
        <v>422</v>
      </c>
      <c r="B514" s="162"/>
      <c r="C514" s="162"/>
      <c r="D514" s="162"/>
      <c r="E514" s="162"/>
      <c r="F514" s="162"/>
      <c r="G514" s="162"/>
      <c r="H514" s="162"/>
      <c r="I514" s="162"/>
      <c r="J514" s="162"/>
      <c r="K514" s="162"/>
      <c r="L514" s="162"/>
      <c r="M514" s="162"/>
      <c r="N514" s="162"/>
      <c r="O514" s="162">
        <f>1+Z513</f>
        <v>1.0840000000000001</v>
      </c>
      <c r="P514" s="162"/>
      <c r="Q514" s="162"/>
      <c r="R514" s="162"/>
      <c r="S514" s="162"/>
      <c r="T514" s="162"/>
      <c r="U514" s="99"/>
      <c r="V514" s="99"/>
      <c r="AE514" s="99"/>
    </row>
    <row r="515" spans="1:31" s="100" customFormat="1" ht="20.100000000000001" customHeight="1" x14ac:dyDescent="0.25">
      <c r="A515" s="99"/>
      <c r="B515" s="99"/>
      <c r="C515" s="99"/>
      <c r="D515" s="99"/>
      <c r="E515" s="99"/>
      <c r="F515" s="99"/>
      <c r="G515" s="99"/>
      <c r="H515" s="99"/>
      <c r="I515" s="99"/>
      <c r="J515" s="99"/>
      <c r="K515" s="99"/>
      <c r="L515" s="99"/>
      <c r="M515" s="99"/>
      <c r="N515" s="99"/>
      <c r="O515" s="99"/>
      <c r="P515" s="99"/>
      <c r="Q515" s="99"/>
      <c r="R515" s="99"/>
      <c r="S515" s="99"/>
      <c r="T515" s="99"/>
      <c r="U515" s="99"/>
      <c r="V515" s="99"/>
      <c r="Z515" s="106"/>
      <c r="AE515" s="99"/>
    </row>
    <row r="516" spans="1:31" s="100" customFormat="1" ht="20.100000000000001" customHeight="1" x14ac:dyDescent="0.25">
      <c r="A516" s="162" t="s">
        <v>424</v>
      </c>
      <c r="B516" s="162"/>
      <c r="C516" s="162"/>
      <c r="D516" s="162"/>
      <c r="E516" s="162"/>
      <c r="F516" s="162"/>
      <c r="G516" s="162"/>
      <c r="H516" s="162"/>
      <c r="I516" s="162"/>
      <c r="J516" s="162"/>
      <c r="K516" s="162"/>
      <c r="L516" s="162"/>
      <c r="M516" s="162"/>
      <c r="N516" s="162"/>
      <c r="O516" s="163">
        <f>O513*O514</f>
        <v>380590.20543582505</v>
      </c>
      <c r="P516" s="163"/>
      <c r="Q516" s="163"/>
      <c r="R516" s="163"/>
      <c r="S516" s="163"/>
      <c r="T516" s="163"/>
      <c r="U516" s="99"/>
      <c r="V516" s="99"/>
      <c r="Z516" s="106"/>
      <c r="AE516" s="99"/>
    </row>
    <row r="517" spans="1:31" s="100" customFormat="1" ht="20.100000000000001" customHeight="1" x14ac:dyDescent="0.25">
      <c r="A517" s="99"/>
      <c r="B517" s="99"/>
      <c r="C517" s="99"/>
      <c r="D517" s="99"/>
      <c r="E517" s="99"/>
      <c r="F517" s="99"/>
      <c r="G517" s="99"/>
      <c r="H517" s="99"/>
      <c r="I517" s="99"/>
      <c r="J517" s="99"/>
      <c r="K517" s="99"/>
      <c r="L517" s="99"/>
      <c r="M517" s="99"/>
      <c r="N517" s="99"/>
      <c r="O517" s="99"/>
      <c r="P517" s="99"/>
      <c r="Q517" s="99"/>
      <c r="R517" s="99"/>
      <c r="S517" s="99"/>
      <c r="T517" s="99"/>
      <c r="U517" s="99"/>
      <c r="V517" s="99"/>
      <c r="Z517" s="106"/>
      <c r="AE517" s="99"/>
    </row>
    <row r="518" spans="1:31" s="100" customFormat="1" ht="20.100000000000001" customHeight="1" x14ac:dyDescent="0.25">
      <c r="A518" s="99"/>
      <c r="B518" s="99"/>
      <c r="C518" s="99"/>
      <c r="D518" s="99"/>
      <c r="E518" s="99"/>
      <c r="F518" s="99"/>
      <c r="G518" s="99"/>
      <c r="H518" s="99"/>
      <c r="I518" s="99"/>
      <c r="J518" s="99"/>
      <c r="K518" s="99"/>
      <c r="L518" s="99"/>
      <c r="M518" s="99"/>
      <c r="N518" s="99"/>
      <c r="O518" s="99"/>
      <c r="P518" s="99"/>
      <c r="Q518" s="99"/>
      <c r="R518" s="99"/>
      <c r="S518" s="99"/>
      <c r="T518" s="99"/>
      <c r="U518" s="99"/>
      <c r="V518" s="99"/>
      <c r="AE518" s="99"/>
    </row>
    <row r="519" spans="1:31" s="100" customFormat="1" ht="20.100000000000001" customHeight="1" x14ac:dyDescent="0.25">
      <c r="A519" s="162" t="s">
        <v>426</v>
      </c>
      <c r="B519" s="162"/>
      <c r="C519" s="162"/>
      <c r="D519" s="162"/>
      <c r="E519" s="162"/>
      <c r="F519" s="162"/>
      <c r="G519" s="162"/>
      <c r="H519" s="162"/>
      <c r="I519" s="162"/>
      <c r="J519" s="162"/>
      <c r="K519" s="162"/>
      <c r="L519" s="162"/>
      <c r="M519" s="162"/>
      <c r="N519" s="162"/>
      <c r="O519" s="162"/>
      <c r="P519" s="162"/>
      <c r="Q519" s="162"/>
      <c r="R519" s="162"/>
      <c r="S519" s="162"/>
      <c r="T519" s="162"/>
      <c r="U519" s="99"/>
      <c r="V519" s="99"/>
      <c r="AE519" s="99"/>
    </row>
    <row r="520" spans="1:31" s="100" customFormat="1" ht="20.100000000000001" customHeight="1" x14ac:dyDescent="0.25">
      <c r="A520" s="99"/>
      <c r="B520" s="99"/>
      <c r="C520" s="99"/>
      <c r="D520" s="99"/>
      <c r="E520" s="99"/>
      <c r="F520" s="99"/>
      <c r="G520" s="99"/>
      <c r="H520" s="99"/>
      <c r="I520" s="99"/>
      <c r="J520" s="99"/>
      <c r="K520" s="99"/>
      <c r="L520" s="99"/>
      <c r="M520" s="99"/>
      <c r="N520" s="99"/>
      <c r="O520" s="99"/>
      <c r="P520" s="99"/>
      <c r="Q520" s="99"/>
      <c r="R520" s="99"/>
      <c r="S520" s="99"/>
      <c r="T520" s="99"/>
      <c r="U520" s="99"/>
      <c r="V520" s="99"/>
      <c r="Y520" s="100" t="s">
        <v>423</v>
      </c>
      <c r="Z520" s="107">
        <f>O510/(O510+O511)</f>
        <v>0.46190070064494765</v>
      </c>
      <c r="AE520" s="99"/>
    </row>
    <row r="521" spans="1:31" s="100" customFormat="1" ht="20.100000000000001" customHeight="1" x14ac:dyDescent="0.25">
      <c r="A521" s="99"/>
      <c r="B521" s="99"/>
      <c r="C521" s="99"/>
      <c r="D521" s="99"/>
      <c r="E521" s="99"/>
      <c r="F521" s="99"/>
      <c r="G521" s="99"/>
      <c r="H521" s="99"/>
      <c r="I521" s="99"/>
      <c r="J521" s="99"/>
      <c r="K521" s="99"/>
      <c r="L521" s="99"/>
      <c r="M521" s="99"/>
      <c r="N521" s="99"/>
      <c r="O521" s="99"/>
      <c r="P521" s="99"/>
      <c r="Q521" s="99"/>
      <c r="R521" s="99"/>
      <c r="S521" s="99"/>
      <c r="T521" s="99"/>
      <c r="U521" s="99"/>
      <c r="V521" s="99"/>
      <c r="Y521" s="100" t="s">
        <v>425</v>
      </c>
      <c r="Z521" s="107">
        <f>O511/(O510+O511)</f>
        <v>0.53809929935505241</v>
      </c>
      <c r="AE521" s="99"/>
    </row>
    <row r="522" spans="1:31" s="100" customFormat="1" ht="20.100000000000001" customHeight="1" x14ac:dyDescent="0.25">
      <c r="A522" s="99"/>
      <c r="B522" s="99"/>
      <c r="C522" s="99"/>
      <c r="D522" s="99"/>
      <c r="E522" s="99"/>
      <c r="F522" s="99"/>
      <c r="G522" s="99"/>
      <c r="H522" s="99"/>
      <c r="I522" s="99"/>
      <c r="J522" s="99"/>
      <c r="K522" s="99"/>
      <c r="L522" s="99"/>
      <c r="M522" s="99"/>
      <c r="N522" s="99"/>
      <c r="O522" s="99"/>
      <c r="P522" s="99"/>
      <c r="Q522" s="99"/>
      <c r="R522" s="99"/>
      <c r="S522" s="99"/>
      <c r="T522" s="99"/>
      <c r="U522" s="99"/>
      <c r="V522" s="99"/>
      <c r="AE522" s="99"/>
    </row>
    <row r="523" spans="1:31" s="100" customFormat="1" ht="20.100000000000001" customHeight="1" x14ac:dyDescent="0.25">
      <c r="A523" s="99"/>
      <c r="B523" s="99"/>
      <c r="C523" s="99"/>
      <c r="D523" s="99"/>
      <c r="E523" s="99"/>
      <c r="F523" s="99"/>
      <c r="G523" s="99"/>
      <c r="H523" s="99"/>
      <c r="I523" s="99"/>
      <c r="J523" s="99"/>
      <c r="K523" s="99"/>
      <c r="L523" s="99"/>
      <c r="M523" s="99"/>
      <c r="N523" s="99"/>
      <c r="O523" s="99"/>
      <c r="P523" s="99"/>
      <c r="Q523" s="99"/>
      <c r="R523" s="99"/>
      <c r="S523" s="99"/>
      <c r="T523" s="99"/>
      <c r="U523" s="99"/>
      <c r="V523" s="99"/>
      <c r="AE523" s="99"/>
    </row>
    <row r="524" spans="1:31" s="100" customFormat="1" ht="20.100000000000001" customHeight="1" x14ac:dyDescent="0.25">
      <c r="A524" s="99"/>
      <c r="B524" s="99"/>
      <c r="C524" s="99"/>
      <c r="D524" s="99"/>
      <c r="E524" s="99"/>
      <c r="F524" s="99"/>
      <c r="G524" s="99"/>
      <c r="H524" s="99"/>
      <c r="I524" s="99"/>
      <c r="J524" s="99"/>
      <c r="K524" s="99"/>
      <c r="L524" s="99"/>
      <c r="M524" s="99"/>
      <c r="N524" s="99"/>
      <c r="O524" s="99"/>
      <c r="P524" s="99"/>
      <c r="Q524" s="99"/>
      <c r="R524" s="99"/>
      <c r="S524" s="99"/>
      <c r="T524" s="99"/>
      <c r="U524" s="99"/>
      <c r="V524" s="99"/>
      <c r="AE524" s="99"/>
    </row>
    <row r="525" spans="1:31" s="100" customFormat="1" ht="20.100000000000001" customHeight="1" x14ac:dyDescent="0.25">
      <c r="A525" s="99"/>
      <c r="B525" s="99"/>
      <c r="C525" s="99"/>
      <c r="D525" s="99"/>
      <c r="E525" s="99"/>
      <c r="F525" s="99"/>
      <c r="G525" s="99"/>
      <c r="H525" s="99"/>
      <c r="I525" s="99"/>
      <c r="J525" s="99"/>
      <c r="K525" s="99"/>
      <c r="L525" s="99"/>
      <c r="M525" s="99"/>
      <c r="N525" s="99"/>
      <c r="O525" s="99"/>
      <c r="P525" s="99"/>
      <c r="Q525" s="99"/>
      <c r="R525" s="99"/>
      <c r="S525" s="99"/>
      <c r="T525" s="99"/>
      <c r="U525" s="99"/>
      <c r="V525" s="99"/>
      <c r="AE525" s="99"/>
    </row>
    <row r="526" spans="1:31" s="100" customFormat="1" ht="20.100000000000001" customHeight="1" x14ac:dyDescent="0.2">
      <c r="A526" s="108"/>
      <c r="B526" s="108"/>
      <c r="C526" s="108"/>
      <c r="D526" s="108"/>
      <c r="E526" s="108"/>
      <c r="F526" s="108"/>
      <c r="G526" s="108"/>
      <c r="H526" s="108"/>
      <c r="I526" s="108"/>
      <c r="J526" s="108"/>
      <c r="K526" s="108"/>
      <c r="L526" s="108"/>
      <c r="M526" s="108"/>
      <c r="N526" s="108"/>
      <c r="O526" s="108"/>
      <c r="P526" s="108"/>
      <c r="Q526" s="108"/>
      <c r="R526" s="108"/>
      <c r="S526" s="108"/>
      <c r="T526" s="108"/>
      <c r="U526" s="99"/>
      <c r="V526" s="99"/>
      <c r="AE526" s="99"/>
    </row>
    <row r="527" spans="1:31" s="100" customFormat="1" ht="20.100000000000001" customHeight="1" x14ac:dyDescent="0.25">
      <c r="A527" s="99"/>
      <c r="B527" s="99"/>
      <c r="C527" s="99"/>
      <c r="D527" s="99"/>
      <c r="E527" s="99"/>
      <c r="F527" s="99"/>
      <c r="G527" s="99"/>
      <c r="H527" s="99"/>
      <c r="I527" s="99"/>
      <c r="J527" s="99"/>
      <c r="K527" s="99"/>
      <c r="L527" s="99"/>
      <c r="M527" s="99"/>
      <c r="N527" s="99"/>
      <c r="O527" s="99"/>
      <c r="P527" s="99"/>
      <c r="Q527" s="99"/>
      <c r="R527" s="99"/>
      <c r="S527" s="99"/>
      <c r="T527" s="99"/>
      <c r="U527" s="99"/>
      <c r="V527" s="99"/>
      <c r="AE527" s="99"/>
    </row>
    <row r="528" spans="1:31" s="100" customFormat="1" ht="20.100000000000001" customHeight="1" x14ac:dyDescent="0.25">
      <c r="A528" s="99"/>
      <c r="B528" s="99"/>
      <c r="C528" s="99"/>
      <c r="D528" s="99"/>
      <c r="E528" s="99"/>
      <c r="F528" s="99"/>
      <c r="G528" s="99"/>
      <c r="H528" s="99"/>
      <c r="I528" s="99"/>
      <c r="J528" s="99"/>
      <c r="K528" s="99"/>
      <c r="L528" s="99"/>
      <c r="M528" s="99"/>
      <c r="N528" s="99"/>
      <c r="O528" s="99"/>
      <c r="P528" s="99"/>
      <c r="Q528" s="99"/>
      <c r="R528" s="99"/>
      <c r="S528" s="99"/>
      <c r="T528" s="99"/>
      <c r="U528" s="99"/>
      <c r="V528" s="99"/>
      <c r="AE528" s="99"/>
    </row>
    <row r="529" spans="1:31" s="100" customFormat="1" ht="20.100000000000001" customHeight="1" x14ac:dyDescent="0.25">
      <c r="A529" s="99"/>
      <c r="B529" s="99"/>
      <c r="C529" s="99"/>
      <c r="D529" s="99"/>
      <c r="E529" s="99"/>
      <c r="F529" s="99"/>
      <c r="G529" s="99"/>
      <c r="H529" s="99"/>
      <c r="I529" s="99"/>
      <c r="J529" s="99"/>
      <c r="K529" s="99"/>
      <c r="L529" s="99"/>
      <c r="M529" s="99"/>
      <c r="N529" s="99"/>
      <c r="O529" s="99"/>
      <c r="P529" s="99"/>
      <c r="Q529" s="99"/>
      <c r="R529" s="99"/>
      <c r="S529" s="99"/>
      <c r="T529" s="99"/>
      <c r="U529" s="99"/>
      <c r="V529" s="99"/>
      <c r="AE529" s="99"/>
    </row>
    <row r="530" spans="1:31" s="100" customFormat="1" ht="20.100000000000001" customHeight="1" x14ac:dyDescent="0.25">
      <c r="A530" s="99"/>
      <c r="B530" s="99"/>
      <c r="C530" s="99"/>
      <c r="D530" s="99"/>
      <c r="E530" s="99"/>
      <c r="F530" s="99"/>
      <c r="G530" s="99"/>
      <c r="H530" s="99"/>
      <c r="I530" s="99"/>
      <c r="J530" s="99"/>
      <c r="K530" s="99"/>
      <c r="L530" s="99"/>
      <c r="M530" s="99"/>
      <c r="N530" s="99"/>
      <c r="O530" s="99"/>
      <c r="P530" s="99"/>
      <c r="Q530" s="99"/>
      <c r="R530" s="99"/>
      <c r="S530" s="99"/>
      <c r="T530" s="99"/>
      <c r="U530" s="99"/>
      <c r="V530" s="99"/>
      <c r="AE530" s="99"/>
    </row>
    <row r="531" spans="1:31" s="100" customFormat="1" ht="20.100000000000001" customHeight="1" x14ac:dyDescent="0.25">
      <c r="A531" s="99"/>
      <c r="B531" s="99"/>
      <c r="C531" s="99"/>
      <c r="D531" s="99"/>
      <c r="E531" s="99"/>
      <c r="F531" s="99"/>
      <c r="G531" s="99"/>
      <c r="H531" s="99"/>
      <c r="I531" s="99"/>
      <c r="J531" s="99"/>
      <c r="K531" s="99"/>
      <c r="L531" s="99"/>
      <c r="M531" s="99"/>
      <c r="N531" s="99"/>
      <c r="O531" s="99"/>
      <c r="P531" s="99"/>
      <c r="Q531" s="99"/>
      <c r="R531" s="99"/>
      <c r="S531" s="99"/>
      <c r="T531" s="99"/>
      <c r="U531" s="99"/>
      <c r="V531" s="99"/>
      <c r="AE531" s="99"/>
    </row>
    <row r="532" spans="1:31" s="100" customFormat="1" ht="20.100000000000001" customHeight="1" x14ac:dyDescent="0.25">
      <c r="A532" s="99"/>
      <c r="B532" s="99"/>
      <c r="C532" s="99"/>
      <c r="D532" s="99"/>
      <c r="E532" s="99"/>
      <c r="F532" s="99"/>
      <c r="G532" s="99"/>
      <c r="H532" s="99"/>
      <c r="I532" s="99"/>
      <c r="J532" s="99"/>
      <c r="K532" s="99"/>
      <c r="L532" s="99"/>
      <c r="M532" s="99"/>
      <c r="N532" s="99"/>
      <c r="O532" s="99"/>
      <c r="P532" s="99"/>
      <c r="Q532" s="99"/>
      <c r="R532" s="99"/>
      <c r="S532" s="99"/>
      <c r="T532" s="99"/>
      <c r="U532" s="99"/>
      <c r="V532" s="99"/>
      <c r="AE532" s="99"/>
    </row>
    <row r="533" spans="1:31" s="100" customFormat="1" ht="20.100000000000001" customHeight="1" x14ac:dyDescent="0.25">
      <c r="A533" s="174" t="s">
        <v>77</v>
      </c>
      <c r="B533" s="174"/>
      <c r="C533" s="174"/>
      <c r="D533" s="174"/>
      <c r="E533" s="174"/>
      <c r="F533" s="174"/>
      <c r="G533" s="174"/>
      <c r="H533" s="174"/>
      <c r="I533" s="174"/>
      <c r="J533" s="174"/>
      <c r="K533" s="174"/>
      <c r="L533" s="174"/>
      <c r="M533" s="174"/>
      <c r="N533" s="174"/>
      <c r="O533" s="160"/>
      <c r="P533" s="160"/>
      <c r="Q533" s="160"/>
      <c r="R533" s="160"/>
      <c r="S533" s="160"/>
      <c r="T533" s="160"/>
      <c r="U533" s="99"/>
      <c r="V533" s="99"/>
      <c r="AE533" s="99"/>
    </row>
    <row r="534" spans="1:31" s="100" customFormat="1" ht="20.100000000000001" customHeight="1" x14ac:dyDescent="0.25">
      <c r="A534" s="162" t="s">
        <v>78</v>
      </c>
      <c r="B534" s="162"/>
      <c r="C534" s="162"/>
      <c r="D534" s="162"/>
      <c r="E534" s="162"/>
      <c r="F534" s="162"/>
      <c r="G534" s="162"/>
      <c r="H534" s="162"/>
      <c r="I534" s="162"/>
      <c r="J534" s="162"/>
      <c r="K534" s="162"/>
      <c r="L534" s="162"/>
      <c r="M534" s="162"/>
      <c r="N534" s="162"/>
      <c r="O534" s="175">
        <v>3</v>
      </c>
      <c r="P534" s="175"/>
      <c r="Q534" s="175"/>
      <c r="R534" s="175"/>
      <c r="S534" s="175"/>
      <c r="T534" s="175"/>
      <c r="U534" s="160" t="str">
        <f>IF(O536&gt;0.01,"Reduzir o número de casas decimais","")</f>
        <v/>
      </c>
      <c r="V534" s="160"/>
      <c r="AE534" s="99"/>
    </row>
    <row r="535" spans="1:31" s="100" customFormat="1" ht="20.100000000000001" customHeight="1" x14ac:dyDescent="0.25">
      <c r="A535" s="159" t="s">
        <v>79</v>
      </c>
      <c r="B535" s="159"/>
      <c r="C535" s="159"/>
      <c r="D535" s="159"/>
      <c r="E535" s="159"/>
      <c r="F535" s="159"/>
      <c r="G535" s="159"/>
      <c r="H535" s="159"/>
      <c r="I535" s="159"/>
      <c r="J535" s="159"/>
      <c r="K535" s="159"/>
      <c r="L535" s="159"/>
      <c r="M535" s="159"/>
      <c r="N535" s="159"/>
      <c r="O535" s="159">
        <f>O538-O516</f>
        <v>409.79456417495385</v>
      </c>
      <c r="P535" s="159"/>
      <c r="Q535" s="159"/>
      <c r="R535" s="159"/>
      <c r="S535" s="159"/>
      <c r="T535" s="159"/>
      <c r="U535" s="99"/>
      <c r="V535" s="99"/>
      <c r="AE535" s="99"/>
    </row>
    <row r="536" spans="1:31" s="100" customFormat="1" ht="20.100000000000001" customHeight="1" x14ac:dyDescent="0.25">
      <c r="A536" s="159" t="s">
        <v>80</v>
      </c>
      <c r="B536" s="159"/>
      <c r="C536" s="159"/>
      <c r="D536" s="159"/>
      <c r="E536" s="159"/>
      <c r="F536" s="159"/>
      <c r="G536" s="159"/>
      <c r="H536" s="159"/>
      <c r="I536" s="159"/>
      <c r="J536" s="159"/>
      <c r="K536" s="159"/>
      <c r="L536" s="159"/>
      <c r="M536" s="159"/>
      <c r="N536" s="159"/>
      <c r="O536" s="179">
        <f>O535/O516</f>
        <v>1.0767343939019293E-3</v>
      </c>
      <c r="P536" s="179"/>
      <c r="Q536" s="179"/>
      <c r="R536" s="179"/>
      <c r="S536" s="179"/>
      <c r="T536" s="179"/>
      <c r="U536" s="99"/>
      <c r="V536" s="99"/>
      <c r="AE536" s="99"/>
    </row>
    <row r="537" spans="1:31" s="100" customFormat="1" ht="20.100000000000001" customHeight="1" x14ac:dyDescent="0.25">
      <c r="A537" s="99"/>
      <c r="B537" s="99"/>
      <c r="C537" s="99"/>
      <c r="D537" s="99"/>
      <c r="E537" s="99"/>
      <c r="F537" s="99"/>
      <c r="G537" s="99"/>
      <c r="H537" s="99"/>
      <c r="I537" s="99"/>
      <c r="J537" s="99"/>
      <c r="K537" s="99"/>
      <c r="L537" s="99"/>
      <c r="M537" s="99"/>
      <c r="N537" s="99"/>
      <c r="O537" s="99"/>
      <c r="P537" s="99"/>
      <c r="Q537" s="99"/>
      <c r="R537" s="99"/>
      <c r="S537" s="99"/>
      <c r="T537" s="99"/>
      <c r="U537" s="99"/>
      <c r="V537" s="99"/>
      <c r="AE537" s="99"/>
    </row>
    <row r="538" spans="1:31" s="100" customFormat="1" ht="20.100000000000001" customHeight="1" x14ac:dyDescent="0.25">
      <c r="A538" s="176" t="s">
        <v>76</v>
      </c>
      <c r="B538" s="176"/>
      <c r="C538" s="176"/>
      <c r="D538" s="176"/>
      <c r="E538" s="176"/>
      <c r="F538" s="176"/>
      <c r="G538" s="176"/>
      <c r="H538" s="176"/>
      <c r="I538" s="176"/>
      <c r="J538" s="176"/>
      <c r="K538" s="176"/>
      <c r="L538" s="176"/>
      <c r="M538" s="176"/>
      <c r="N538" s="176"/>
      <c r="O538" s="180">
        <f>ROUNDUP(O516,-O534)</f>
        <v>381000</v>
      </c>
      <c r="P538" s="180"/>
      <c r="Q538" s="180"/>
      <c r="R538" s="180"/>
      <c r="S538" s="180"/>
      <c r="T538" s="180"/>
      <c r="U538" s="99"/>
      <c r="V538" s="99"/>
      <c r="AE538" s="99"/>
    </row>
    <row r="539" spans="1:31" s="100" customFormat="1" ht="20.100000000000001" customHeight="1" x14ac:dyDescent="0.25">
      <c r="A539" s="99"/>
      <c r="B539" s="99"/>
      <c r="C539" s="99"/>
      <c r="D539" s="99"/>
      <c r="E539" s="99"/>
      <c r="F539" s="99"/>
      <c r="G539" s="99"/>
      <c r="H539" s="99"/>
      <c r="I539" s="99"/>
      <c r="J539" s="99"/>
      <c r="K539" s="99"/>
      <c r="L539" s="99"/>
      <c r="M539" s="99"/>
      <c r="N539" s="99"/>
      <c r="O539" s="99"/>
      <c r="P539" s="99"/>
      <c r="Q539" s="99"/>
      <c r="R539" s="99"/>
      <c r="S539" s="99"/>
      <c r="T539" s="99"/>
      <c r="U539" s="99"/>
      <c r="V539" s="99"/>
      <c r="AE539" s="99"/>
    </row>
    <row r="540" spans="1:31" s="100" customFormat="1" ht="20.100000000000001" customHeight="1" x14ac:dyDescent="0.25">
      <c r="A540" s="99"/>
      <c r="B540" s="99"/>
      <c r="C540" s="99"/>
      <c r="D540" s="99"/>
      <c r="E540" s="99"/>
      <c r="F540" s="99"/>
      <c r="G540" s="99"/>
      <c r="H540" s="99"/>
      <c r="I540" s="99"/>
      <c r="J540" s="99"/>
      <c r="K540" s="99"/>
      <c r="L540" s="99"/>
      <c r="M540" s="99"/>
      <c r="N540" s="99"/>
      <c r="O540" s="99"/>
      <c r="P540" s="99"/>
      <c r="Q540" s="99"/>
      <c r="R540" s="99"/>
      <c r="S540" s="99"/>
      <c r="T540" s="99"/>
      <c r="U540" s="99"/>
      <c r="V540" s="99"/>
      <c r="AE540" s="99"/>
    </row>
    <row r="541" spans="1:31" s="100" customFormat="1" ht="20.100000000000001" customHeight="1" x14ac:dyDescent="0.25">
      <c r="A541" s="121"/>
      <c r="B541" s="121"/>
      <c r="C541" s="121"/>
      <c r="D541" s="121"/>
      <c r="E541" s="121"/>
      <c r="F541" s="121"/>
      <c r="G541" s="121"/>
      <c r="H541" s="121"/>
      <c r="I541" s="121"/>
      <c r="J541" s="121"/>
      <c r="K541" s="121"/>
      <c r="L541" s="121"/>
      <c r="M541" s="121"/>
      <c r="N541" s="121"/>
      <c r="O541" s="121"/>
      <c r="P541" s="121"/>
      <c r="Q541" s="121"/>
      <c r="R541" s="121"/>
      <c r="S541" s="121"/>
      <c r="T541" s="121"/>
      <c r="U541" s="99"/>
      <c r="V541" s="99"/>
      <c r="AE541" s="99"/>
    </row>
    <row r="542" spans="1:31" s="100" customFormat="1" ht="20.100000000000001" customHeight="1" x14ac:dyDescent="0.25">
      <c r="A542" s="121" t="s">
        <v>85</v>
      </c>
      <c r="B542" s="121"/>
      <c r="C542" s="121"/>
      <c r="D542" s="121"/>
      <c r="E542" s="121"/>
      <c r="F542" s="121"/>
      <c r="G542" s="121"/>
      <c r="H542" s="121"/>
      <c r="I542" s="121"/>
      <c r="J542" s="121"/>
      <c r="K542" s="121"/>
      <c r="L542" s="121"/>
      <c r="M542" s="121"/>
      <c r="N542" s="121"/>
      <c r="O542" s="121"/>
      <c r="P542" s="121"/>
      <c r="Q542" s="121"/>
      <c r="R542" s="121"/>
      <c r="S542" s="121"/>
      <c r="T542" s="121"/>
      <c r="U542" s="99"/>
      <c r="V542" s="99"/>
      <c r="AE542" s="99"/>
    </row>
    <row r="543" spans="1:31" s="100" customFormat="1" ht="20.100000000000001" customHeight="1" x14ac:dyDescent="0.25">
      <c r="A543" s="121" t="s">
        <v>84</v>
      </c>
      <c r="B543" s="121"/>
      <c r="C543" s="121"/>
      <c r="D543" s="121"/>
      <c r="E543" s="121"/>
      <c r="F543" s="121"/>
      <c r="G543" s="121"/>
      <c r="H543" s="121"/>
      <c r="I543" s="121"/>
      <c r="J543" s="121"/>
      <c r="K543" s="121"/>
      <c r="L543" s="121"/>
      <c r="M543" s="121"/>
      <c r="N543" s="121"/>
      <c r="O543" s="121"/>
      <c r="P543" s="121"/>
      <c r="Q543" s="121"/>
      <c r="R543" s="121"/>
      <c r="S543" s="121"/>
      <c r="T543" s="121"/>
      <c r="U543" s="99"/>
      <c r="V543" s="99"/>
      <c r="AE543" s="99"/>
    </row>
    <row r="544" spans="1:31" s="100" customFormat="1" ht="20.100000000000001" customHeight="1" x14ac:dyDescent="0.25">
      <c r="A544" s="99"/>
      <c r="B544" s="99"/>
      <c r="C544" s="99"/>
      <c r="D544" s="99"/>
      <c r="E544" s="99"/>
      <c r="F544" s="99"/>
      <c r="G544" s="99"/>
      <c r="H544" s="99"/>
      <c r="I544" s="99"/>
      <c r="J544" s="99"/>
      <c r="K544" s="99"/>
      <c r="L544" s="99"/>
      <c r="M544" s="99"/>
      <c r="N544" s="99"/>
      <c r="O544" s="99"/>
      <c r="P544" s="99"/>
      <c r="Q544" s="99"/>
      <c r="R544" s="99"/>
      <c r="S544" s="99"/>
      <c r="T544" s="99"/>
      <c r="U544" s="99"/>
      <c r="V544" s="99"/>
      <c r="AE544" s="99"/>
    </row>
    <row r="546" spans="1:20" ht="20.100000000000001" customHeight="1" x14ac:dyDescent="0.25">
      <c r="A546" s="130" t="s">
        <v>81</v>
      </c>
      <c r="B546" s="130"/>
      <c r="C546" s="130"/>
      <c r="D546" s="130"/>
      <c r="E546" s="130"/>
      <c r="F546" s="130"/>
      <c r="G546" s="130"/>
      <c r="H546" s="130"/>
      <c r="I546" s="130"/>
      <c r="J546" s="130"/>
      <c r="K546" s="130"/>
      <c r="L546" s="130"/>
      <c r="M546" s="130"/>
      <c r="N546" s="130"/>
      <c r="O546" s="130"/>
      <c r="P546" s="130"/>
      <c r="Q546" s="130"/>
      <c r="R546" s="130"/>
      <c r="S546" s="130"/>
      <c r="T546" s="130"/>
    </row>
    <row r="547" spans="1:20" ht="20.100000000000001" customHeight="1" x14ac:dyDescent="0.25">
      <c r="A547" s="130" t="s">
        <v>515</v>
      </c>
      <c r="B547" s="130"/>
      <c r="C547" s="130"/>
      <c r="D547" s="130"/>
      <c r="E547" s="130"/>
      <c r="F547" s="130"/>
      <c r="G547" s="130"/>
      <c r="H547" s="130"/>
      <c r="I547" s="130"/>
      <c r="J547" s="130"/>
      <c r="K547" s="130"/>
      <c r="L547" s="130"/>
      <c r="M547" s="130"/>
      <c r="N547" s="130"/>
      <c r="O547" s="130"/>
      <c r="P547" s="130"/>
      <c r="Q547" s="130"/>
      <c r="R547" s="130"/>
      <c r="S547" s="130"/>
      <c r="T547" s="130"/>
    </row>
    <row r="548" spans="1:20" ht="20.100000000000001" customHeight="1" x14ac:dyDescent="0.25">
      <c r="A548" s="130" t="s">
        <v>104</v>
      </c>
      <c r="B548" s="130"/>
      <c r="C548" s="130"/>
      <c r="D548" s="130"/>
      <c r="E548" s="130"/>
      <c r="F548" s="130"/>
      <c r="G548" s="130"/>
      <c r="H548" s="130"/>
      <c r="I548" s="130"/>
      <c r="J548" s="130"/>
      <c r="K548" s="130"/>
      <c r="L548" s="130"/>
      <c r="M548" s="130"/>
      <c r="N548" s="130"/>
      <c r="O548" s="130"/>
      <c r="P548" s="130"/>
      <c r="Q548" s="130"/>
      <c r="R548" s="130"/>
      <c r="S548" s="130"/>
      <c r="T548" s="130"/>
    </row>
    <row r="549" spans="1:20" ht="20.100000000000001" customHeight="1" x14ac:dyDescent="0.25">
      <c r="A549" s="130" t="s">
        <v>502</v>
      </c>
      <c r="B549" s="130"/>
      <c r="C549" s="130"/>
      <c r="D549" s="130"/>
      <c r="E549" s="130"/>
      <c r="F549" s="130"/>
      <c r="G549" s="130"/>
      <c r="H549" s="130"/>
      <c r="I549" s="130"/>
      <c r="J549" s="130"/>
      <c r="K549" s="130"/>
      <c r="L549" s="130"/>
      <c r="M549" s="130"/>
      <c r="N549" s="130"/>
      <c r="O549" s="130"/>
      <c r="P549" s="130"/>
      <c r="Q549" s="130"/>
      <c r="R549" s="130"/>
      <c r="S549" s="130"/>
      <c r="T549" s="130"/>
    </row>
    <row r="550" spans="1:20" ht="20.100000000000001" customHeight="1" x14ac:dyDescent="0.25">
      <c r="A550" s="130" t="s">
        <v>503</v>
      </c>
      <c r="B550" s="130"/>
      <c r="C550" s="130"/>
      <c r="D550" s="130"/>
      <c r="E550" s="130"/>
      <c r="F550" s="130"/>
      <c r="G550" s="130"/>
      <c r="H550" s="130"/>
      <c r="I550" s="130"/>
      <c r="J550" s="130"/>
      <c r="K550" s="130"/>
      <c r="L550" s="130"/>
      <c r="M550" s="130"/>
      <c r="N550" s="130"/>
      <c r="O550" s="130"/>
      <c r="P550" s="130"/>
      <c r="Q550" s="130"/>
      <c r="R550" s="130"/>
      <c r="S550" s="130"/>
      <c r="T550" s="130"/>
    </row>
    <row r="551" spans="1:20" ht="20.100000000000001" customHeight="1" x14ac:dyDescent="0.25">
      <c r="A551" s="130" t="s">
        <v>504</v>
      </c>
      <c r="B551" s="130"/>
      <c r="C551" s="130"/>
      <c r="D551" s="130"/>
      <c r="E551" s="130"/>
      <c r="F551" s="130"/>
      <c r="G551" s="130"/>
      <c r="H551" s="130"/>
      <c r="I551" s="130"/>
      <c r="J551" s="130"/>
      <c r="K551" s="130"/>
      <c r="L551" s="130"/>
      <c r="M551" s="130"/>
      <c r="N551" s="130"/>
      <c r="O551" s="130"/>
      <c r="P551" s="130"/>
      <c r="Q551" s="130"/>
      <c r="R551" s="130"/>
      <c r="S551" s="130"/>
      <c r="T551" s="130"/>
    </row>
    <row r="552" spans="1:20" ht="20.100000000000001" customHeight="1" x14ac:dyDescent="0.25">
      <c r="A552" s="130" t="s">
        <v>505</v>
      </c>
      <c r="B552" s="130"/>
      <c r="C552" s="130"/>
      <c r="D552" s="130"/>
      <c r="E552" s="130"/>
      <c r="F552" s="130"/>
      <c r="G552" s="130"/>
      <c r="H552" s="130"/>
      <c r="I552" s="130"/>
      <c r="J552" s="130"/>
      <c r="K552" s="130"/>
      <c r="L552" s="130"/>
      <c r="M552" s="130"/>
      <c r="N552" s="130"/>
      <c r="O552" s="130"/>
      <c r="P552" s="130"/>
      <c r="Q552" s="130"/>
      <c r="R552" s="130"/>
      <c r="S552" s="130"/>
      <c r="T552" s="130"/>
    </row>
    <row r="553" spans="1:20" ht="20.100000000000001" customHeight="1" x14ac:dyDescent="0.25">
      <c r="A553" s="130"/>
      <c r="B553" s="130"/>
      <c r="C553" s="130"/>
      <c r="D553" s="130"/>
      <c r="E553" s="130"/>
      <c r="F553" s="130"/>
      <c r="G553" s="130"/>
      <c r="H553" s="130"/>
      <c r="I553" s="130"/>
      <c r="J553" s="130"/>
      <c r="K553" s="130"/>
      <c r="L553" s="130"/>
      <c r="M553" s="130"/>
      <c r="N553" s="130"/>
      <c r="O553" s="130"/>
      <c r="P553" s="130"/>
      <c r="Q553" s="130"/>
      <c r="R553" s="130"/>
      <c r="S553" s="130"/>
      <c r="T553" s="130"/>
    </row>
    <row r="554" spans="1:20" ht="20.100000000000001" customHeight="1" x14ac:dyDescent="0.25">
      <c r="A554" s="130" t="s">
        <v>506</v>
      </c>
      <c r="B554" s="130"/>
      <c r="C554" s="130"/>
      <c r="D554" s="130"/>
      <c r="E554" s="130"/>
      <c r="F554" s="130"/>
      <c r="G554" s="130"/>
      <c r="H554" s="130"/>
      <c r="I554" s="130"/>
      <c r="J554" s="130"/>
      <c r="K554" s="130"/>
      <c r="L554" s="130"/>
      <c r="M554" s="130"/>
      <c r="N554" s="130"/>
      <c r="O554" s="130"/>
      <c r="P554" s="130"/>
      <c r="Q554" s="130"/>
      <c r="R554" s="130"/>
      <c r="S554" s="130"/>
      <c r="T554" s="130"/>
    </row>
    <row r="555" spans="1:20" ht="20.100000000000001" customHeight="1" x14ac:dyDescent="0.25">
      <c r="A555" s="130" t="s">
        <v>105</v>
      </c>
      <c r="B555" s="130"/>
      <c r="C555" s="130"/>
      <c r="D555" s="130"/>
      <c r="E555" s="130"/>
      <c r="F555" s="130"/>
      <c r="G555" s="130"/>
      <c r="H555" s="130"/>
      <c r="I555" s="130"/>
      <c r="J555" s="130"/>
      <c r="K555" s="130"/>
      <c r="L555" s="130"/>
      <c r="M555" s="130"/>
      <c r="N555" s="130"/>
      <c r="O555" s="130"/>
      <c r="P555" s="130"/>
      <c r="Q555" s="130"/>
      <c r="R555" s="130"/>
      <c r="S555" s="130"/>
      <c r="T555" s="130"/>
    </row>
    <row r="556" spans="1:20" ht="20.100000000000001" customHeight="1" x14ac:dyDescent="0.25">
      <c r="A556" s="130" t="s">
        <v>507</v>
      </c>
      <c r="B556" s="130"/>
      <c r="C556" s="130"/>
      <c r="D556" s="130"/>
      <c r="E556" s="130"/>
      <c r="F556" s="130"/>
      <c r="G556" s="130"/>
      <c r="H556" s="130"/>
      <c r="I556" s="130"/>
      <c r="J556" s="130"/>
      <c r="K556" s="130"/>
      <c r="L556" s="130"/>
      <c r="M556" s="130"/>
      <c r="N556" s="130"/>
      <c r="O556" s="130"/>
      <c r="P556" s="130"/>
      <c r="Q556" s="130"/>
      <c r="R556" s="130"/>
      <c r="S556" s="130"/>
      <c r="T556" s="130"/>
    </row>
    <row r="557" spans="1:20" ht="20.100000000000001" customHeight="1" x14ac:dyDescent="0.25">
      <c r="A557" s="130"/>
      <c r="B557" s="130"/>
      <c r="C557" s="130"/>
      <c r="D557" s="130"/>
      <c r="E557" s="130"/>
      <c r="F557" s="130"/>
      <c r="G557" s="130"/>
      <c r="H557" s="130"/>
      <c r="I557" s="130"/>
      <c r="J557" s="130"/>
      <c r="K557" s="130"/>
      <c r="L557" s="130"/>
      <c r="M557" s="130"/>
      <c r="N557" s="130"/>
      <c r="O557" s="130"/>
      <c r="P557" s="130"/>
      <c r="Q557" s="130"/>
      <c r="R557" s="130"/>
      <c r="S557" s="130"/>
      <c r="T557" s="130"/>
    </row>
    <row r="558" spans="1:20" ht="20.100000000000001" customHeight="1" x14ac:dyDescent="0.25">
      <c r="A558" s="130" t="s">
        <v>508</v>
      </c>
      <c r="B558" s="130"/>
      <c r="C558" s="130"/>
      <c r="D558" s="130"/>
      <c r="E558" s="130"/>
      <c r="F558" s="130"/>
      <c r="G558" s="130"/>
      <c r="H558" s="130"/>
      <c r="I558" s="130"/>
      <c r="J558" s="130"/>
      <c r="K558" s="130"/>
      <c r="L558" s="130"/>
      <c r="M558" s="130"/>
      <c r="N558" s="130"/>
      <c r="O558" s="130"/>
      <c r="P558" s="130"/>
      <c r="Q558" s="130"/>
      <c r="R558" s="130"/>
      <c r="S558" s="130"/>
      <c r="T558" s="130"/>
    </row>
    <row r="559" spans="1:20" ht="20.100000000000001" customHeight="1" x14ac:dyDescent="0.25">
      <c r="A559" s="130"/>
      <c r="B559" s="130"/>
      <c r="C559" s="130"/>
      <c r="D559" s="130"/>
      <c r="E559" s="130"/>
      <c r="F559" s="130"/>
      <c r="G559" s="130"/>
      <c r="H559" s="130"/>
      <c r="I559" s="130"/>
      <c r="J559" s="130"/>
      <c r="K559" s="130"/>
      <c r="L559" s="130"/>
      <c r="M559" s="130"/>
      <c r="N559" s="130"/>
      <c r="O559" s="130"/>
      <c r="P559" s="130"/>
      <c r="Q559" s="130"/>
      <c r="R559" s="130"/>
      <c r="S559" s="130"/>
      <c r="T559" s="130"/>
    </row>
    <row r="560" spans="1:20" ht="20.100000000000001" customHeight="1" x14ac:dyDescent="0.25">
      <c r="A560" s="130" t="s">
        <v>516</v>
      </c>
      <c r="B560" s="130"/>
      <c r="C560" s="130"/>
      <c r="D560" s="130"/>
      <c r="E560" s="130"/>
      <c r="F560" s="130"/>
      <c r="G560" s="130"/>
      <c r="H560" s="130"/>
      <c r="I560" s="130"/>
      <c r="J560" s="130"/>
      <c r="K560" s="130"/>
      <c r="L560" s="130"/>
      <c r="M560" s="130"/>
      <c r="N560" s="130"/>
      <c r="O560" s="130"/>
      <c r="P560" s="130"/>
      <c r="Q560" s="130"/>
      <c r="R560" s="130"/>
      <c r="S560" s="130"/>
      <c r="T560" s="130"/>
    </row>
    <row r="561" spans="1:20" ht="20.100000000000001" customHeight="1" x14ac:dyDescent="0.25">
      <c r="A561" s="130"/>
      <c r="B561" s="130"/>
      <c r="C561" s="130"/>
      <c r="D561" s="130"/>
      <c r="E561" s="130"/>
      <c r="F561" s="130"/>
      <c r="G561" s="130"/>
      <c r="H561" s="130"/>
      <c r="I561" s="130"/>
      <c r="J561" s="130"/>
      <c r="K561" s="130"/>
      <c r="L561" s="130"/>
      <c r="M561" s="130"/>
      <c r="N561" s="130"/>
      <c r="O561" s="130"/>
      <c r="P561" s="130"/>
      <c r="Q561" s="130"/>
      <c r="R561" s="130"/>
      <c r="S561" s="130"/>
      <c r="T561" s="130"/>
    </row>
    <row r="562" spans="1:20" ht="20.100000000000001" customHeight="1" x14ac:dyDescent="0.25">
      <c r="A562" s="130" t="s">
        <v>509</v>
      </c>
      <c r="B562" s="130"/>
      <c r="C562" s="130"/>
      <c r="D562" s="130"/>
      <c r="E562" s="130"/>
      <c r="F562" s="130"/>
      <c r="G562" s="130"/>
      <c r="H562" s="130"/>
      <c r="I562" s="130"/>
      <c r="J562" s="130"/>
      <c r="K562" s="130"/>
      <c r="L562" s="130"/>
      <c r="M562" s="130"/>
      <c r="N562" s="130"/>
      <c r="O562" s="130"/>
      <c r="P562" s="130"/>
      <c r="Q562" s="130"/>
      <c r="R562" s="130"/>
      <c r="S562" s="130"/>
      <c r="T562" s="130"/>
    </row>
    <row r="563" spans="1:20" ht="20.100000000000001" customHeight="1" x14ac:dyDescent="0.25">
      <c r="A563" s="130"/>
      <c r="B563" s="130"/>
      <c r="C563" s="130"/>
      <c r="D563" s="130"/>
      <c r="E563" s="130"/>
      <c r="F563" s="130"/>
      <c r="G563" s="130"/>
      <c r="H563" s="130"/>
      <c r="I563" s="130"/>
      <c r="J563" s="130"/>
      <c r="K563" s="130"/>
      <c r="L563" s="130"/>
      <c r="M563" s="130"/>
      <c r="N563" s="130"/>
      <c r="O563" s="130"/>
      <c r="P563" s="130"/>
      <c r="Q563" s="130"/>
      <c r="R563" s="130"/>
      <c r="S563" s="130"/>
      <c r="T563" s="130"/>
    </row>
    <row r="564" spans="1:20" ht="20.100000000000001" customHeight="1" x14ac:dyDescent="0.25">
      <c r="A564" s="130" t="s">
        <v>517</v>
      </c>
      <c r="B564" s="130"/>
      <c r="C564" s="130"/>
      <c r="D564" s="130"/>
      <c r="E564" s="130"/>
      <c r="F564" s="130"/>
      <c r="G564" s="130"/>
      <c r="H564" s="130"/>
      <c r="I564" s="130"/>
      <c r="J564" s="130"/>
      <c r="K564" s="130"/>
      <c r="L564" s="130"/>
      <c r="M564" s="130"/>
      <c r="N564" s="130"/>
      <c r="O564" s="130"/>
      <c r="P564" s="130"/>
      <c r="Q564" s="130"/>
      <c r="R564" s="130"/>
      <c r="S564" s="130"/>
      <c r="T564" s="130"/>
    </row>
    <row r="565" spans="1:20" ht="20.100000000000001" customHeight="1" x14ac:dyDescent="0.25">
      <c r="A565" s="130"/>
      <c r="B565" s="130"/>
      <c r="C565" s="130"/>
      <c r="D565" s="130"/>
      <c r="E565" s="130"/>
      <c r="F565" s="130"/>
      <c r="G565" s="130"/>
      <c r="H565" s="130"/>
      <c r="I565" s="130"/>
      <c r="J565" s="130"/>
      <c r="K565" s="130"/>
      <c r="L565" s="130"/>
      <c r="M565" s="130"/>
      <c r="N565" s="130"/>
      <c r="O565" s="130"/>
      <c r="P565" s="130"/>
      <c r="Q565" s="130"/>
      <c r="R565" s="130"/>
      <c r="S565" s="130"/>
      <c r="T565" s="130"/>
    </row>
    <row r="566" spans="1:20" ht="20.100000000000001" customHeight="1" x14ac:dyDescent="0.25">
      <c r="A566" s="130" t="s">
        <v>510</v>
      </c>
      <c r="B566" s="130"/>
      <c r="C566" s="130"/>
      <c r="D566" s="130"/>
      <c r="E566" s="130"/>
      <c r="F566" s="130"/>
      <c r="G566" s="130"/>
      <c r="H566" s="130"/>
      <c r="I566" s="130"/>
      <c r="J566" s="130"/>
      <c r="K566" s="130"/>
      <c r="L566" s="130"/>
      <c r="M566" s="130"/>
      <c r="N566" s="130"/>
      <c r="O566" s="130"/>
      <c r="P566" s="130"/>
      <c r="Q566" s="130"/>
      <c r="R566" s="130"/>
      <c r="S566" s="130"/>
      <c r="T566" s="130"/>
    </row>
    <row r="567" spans="1:20" ht="20.100000000000001" customHeight="1" x14ac:dyDescent="0.25">
      <c r="A567" s="130" t="s">
        <v>511</v>
      </c>
      <c r="B567" s="130"/>
      <c r="C567" s="130"/>
      <c r="D567" s="130"/>
      <c r="E567" s="130"/>
      <c r="F567" s="130"/>
      <c r="G567" s="130"/>
      <c r="H567" s="130"/>
      <c r="I567" s="130"/>
      <c r="J567" s="130"/>
      <c r="K567" s="130"/>
      <c r="L567" s="130"/>
      <c r="M567" s="130"/>
      <c r="N567" s="130"/>
      <c r="O567" s="130"/>
      <c r="P567" s="130"/>
      <c r="Q567" s="130"/>
      <c r="R567" s="130"/>
      <c r="S567" s="130"/>
      <c r="T567" s="130"/>
    </row>
    <row r="568" spans="1:20" ht="20.100000000000001" customHeight="1" x14ac:dyDescent="0.25">
      <c r="A568" s="130" t="s">
        <v>512</v>
      </c>
      <c r="B568" s="130"/>
      <c r="C568" s="130"/>
      <c r="D568" s="130"/>
      <c r="E568" s="130"/>
      <c r="F568" s="130"/>
      <c r="G568" s="130"/>
      <c r="H568" s="130"/>
      <c r="I568" s="130"/>
      <c r="J568" s="130"/>
      <c r="K568" s="130"/>
      <c r="L568" s="130"/>
      <c r="M568" s="130"/>
      <c r="N568" s="130"/>
      <c r="O568" s="130"/>
      <c r="P568" s="130"/>
      <c r="Q568" s="130"/>
      <c r="R568" s="130"/>
      <c r="S568" s="130"/>
      <c r="T568" s="130"/>
    </row>
    <row r="569" spans="1:20" ht="20.100000000000001" customHeight="1" x14ac:dyDescent="0.25">
      <c r="A569" s="130" t="s">
        <v>513</v>
      </c>
      <c r="B569" s="130"/>
      <c r="C569" s="130"/>
      <c r="D569" s="130"/>
      <c r="E569" s="130"/>
      <c r="F569" s="130"/>
      <c r="G569" s="130"/>
      <c r="H569" s="130"/>
      <c r="I569" s="130"/>
      <c r="J569" s="130"/>
      <c r="K569" s="130"/>
      <c r="L569" s="130"/>
      <c r="M569" s="130"/>
      <c r="N569" s="130"/>
      <c r="O569" s="130"/>
      <c r="P569" s="130"/>
      <c r="Q569" s="130"/>
      <c r="R569" s="130"/>
      <c r="S569" s="130"/>
      <c r="T569" s="130"/>
    </row>
    <row r="570" spans="1:20" ht="20.100000000000001" customHeight="1" x14ac:dyDescent="0.25">
      <c r="A570" s="130" t="s">
        <v>518</v>
      </c>
      <c r="B570" s="130"/>
      <c r="C570" s="130"/>
      <c r="D570" s="130"/>
      <c r="E570" s="130"/>
      <c r="F570" s="130"/>
      <c r="G570" s="130"/>
      <c r="H570" s="130"/>
      <c r="I570" s="130"/>
      <c r="J570" s="130"/>
      <c r="K570" s="130"/>
      <c r="L570" s="130"/>
      <c r="M570" s="130"/>
      <c r="N570" s="130"/>
      <c r="O570" s="130"/>
      <c r="P570" s="130"/>
      <c r="Q570" s="130"/>
      <c r="R570" s="130"/>
      <c r="S570" s="130"/>
      <c r="T570" s="130"/>
    </row>
  </sheetData>
  <sheetProtection formatCells="0"/>
  <mergeCells count="1018">
    <mergeCell ref="A20:B20"/>
    <mergeCell ref="D20:F20"/>
    <mergeCell ref="G20:I20"/>
    <mergeCell ref="J20:L20"/>
    <mergeCell ref="M20:O20"/>
    <mergeCell ref="P20:Q20"/>
    <mergeCell ref="Q40:T40"/>
    <mergeCell ref="R166:T166"/>
    <mergeCell ref="A169:B169"/>
    <mergeCell ref="D169:F169"/>
    <mergeCell ref="Q41:T41"/>
    <mergeCell ref="Q42:T42"/>
    <mergeCell ref="A7:T7"/>
    <mergeCell ref="A15:T15"/>
    <mergeCell ref="G18:I18"/>
    <mergeCell ref="J18:L18"/>
    <mergeCell ref="G29:I29"/>
    <mergeCell ref="J29:L29"/>
    <mergeCell ref="D18:F18"/>
    <mergeCell ref="D19:F19"/>
    <mergeCell ref="D29:F29"/>
    <mergeCell ref="R17:T17"/>
    <mergeCell ref="R12:T12"/>
    <mergeCell ref="O12:Q12"/>
    <mergeCell ref="L12:N12"/>
    <mergeCell ref="R19:T19"/>
    <mergeCell ref="G19:I19"/>
    <mergeCell ref="J19:L19"/>
    <mergeCell ref="A10:D10"/>
    <mergeCell ref="E10:K10"/>
    <mergeCell ref="R18:T18"/>
    <mergeCell ref="L10:T10"/>
    <mergeCell ref="A9:T9"/>
    <mergeCell ref="A11:D12"/>
    <mergeCell ref="L11:N11"/>
    <mergeCell ref="O11:Q11"/>
    <mergeCell ref="A17:B17"/>
    <mergeCell ref="A18:B18"/>
    <mergeCell ref="S272:T272"/>
    <mergeCell ref="N280:Q280"/>
    <mergeCell ref="R280:T280"/>
    <mergeCell ref="N279:Q279"/>
    <mergeCell ref="N248:Q248"/>
    <mergeCell ref="R248:T248"/>
    <mergeCell ref="A267:T267"/>
    <mergeCell ref="D269:H269"/>
    <mergeCell ref="N244:O244"/>
    <mergeCell ref="P244:Q244"/>
    <mergeCell ref="R244:T244"/>
    <mergeCell ref="N270:R270"/>
    <mergeCell ref="S270:T270"/>
    <mergeCell ref="D271:H271"/>
    <mergeCell ref="N271:R271"/>
    <mergeCell ref="S271:T271"/>
    <mergeCell ref="S233:T233"/>
    <mergeCell ref="N242:Q242"/>
    <mergeCell ref="D236:H236"/>
    <mergeCell ref="A237:B237"/>
    <mergeCell ref="N275:Q275"/>
    <mergeCell ref="A176:B176"/>
    <mergeCell ref="N58:O58"/>
    <mergeCell ref="P58:Q58"/>
    <mergeCell ref="A148:J148"/>
    <mergeCell ref="A149:J149"/>
    <mergeCell ref="U233:W233"/>
    <mergeCell ref="J17:L17"/>
    <mergeCell ref="R242:T242"/>
    <mergeCell ref="A333:T334"/>
    <mergeCell ref="A326:F326"/>
    <mergeCell ref="G326:J326"/>
    <mergeCell ref="M306:P306"/>
    <mergeCell ref="M305:P305"/>
    <mergeCell ref="M308:P308"/>
    <mergeCell ref="I308:L308"/>
    <mergeCell ref="I306:L306"/>
    <mergeCell ref="I305:L305"/>
    <mergeCell ref="A313:H313"/>
    <mergeCell ref="I313:N313"/>
    <mergeCell ref="A322:F322"/>
    <mergeCell ref="A323:F323"/>
    <mergeCell ref="G320:J320"/>
    <mergeCell ref="G321:J321"/>
    <mergeCell ref="G322:J322"/>
    <mergeCell ref="G323:J323"/>
    <mergeCell ref="A324:F324"/>
    <mergeCell ref="A329:F329"/>
    <mergeCell ref="G329:J329"/>
    <mergeCell ref="M329:P329"/>
    <mergeCell ref="M330:P330"/>
    <mergeCell ref="Q330:T330"/>
    <mergeCell ref="M331:P331"/>
    <mergeCell ref="Q331:T331"/>
    <mergeCell ref="A305:H305"/>
    <mergeCell ref="Q307:T307"/>
    <mergeCell ref="Q308:T308"/>
    <mergeCell ref="Q329:T329"/>
    <mergeCell ref="V17:W17"/>
    <mergeCell ref="A316:T316"/>
    <mergeCell ref="A320:F320"/>
    <mergeCell ref="A321:F321"/>
    <mergeCell ref="D17:F17"/>
    <mergeCell ref="G17:I17"/>
    <mergeCell ref="L153:N153"/>
    <mergeCell ref="M17:O17"/>
    <mergeCell ref="M18:O18"/>
    <mergeCell ref="M19:O19"/>
    <mergeCell ref="M29:O29"/>
    <mergeCell ref="A145:J145"/>
    <mergeCell ref="R66:T66"/>
    <mergeCell ref="N67:Q67"/>
    <mergeCell ref="R67:T67"/>
    <mergeCell ref="N68:Q68"/>
    <mergeCell ref="R52:T52"/>
    <mergeCell ref="D53:F53"/>
    <mergeCell ref="P53:Q53"/>
    <mergeCell ref="R53:T53"/>
    <mergeCell ref="A161:T163"/>
    <mergeCell ref="R159:T159"/>
    <mergeCell ref="R177:T177"/>
    <mergeCell ref="D270:H270"/>
    <mergeCell ref="P17:Q17"/>
    <mergeCell ref="P18:Q18"/>
    <mergeCell ref="P19:Q19"/>
    <mergeCell ref="P29:Q29"/>
    <mergeCell ref="U269:W269"/>
    <mergeCell ref="A157:F159"/>
    <mergeCell ref="A146:J146"/>
    <mergeCell ref="A147:J147"/>
    <mergeCell ref="A150:J150"/>
    <mergeCell ref="A154:Q155"/>
    <mergeCell ref="R155:T155"/>
    <mergeCell ref="R147:T147"/>
    <mergeCell ref="R148:T148"/>
    <mergeCell ref="R149:T149"/>
    <mergeCell ref="R150:T150"/>
    <mergeCell ref="O150:Q150"/>
    <mergeCell ref="O151:Q151"/>
    <mergeCell ref="R165:T165"/>
    <mergeCell ref="Q43:T43"/>
    <mergeCell ref="Q44:T44"/>
    <mergeCell ref="Q45:T45"/>
    <mergeCell ref="A142:T142"/>
    <mergeCell ref="D62:F62"/>
    <mergeCell ref="A59:B59"/>
    <mergeCell ref="D59:F59"/>
    <mergeCell ref="R58:T58"/>
    <mergeCell ref="L62:M62"/>
    <mergeCell ref="L59:M59"/>
    <mergeCell ref="A53:B53"/>
    <mergeCell ref="A54:B54"/>
    <mergeCell ref="A64:B64"/>
    <mergeCell ref="P56:Q56"/>
    <mergeCell ref="R56:T56"/>
    <mergeCell ref="N54:O54"/>
    <mergeCell ref="N64:O64"/>
    <mergeCell ref="P64:Q64"/>
    <mergeCell ref="R64:T64"/>
    <mergeCell ref="N59:O59"/>
    <mergeCell ref="P59:Q59"/>
    <mergeCell ref="R59:T59"/>
    <mergeCell ref="A57:B57"/>
    <mergeCell ref="D57:F57"/>
    <mergeCell ref="L57:M57"/>
    <mergeCell ref="N57:O57"/>
    <mergeCell ref="L55:M55"/>
    <mergeCell ref="A58:B58"/>
    <mergeCell ref="D58:F58"/>
    <mergeCell ref="L58:M58"/>
    <mergeCell ref="A60:B60"/>
    <mergeCell ref="D60:F60"/>
    <mergeCell ref="L60:M60"/>
    <mergeCell ref="A62:B62"/>
    <mergeCell ref="J179:L179"/>
    <mergeCell ref="G179:I179"/>
    <mergeCell ref="J180:L180"/>
    <mergeCell ref="G180:I180"/>
    <mergeCell ref="P179:T179"/>
    <mergeCell ref="R167:T167"/>
    <mergeCell ref="R68:T68"/>
    <mergeCell ref="R144:T144"/>
    <mergeCell ref="O148:Q148"/>
    <mergeCell ref="O149:Q149"/>
    <mergeCell ref="L150:N150"/>
    <mergeCell ref="L151:N151"/>
    <mergeCell ref="R145:T145"/>
    <mergeCell ref="R146:T146"/>
    <mergeCell ref="P180:T180"/>
    <mergeCell ref="D179:F179"/>
    <mergeCell ref="D180:F180"/>
    <mergeCell ref="M179:O179"/>
    <mergeCell ref="R169:T169"/>
    <mergeCell ref="D165:F165"/>
    <mergeCell ref="D176:F176"/>
    <mergeCell ref="R176:T176"/>
    <mergeCell ref="M180:O180"/>
    <mergeCell ref="O153:Q153"/>
    <mergeCell ref="O144:Q144"/>
    <mergeCell ref="O145:Q145"/>
    <mergeCell ref="O146:Q146"/>
    <mergeCell ref="O147:Q147"/>
    <mergeCell ref="D166:F166"/>
    <mergeCell ref="D177:F177"/>
    <mergeCell ref="R157:T158"/>
    <mergeCell ref="G157:Q157"/>
    <mergeCell ref="R236:T236"/>
    <mergeCell ref="N209:Q209"/>
    <mergeCell ref="R209:T209"/>
    <mergeCell ref="N211:Q211"/>
    <mergeCell ref="N212:Q212"/>
    <mergeCell ref="N234:R234"/>
    <mergeCell ref="R207:T207"/>
    <mergeCell ref="R194:T194"/>
    <mergeCell ref="N195:Q195"/>
    <mergeCell ref="R195:T195"/>
    <mergeCell ref="R208:T208"/>
    <mergeCell ref="G188:I188"/>
    <mergeCell ref="J188:L188"/>
    <mergeCell ref="M188:O188"/>
    <mergeCell ref="P188:T188"/>
    <mergeCell ref="R204:T204"/>
    <mergeCell ref="R205:T205"/>
    <mergeCell ref="R211:T211"/>
    <mergeCell ref="R212:T212"/>
    <mergeCell ref="D210:H210"/>
    <mergeCell ref="P181:T181"/>
    <mergeCell ref="P191:T191"/>
    <mergeCell ref="A236:B236"/>
    <mergeCell ref="A188:B188"/>
    <mergeCell ref="D188:F188"/>
    <mergeCell ref="A182:B182"/>
    <mergeCell ref="D182:F182"/>
    <mergeCell ref="G182:I182"/>
    <mergeCell ref="J182:L182"/>
    <mergeCell ref="M182:O182"/>
    <mergeCell ref="P182:T182"/>
    <mergeCell ref="N193:Q193"/>
    <mergeCell ref="R193:T193"/>
    <mergeCell ref="N194:Q194"/>
    <mergeCell ref="A189:B189"/>
    <mergeCell ref="D189:F189"/>
    <mergeCell ref="G189:I189"/>
    <mergeCell ref="D181:F181"/>
    <mergeCell ref="D191:F191"/>
    <mergeCell ref="A235:B235"/>
    <mergeCell ref="A184:B184"/>
    <mergeCell ref="P184:T184"/>
    <mergeCell ref="D186:F186"/>
    <mergeCell ref="G186:I186"/>
    <mergeCell ref="J186:L186"/>
    <mergeCell ref="J181:L181"/>
    <mergeCell ref="G181:I181"/>
    <mergeCell ref="M181:O181"/>
    <mergeCell ref="N233:R233"/>
    <mergeCell ref="N236:Q236"/>
    <mergeCell ref="D212:H212"/>
    <mergeCell ref="D237:H237"/>
    <mergeCell ref="A205:B205"/>
    <mergeCell ref="D205:H205"/>
    <mergeCell ref="A206:B206"/>
    <mergeCell ref="D206:H206"/>
    <mergeCell ref="A207:B207"/>
    <mergeCell ref="D207:H207"/>
    <mergeCell ref="A208:B208"/>
    <mergeCell ref="D208:H208"/>
    <mergeCell ref="D233:H233"/>
    <mergeCell ref="A238:B238"/>
    <mergeCell ref="D238:H238"/>
    <mergeCell ref="A212:B212"/>
    <mergeCell ref="A233:B233"/>
    <mergeCell ref="A234:B234"/>
    <mergeCell ref="N207:Q207"/>
    <mergeCell ref="A231:T231"/>
    <mergeCell ref="A211:B211"/>
    <mergeCell ref="D211:H211"/>
    <mergeCell ref="D234:H234"/>
    <mergeCell ref="D235:H235"/>
    <mergeCell ref="A209:B209"/>
    <mergeCell ref="A5:T5"/>
    <mergeCell ref="A308:H308"/>
    <mergeCell ref="I310:N310"/>
    <mergeCell ref="I311:N311"/>
    <mergeCell ref="I312:N312"/>
    <mergeCell ref="A310:H310"/>
    <mergeCell ref="I307:L307"/>
    <mergeCell ref="M307:P307"/>
    <mergeCell ref="J40:K40"/>
    <mergeCell ref="J41:K41"/>
    <mergeCell ref="J42:K42"/>
    <mergeCell ref="J43:K43"/>
    <mergeCell ref="J44:K44"/>
    <mergeCell ref="J45:K45"/>
    <mergeCell ref="N285:Q285"/>
    <mergeCell ref="R285:T285"/>
    <mergeCell ref="S200:T200"/>
    <mergeCell ref="N237:Q237"/>
    <mergeCell ref="R237:T237"/>
    <mergeCell ref="S234:T234"/>
    <mergeCell ref="N208:O208"/>
    <mergeCell ref="P208:Q208"/>
    <mergeCell ref="R279:T279"/>
    <mergeCell ref="D281:H281"/>
    <mergeCell ref="N274:Q274"/>
    <mergeCell ref="R274:T274"/>
    <mergeCell ref="R286:T286"/>
    <mergeCell ref="J191:L191"/>
    <mergeCell ref="G191:I191"/>
    <mergeCell ref="N239:Q239"/>
    <mergeCell ref="R239:T239"/>
    <mergeCell ref="D276:H276"/>
    <mergeCell ref="A277:B277"/>
    <mergeCell ref="D277:H277"/>
    <mergeCell ref="A278:B278"/>
    <mergeCell ref="D278:H278"/>
    <mergeCell ref="A240:B240"/>
    <mergeCell ref="D240:H240"/>
    <mergeCell ref="A241:B241"/>
    <mergeCell ref="D241:H241"/>
    <mergeCell ref="N269:R269"/>
    <mergeCell ref="A338:T339"/>
    <mergeCell ref="I341:L341"/>
    <mergeCell ref="N240:Q240"/>
    <mergeCell ref="R240:T240"/>
    <mergeCell ref="N245:Q245"/>
    <mergeCell ref="R245:T245"/>
    <mergeCell ref="N247:Q247"/>
    <mergeCell ref="R247:T247"/>
    <mergeCell ref="N241:Q241"/>
    <mergeCell ref="R241:T241"/>
    <mergeCell ref="A269:B269"/>
    <mergeCell ref="A327:T327"/>
    <mergeCell ref="A330:F330"/>
    <mergeCell ref="G330:J330"/>
    <mergeCell ref="A336:T337"/>
    <mergeCell ref="A311:H311"/>
    <mergeCell ref="A312:H312"/>
    <mergeCell ref="A239:B239"/>
    <mergeCell ref="D239:H239"/>
    <mergeCell ref="A306:H306"/>
    <mergeCell ref="A307:H307"/>
    <mergeCell ref="S269:T269"/>
    <mergeCell ref="R275:T275"/>
    <mergeCell ref="N272:R272"/>
    <mergeCell ref="Y338:BP338"/>
    <mergeCell ref="Y339:BP339"/>
    <mergeCell ref="Y340:BP340"/>
    <mergeCell ref="Y341:BP341"/>
    <mergeCell ref="A346:T346"/>
    <mergeCell ref="A348:N348"/>
    <mergeCell ref="O348:T348"/>
    <mergeCell ref="I342:L343"/>
    <mergeCell ref="M342:P343"/>
    <mergeCell ref="Q342:T343"/>
    <mergeCell ref="A342:H343"/>
    <mergeCell ref="U322:W322"/>
    <mergeCell ref="A318:T318"/>
    <mergeCell ref="G324:J324"/>
    <mergeCell ref="A325:F325"/>
    <mergeCell ref="G325:J325"/>
    <mergeCell ref="R282:T282"/>
    <mergeCell ref="R283:T283"/>
    <mergeCell ref="Q305:T305"/>
    <mergeCell ref="Q306:T306"/>
    <mergeCell ref="M383:N383"/>
    <mergeCell ref="O383:P383"/>
    <mergeCell ref="R11:T11"/>
    <mergeCell ref="E11:K12"/>
    <mergeCell ref="A153:K153"/>
    <mergeCell ref="L144:N144"/>
    <mergeCell ref="L145:N145"/>
    <mergeCell ref="L146:N146"/>
    <mergeCell ref="L147:N147"/>
    <mergeCell ref="L148:N148"/>
    <mergeCell ref="L149:N149"/>
    <mergeCell ref="A38:T38"/>
    <mergeCell ref="A40:I40"/>
    <mergeCell ref="A151:J151"/>
    <mergeCell ref="P52:Q52"/>
    <mergeCell ref="A43:I43"/>
    <mergeCell ref="M341:P341"/>
    <mergeCell ref="Q341:T341"/>
    <mergeCell ref="S383:T383"/>
    <mergeCell ref="A19:B19"/>
    <mergeCell ref="A29:B29"/>
    <mergeCell ref="A52:B52"/>
    <mergeCell ref="A42:I42"/>
    <mergeCell ref="A270:B270"/>
    <mergeCell ref="A271:B271"/>
    <mergeCell ref="A281:B281"/>
    <mergeCell ref="A353:T353"/>
    <mergeCell ref="A355:T358"/>
    <mergeCell ref="A180:B180"/>
    <mergeCell ref="A181:B181"/>
    <mergeCell ref="A191:B191"/>
    <mergeCell ref="A200:B200"/>
    <mergeCell ref="S385:T385"/>
    <mergeCell ref="M386:N386"/>
    <mergeCell ref="A402:T402"/>
    <mergeCell ref="A417:B417"/>
    <mergeCell ref="A418:B419"/>
    <mergeCell ref="A420:B420"/>
    <mergeCell ref="A421:B421"/>
    <mergeCell ref="A434:B434"/>
    <mergeCell ref="A435:B435"/>
    <mergeCell ref="A433:B433"/>
    <mergeCell ref="A426:B427"/>
    <mergeCell ref="S429:T429"/>
    <mergeCell ref="A428:B428"/>
    <mergeCell ref="A422:B422"/>
    <mergeCell ref="A423:B423"/>
    <mergeCell ref="A424:B424"/>
    <mergeCell ref="A425:B425"/>
    <mergeCell ref="A429:B429"/>
    <mergeCell ref="A430:B430"/>
    <mergeCell ref="A431:B431"/>
    <mergeCell ref="A432:B432"/>
    <mergeCell ref="S421:T421"/>
    <mergeCell ref="S386:T386"/>
    <mergeCell ref="D209:H209"/>
    <mergeCell ref="A210:B210"/>
    <mergeCell ref="A274:B274"/>
    <mergeCell ref="D274:H274"/>
    <mergeCell ref="A275:B275"/>
    <mergeCell ref="D275:H275"/>
    <mergeCell ref="A276:B276"/>
    <mergeCell ref="A446:B446"/>
    <mergeCell ref="A453:B453"/>
    <mergeCell ref="S431:T431"/>
    <mergeCell ref="S432:T432"/>
    <mergeCell ref="S433:T433"/>
    <mergeCell ref="A360:E360"/>
    <mergeCell ref="F360:K360"/>
    <mergeCell ref="Q360:T360"/>
    <mergeCell ref="M384:N384"/>
    <mergeCell ref="O384:P384"/>
    <mergeCell ref="Q384:R384"/>
    <mergeCell ref="S384:T384"/>
    <mergeCell ref="Q375:R375"/>
    <mergeCell ref="S375:T375"/>
    <mergeCell ref="M376:N376"/>
    <mergeCell ref="O376:P376"/>
    <mergeCell ref="Q376:R376"/>
    <mergeCell ref="Q385:R385"/>
    <mergeCell ref="O386:P386"/>
    <mergeCell ref="M387:N387"/>
    <mergeCell ref="O387:P387"/>
    <mergeCell ref="M385:N385"/>
    <mergeCell ref="O385:P385"/>
    <mergeCell ref="Q381:R381"/>
    <mergeCell ref="M381:N381"/>
    <mergeCell ref="S435:T435"/>
    <mergeCell ref="A398:F398"/>
    <mergeCell ref="G398:J398"/>
    <mergeCell ref="A396:T396"/>
    <mergeCell ref="A399:F399"/>
    <mergeCell ref="G399:J399"/>
    <mergeCell ref="A400:F400"/>
    <mergeCell ref="G400:J400"/>
    <mergeCell ref="S378:T378"/>
    <mergeCell ref="M379:N379"/>
    <mergeCell ref="R444:T444"/>
    <mergeCell ref="E445:F445"/>
    <mergeCell ref="N283:Q283"/>
    <mergeCell ref="M378:N378"/>
    <mergeCell ref="N278:Q278"/>
    <mergeCell ref="R278:T278"/>
    <mergeCell ref="N277:Q277"/>
    <mergeCell ref="R277:T277"/>
    <mergeCell ref="A279:B279"/>
    <mergeCell ref="D279:H279"/>
    <mergeCell ref="A280:B280"/>
    <mergeCell ref="D280:H280"/>
    <mergeCell ref="L360:P360"/>
    <mergeCell ref="O378:P378"/>
    <mergeCell ref="Q378:R378"/>
    <mergeCell ref="A349:N349"/>
    <mergeCell ref="O349:T349"/>
    <mergeCell ref="A340:H341"/>
    <mergeCell ref="I340:T340"/>
    <mergeCell ref="N282:O282"/>
    <mergeCell ref="P282:Q282"/>
    <mergeCell ref="O381:P381"/>
    <mergeCell ref="A391:N391"/>
    <mergeCell ref="O444:Q444"/>
    <mergeCell ref="A165:B165"/>
    <mergeCell ref="A166:B166"/>
    <mergeCell ref="A167:B167"/>
    <mergeCell ref="A177:B177"/>
    <mergeCell ref="A179:B179"/>
    <mergeCell ref="A350:N350"/>
    <mergeCell ref="O350:T350"/>
    <mergeCell ref="N286:Q286"/>
    <mergeCell ref="A445:B445"/>
    <mergeCell ref="O379:P379"/>
    <mergeCell ref="Q379:R379"/>
    <mergeCell ref="S379:T379"/>
    <mergeCell ref="O392:T392"/>
    <mergeCell ref="O393:T393"/>
    <mergeCell ref="A392:N392"/>
    <mergeCell ref="A393:N393"/>
    <mergeCell ref="S381:T381"/>
    <mergeCell ref="M382:N382"/>
    <mergeCell ref="O382:P382"/>
    <mergeCell ref="Q382:R382"/>
    <mergeCell ref="S382:T382"/>
    <mergeCell ref="O391:T391"/>
    <mergeCell ref="S380:T380"/>
    <mergeCell ref="Q383:R383"/>
    <mergeCell ref="C441:R441"/>
    <mergeCell ref="C439:R440"/>
    <mergeCell ref="C418:R419"/>
    <mergeCell ref="S430:T430"/>
    <mergeCell ref="P186:T186"/>
    <mergeCell ref="A187:B187"/>
    <mergeCell ref="Q362:T362"/>
    <mergeCell ref="A361:E361"/>
    <mergeCell ref="F361:K361"/>
    <mergeCell ref="Q361:T361"/>
    <mergeCell ref="A364:T364"/>
    <mergeCell ref="B372:L372"/>
    <mergeCell ref="B373:L373"/>
    <mergeCell ref="O375:P375"/>
    <mergeCell ref="M380:N380"/>
    <mergeCell ref="O380:P380"/>
    <mergeCell ref="Q380:R380"/>
    <mergeCell ref="M372:N372"/>
    <mergeCell ref="O372:P372"/>
    <mergeCell ref="Q372:R372"/>
    <mergeCell ref="S372:T372"/>
    <mergeCell ref="M373:N373"/>
    <mergeCell ref="O373:P373"/>
    <mergeCell ref="Q373:R373"/>
    <mergeCell ref="S373:T373"/>
    <mergeCell ref="R462:T462"/>
    <mergeCell ref="E463:F463"/>
    <mergeCell ref="O463:Q463"/>
    <mergeCell ref="E447:F447"/>
    <mergeCell ref="O445:Q445"/>
    <mergeCell ref="R445:T445"/>
    <mergeCell ref="A458:B458"/>
    <mergeCell ref="A459:B459"/>
    <mergeCell ref="E456:F456"/>
    <mergeCell ref="O456:Q456"/>
    <mergeCell ref="R456:T456"/>
    <mergeCell ref="E457:F457"/>
    <mergeCell ref="O457:Q457"/>
    <mergeCell ref="R457:T457"/>
    <mergeCell ref="A456:B456"/>
    <mergeCell ref="A457:B457"/>
    <mergeCell ref="E458:F458"/>
    <mergeCell ref="A454:B454"/>
    <mergeCell ref="A455:B455"/>
    <mergeCell ref="R458:T458"/>
    <mergeCell ref="E459:F459"/>
    <mergeCell ref="C451:D451"/>
    <mergeCell ref="C452:D452"/>
    <mergeCell ref="C453:D453"/>
    <mergeCell ref="C454:D454"/>
    <mergeCell ref="C455:D455"/>
    <mergeCell ref="C456:D456"/>
    <mergeCell ref="C457:D457"/>
    <mergeCell ref="A463:B463"/>
    <mergeCell ref="E460:F460"/>
    <mergeCell ref="C458:D458"/>
    <mergeCell ref="C459:D459"/>
    <mergeCell ref="O460:Q460"/>
    <mergeCell ref="O458:Q458"/>
    <mergeCell ref="S441:T441"/>
    <mergeCell ref="A441:B441"/>
    <mergeCell ref="A444:B444"/>
    <mergeCell ref="A447:B447"/>
    <mergeCell ref="A448:B448"/>
    <mergeCell ref="A449:B449"/>
    <mergeCell ref="A450:B450"/>
    <mergeCell ref="A451:B451"/>
    <mergeCell ref="A452:B452"/>
    <mergeCell ref="C420:R420"/>
    <mergeCell ref="C421:R421"/>
    <mergeCell ref="C422:R422"/>
    <mergeCell ref="G444:N444"/>
    <mergeCell ref="C444:D444"/>
    <mergeCell ref="C445:D445"/>
    <mergeCell ref="C446:D446"/>
    <mergeCell ref="C447:D447"/>
    <mergeCell ref="C448:D448"/>
    <mergeCell ref="C429:R429"/>
    <mergeCell ref="C430:R430"/>
    <mergeCell ref="C431:R431"/>
    <mergeCell ref="C432:R432"/>
    <mergeCell ref="C433:R433"/>
    <mergeCell ref="C434:R434"/>
    <mergeCell ref="C435:R435"/>
    <mergeCell ref="C436:R436"/>
    <mergeCell ref="C437:R437"/>
    <mergeCell ref="C438:R438"/>
    <mergeCell ref="C426:R427"/>
    <mergeCell ref="C428:R428"/>
    <mergeCell ref="A467:T467"/>
    <mergeCell ref="G460:N460"/>
    <mergeCell ref="G461:N461"/>
    <mergeCell ref="C460:D460"/>
    <mergeCell ref="A510:N510"/>
    <mergeCell ref="O510:T510"/>
    <mergeCell ref="A511:N511"/>
    <mergeCell ref="O511:T511"/>
    <mergeCell ref="A475:T475"/>
    <mergeCell ref="A491:P491"/>
    <mergeCell ref="A493:J493"/>
    <mergeCell ref="N493:T493"/>
    <mergeCell ref="A495:M495"/>
    <mergeCell ref="Q495:T495"/>
    <mergeCell ref="O459:Q459"/>
    <mergeCell ref="R459:T459"/>
    <mergeCell ref="E455:F455"/>
    <mergeCell ref="O455:Q455"/>
    <mergeCell ref="R455:T455"/>
    <mergeCell ref="E464:F464"/>
    <mergeCell ref="O464:Q464"/>
    <mergeCell ref="R464:T464"/>
    <mergeCell ref="E465:F465"/>
    <mergeCell ref="O465:Q465"/>
    <mergeCell ref="R465:T465"/>
    <mergeCell ref="A464:B464"/>
    <mergeCell ref="A465:B465"/>
    <mergeCell ref="C464:D464"/>
    <mergeCell ref="C465:D465"/>
    <mergeCell ref="G464:N464"/>
    <mergeCell ref="G465:N465"/>
    <mergeCell ref="A462:B462"/>
    <mergeCell ref="A543:T543"/>
    <mergeCell ref="A533:N533"/>
    <mergeCell ref="O533:T533"/>
    <mergeCell ref="A534:N534"/>
    <mergeCell ref="O534:T534"/>
    <mergeCell ref="A513:N513"/>
    <mergeCell ref="O513:T513"/>
    <mergeCell ref="A514:N514"/>
    <mergeCell ref="O514:T514"/>
    <mergeCell ref="A516:N516"/>
    <mergeCell ref="O516:T516"/>
    <mergeCell ref="A519:T519"/>
    <mergeCell ref="A505:T505"/>
    <mergeCell ref="A507:F507"/>
    <mergeCell ref="N507:T507"/>
    <mergeCell ref="A508:F508"/>
    <mergeCell ref="R460:T460"/>
    <mergeCell ref="E461:F461"/>
    <mergeCell ref="O461:Q461"/>
    <mergeCell ref="R461:T461"/>
    <mergeCell ref="A460:B460"/>
    <mergeCell ref="A461:B461"/>
    <mergeCell ref="E462:F462"/>
    <mergeCell ref="O462:Q462"/>
    <mergeCell ref="C463:D463"/>
    <mergeCell ref="G462:N462"/>
    <mergeCell ref="G463:N463"/>
    <mergeCell ref="C462:D462"/>
    <mergeCell ref="A536:N536"/>
    <mergeCell ref="O536:T536"/>
    <mergeCell ref="A538:N538"/>
    <mergeCell ref="O538:T538"/>
    <mergeCell ref="R20:T20"/>
    <mergeCell ref="A21:B21"/>
    <mergeCell ref="D21:F21"/>
    <mergeCell ref="G21:I21"/>
    <mergeCell ref="J21:L21"/>
    <mergeCell ref="M21:O21"/>
    <mergeCell ref="P21:Q21"/>
    <mergeCell ref="R21:T21"/>
    <mergeCell ref="A168:B168"/>
    <mergeCell ref="D168:F168"/>
    <mergeCell ref="R168:T168"/>
    <mergeCell ref="R151:T151"/>
    <mergeCell ref="A71:T71"/>
    <mergeCell ref="A105:T105"/>
    <mergeCell ref="A123:T123"/>
    <mergeCell ref="D54:F54"/>
    <mergeCell ref="P54:Q54"/>
    <mergeCell ref="R54:T54"/>
    <mergeCell ref="N66:Q66"/>
    <mergeCell ref="A144:J144"/>
    <mergeCell ref="D64:F64"/>
    <mergeCell ref="L52:M52"/>
    <mergeCell ref="L53:M53"/>
    <mergeCell ref="L54:M54"/>
    <mergeCell ref="L64:M64"/>
    <mergeCell ref="A55:B55"/>
    <mergeCell ref="A22:B22"/>
    <mergeCell ref="D22:F22"/>
    <mergeCell ref="G22:I22"/>
    <mergeCell ref="J22:L22"/>
    <mergeCell ref="M22:O22"/>
    <mergeCell ref="P22:Q22"/>
    <mergeCell ref="U534:V534"/>
    <mergeCell ref="A535:N535"/>
    <mergeCell ref="O535:T535"/>
    <mergeCell ref="E452:F452"/>
    <mergeCell ref="O452:Q452"/>
    <mergeCell ref="R452:T452"/>
    <mergeCell ref="E453:F453"/>
    <mergeCell ref="O453:Q453"/>
    <mergeCell ref="R453:T453"/>
    <mergeCell ref="E450:F450"/>
    <mergeCell ref="O450:Q450"/>
    <mergeCell ref="R450:T450"/>
    <mergeCell ref="A497:M497"/>
    <mergeCell ref="Q497:T497"/>
    <mergeCell ref="A499:N499"/>
    <mergeCell ref="O499:T499"/>
    <mergeCell ref="A500:N500"/>
    <mergeCell ref="O500:T500"/>
    <mergeCell ref="A502:N502"/>
    <mergeCell ref="O502:T502"/>
    <mergeCell ref="R463:T463"/>
    <mergeCell ref="A471:R472"/>
    <mergeCell ref="S471:T472"/>
    <mergeCell ref="D469:E469"/>
    <mergeCell ref="A469:B469"/>
    <mergeCell ref="L469:Q469"/>
    <mergeCell ref="E477:M489"/>
    <mergeCell ref="Q490:T491"/>
    <mergeCell ref="A496:M496"/>
    <mergeCell ref="Q496:T496"/>
    <mergeCell ref="R469:T469"/>
    <mergeCell ref="C461:D461"/>
    <mergeCell ref="R22:T22"/>
    <mergeCell ref="A23:B23"/>
    <mergeCell ref="D23:F23"/>
    <mergeCell ref="G23:I23"/>
    <mergeCell ref="J23:L23"/>
    <mergeCell ref="M23:O23"/>
    <mergeCell ref="P23:Q23"/>
    <mergeCell ref="R23:T23"/>
    <mergeCell ref="A26:B26"/>
    <mergeCell ref="D26:F26"/>
    <mergeCell ref="G26:I26"/>
    <mergeCell ref="R27:T27"/>
    <mergeCell ref="A24:B24"/>
    <mergeCell ref="D24:F24"/>
    <mergeCell ref="G24:I24"/>
    <mergeCell ref="J24:L24"/>
    <mergeCell ref="M24:O24"/>
    <mergeCell ref="P24:Q24"/>
    <mergeCell ref="R24:T24"/>
    <mergeCell ref="A25:B25"/>
    <mergeCell ref="D25:F25"/>
    <mergeCell ref="G25:I25"/>
    <mergeCell ref="J25:L25"/>
    <mergeCell ref="M25:O25"/>
    <mergeCell ref="P25:Q25"/>
    <mergeCell ref="R25:T25"/>
    <mergeCell ref="J26:L26"/>
    <mergeCell ref="M26:O26"/>
    <mergeCell ref="P26:Q26"/>
    <mergeCell ref="R26:T26"/>
    <mergeCell ref="A27:B27"/>
    <mergeCell ref="D27:F27"/>
    <mergeCell ref="G27:I27"/>
    <mergeCell ref="J27:L27"/>
    <mergeCell ref="M27:O27"/>
    <mergeCell ref="P27:Q27"/>
    <mergeCell ref="L50:M50"/>
    <mergeCell ref="A48:F49"/>
    <mergeCell ref="L48:M49"/>
    <mergeCell ref="N31:Q31"/>
    <mergeCell ref="N32:Q32"/>
    <mergeCell ref="A28:B28"/>
    <mergeCell ref="D28:F28"/>
    <mergeCell ref="G28:I28"/>
    <mergeCell ref="J28:L28"/>
    <mergeCell ref="M28:O28"/>
    <mergeCell ref="P28:Q28"/>
    <mergeCell ref="R28:T28"/>
    <mergeCell ref="L56:M56"/>
    <mergeCell ref="N56:O56"/>
    <mergeCell ref="N33:Q33"/>
    <mergeCell ref="R31:T31"/>
    <mergeCell ref="R32:T32"/>
    <mergeCell ref="R33:T33"/>
    <mergeCell ref="N52:O52"/>
    <mergeCell ref="L40:P40"/>
    <mergeCell ref="L41:P41"/>
    <mergeCell ref="L42:P42"/>
    <mergeCell ref="L43:P43"/>
    <mergeCell ref="L44:P44"/>
    <mergeCell ref="L45:P45"/>
    <mergeCell ref="N53:O53"/>
    <mergeCell ref="A41:I41"/>
    <mergeCell ref="R29:T29"/>
    <mergeCell ref="N62:O62"/>
    <mergeCell ref="P62:Q62"/>
    <mergeCell ref="A63:B63"/>
    <mergeCell ref="D63:F63"/>
    <mergeCell ref="L63:M63"/>
    <mergeCell ref="N63:O63"/>
    <mergeCell ref="P63:Q63"/>
    <mergeCell ref="R62:T62"/>
    <mergeCell ref="R63:T63"/>
    <mergeCell ref="N60:O60"/>
    <mergeCell ref="P60:Q60"/>
    <mergeCell ref="A61:B61"/>
    <mergeCell ref="D61:F61"/>
    <mergeCell ref="L61:M61"/>
    <mergeCell ref="N61:O61"/>
    <mergeCell ref="P61:Q61"/>
    <mergeCell ref="R60:T60"/>
    <mergeCell ref="R61:T61"/>
    <mergeCell ref="P57:Q57"/>
    <mergeCell ref="R57:T57"/>
    <mergeCell ref="N55:O55"/>
    <mergeCell ref="A36:T36"/>
    <mergeCell ref="D52:F52"/>
    <mergeCell ref="A44:I44"/>
    <mergeCell ref="A45:I45"/>
    <mergeCell ref="G48:K48"/>
    <mergeCell ref="A173:B173"/>
    <mergeCell ref="D173:F173"/>
    <mergeCell ref="R173:T173"/>
    <mergeCell ref="A174:B174"/>
    <mergeCell ref="D174:F174"/>
    <mergeCell ref="R174:T174"/>
    <mergeCell ref="A175:B175"/>
    <mergeCell ref="D175:F175"/>
    <mergeCell ref="R175:T175"/>
    <mergeCell ref="A170:B170"/>
    <mergeCell ref="D170:F170"/>
    <mergeCell ref="R170:T170"/>
    <mergeCell ref="A171:B171"/>
    <mergeCell ref="D171:F171"/>
    <mergeCell ref="R171:T171"/>
    <mergeCell ref="A172:B172"/>
    <mergeCell ref="D172:F172"/>
    <mergeCell ref="R172:T172"/>
    <mergeCell ref="D55:F55"/>
    <mergeCell ref="P55:Q55"/>
    <mergeCell ref="R55:T55"/>
    <mergeCell ref="A56:B56"/>
    <mergeCell ref="D56:F56"/>
    <mergeCell ref="D167:F167"/>
    <mergeCell ref="A183:B183"/>
    <mergeCell ref="D183:F183"/>
    <mergeCell ref="G183:I183"/>
    <mergeCell ref="J183:L183"/>
    <mergeCell ref="A185:B185"/>
    <mergeCell ref="D185:F185"/>
    <mergeCell ref="G185:I185"/>
    <mergeCell ref="J185:L185"/>
    <mergeCell ref="M185:O185"/>
    <mergeCell ref="P185:T185"/>
    <mergeCell ref="A186:B186"/>
    <mergeCell ref="D187:F187"/>
    <mergeCell ref="G187:I187"/>
    <mergeCell ref="J187:L187"/>
    <mergeCell ref="M187:O187"/>
    <mergeCell ref="D184:F184"/>
    <mergeCell ref="G184:I184"/>
    <mergeCell ref="J184:L184"/>
    <mergeCell ref="M184:O184"/>
    <mergeCell ref="M186:O186"/>
    <mergeCell ref="P187:T187"/>
    <mergeCell ref="M183:O183"/>
    <mergeCell ref="P183:T183"/>
    <mergeCell ref="J189:L189"/>
    <mergeCell ref="M189:O189"/>
    <mergeCell ref="P189:T189"/>
    <mergeCell ref="A190:B190"/>
    <mergeCell ref="D190:F190"/>
    <mergeCell ref="G190:I190"/>
    <mergeCell ref="J190:L190"/>
    <mergeCell ref="M190:O190"/>
    <mergeCell ref="P190:T190"/>
    <mergeCell ref="A203:B203"/>
    <mergeCell ref="D203:H203"/>
    <mergeCell ref="A204:B204"/>
    <mergeCell ref="D204:H204"/>
    <mergeCell ref="N206:Q206"/>
    <mergeCell ref="A198:T198"/>
    <mergeCell ref="D200:H200"/>
    <mergeCell ref="N200:R200"/>
    <mergeCell ref="M191:O191"/>
    <mergeCell ref="R206:T206"/>
    <mergeCell ref="D201:H201"/>
    <mergeCell ref="D202:H202"/>
    <mergeCell ref="N202:Q202"/>
    <mergeCell ref="N203:Q203"/>
    <mergeCell ref="R203:T203"/>
    <mergeCell ref="R202:T202"/>
    <mergeCell ref="N204:Q204"/>
    <mergeCell ref="N205:Q205"/>
    <mergeCell ref="A201:B201"/>
    <mergeCell ref="A202:B202"/>
    <mergeCell ref="A546:T546"/>
    <mergeCell ref="A547:T547"/>
    <mergeCell ref="O447:Q447"/>
    <mergeCell ref="R447:T447"/>
    <mergeCell ref="O451:Q451"/>
    <mergeCell ref="R451:T451"/>
    <mergeCell ref="E448:F448"/>
    <mergeCell ref="O448:Q448"/>
    <mergeCell ref="R448:T448"/>
    <mergeCell ref="E449:F449"/>
    <mergeCell ref="S437:T437"/>
    <mergeCell ref="S438:T438"/>
    <mergeCell ref="S439:T440"/>
    <mergeCell ref="A436:B436"/>
    <mergeCell ref="L361:P361"/>
    <mergeCell ref="A362:P362"/>
    <mergeCell ref="M377:N377"/>
    <mergeCell ref="O377:P377"/>
    <mergeCell ref="Q377:R377"/>
    <mergeCell ref="S377:T377"/>
    <mergeCell ref="M374:N374"/>
    <mergeCell ref="O374:P374"/>
    <mergeCell ref="Q374:R374"/>
    <mergeCell ref="S374:T374"/>
    <mergeCell ref="M375:N375"/>
    <mergeCell ref="A365:T370"/>
    <mergeCell ref="S376:T376"/>
    <mergeCell ref="S436:T436"/>
    <mergeCell ref="A438:B438"/>
    <mergeCell ref="A439:B440"/>
    <mergeCell ref="S434:T434"/>
    <mergeCell ref="Q386:R386"/>
    <mergeCell ref="A566:T566"/>
    <mergeCell ref="A567:T567"/>
    <mergeCell ref="A568:T568"/>
    <mergeCell ref="A569:T569"/>
    <mergeCell ref="A570:T570"/>
    <mergeCell ref="A551:T551"/>
    <mergeCell ref="A552:T553"/>
    <mergeCell ref="A554:T554"/>
    <mergeCell ref="A555:T555"/>
    <mergeCell ref="A556:T557"/>
    <mergeCell ref="A558:T559"/>
    <mergeCell ref="A560:T561"/>
    <mergeCell ref="A562:T563"/>
    <mergeCell ref="A564:T565"/>
    <mergeCell ref="A404:T406"/>
    <mergeCell ref="I408:K408"/>
    <mergeCell ref="L408:N408"/>
    <mergeCell ref="A414:T416"/>
    <mergeCell ref="S417:T417"/>
    <mergeCell ref="S418:T419"/>
    <mergeCell ref="S420:T420"/>
    <mergeCell ref="S422:T422"/>
    <mergeCell ref="S423:T423"/>
    <mergeCell ref="S424:T424"/>
    <mergeCell ref="S425:T425"/>
    <mergeCell ref="S426:T427"/>
    <mergeCell ref="S428:T428"/>
    <mergeCell ref="C417:R417"/>
    <mergeCell ref="C425:R425"/>
    <mergeCell ref="A548:T548"/>
    <mergeCell ref="A549:T549"/>
    <mergeCell ref="A550:T550"/>
    <mergeCell ref="A541:T541"/>
    <mergeCell ref="A542:T542"/>
    <mergeCell ref="E451:F451"/>
    <mergeCell ref="A242:B242"/>
    <mergeCell ref="D242:H242"/>
    <mergeCell ref="A243:B243"/>
    <mergeCell ref="D243:H243"/>
    <mergeCell ref="A244:B244"/>
    <mergeCell ref="D244:H244"/>
    <mergeCell ref="D245:H245"/>
    <mergeCell ref="A272:B272"/>
    <mergeCell ref="D272:H272"/>
    <mergeCell ref="A273:B273"/>
    <mergeCell ref="D273:H273"/>
    <mergeCell ref="A245:B245"/>
    <mergeCell ref="O449:Q449"/>
    <mergeCell ref="R449:T449"/>
    <mergeCell ref="E446:F446"/>
    <mergeCell ref="O446:Q446"/>
    <mergeCell ref="R446:T446"/>
    <mergeCell ref="A437:B437"/>
    <mergeCell ref="E444:F444"/>
    <mergeCell ref="G445:N445"/>
    <mergeCell ref="G446:N446"/>
    <mergeCell ref="G447:N447"/>
    <mergeCell ref="G448:N448"/>
    <mergeCell ref="G449:N449"/>
    <mergeCell ref="G450:N450"/>
    <mergeCell ref="G451:N451"/>
    <mergeCell ref="G452:N452"/>
    <mergeCell ref="G453:N453"/>
    <mergeCell ref="G454:N454"/>
    <mergeCell ref="G455:N455"/>
    <mergeCell ref="G456:N456"/>
    <mergeCell ref="G457:N457"/>
    <mergeCell ref="G458:N458"/>
    <mergeCell ref="G459:N459"/>
    <mergeCell ref="B374:L374"/>
    <mergeCell ref="B375:L375"/>
    <mergeCell ref="B376:L376"/>
    <mergeCell ref="B377:L377"/>
    <mergeCell ref="B378:L378"/>
    <mergeCell ref="B379:L379"/>
    <mergeCell ref="B380:L380"/>
    <mergeCell ref="B381:L381"/>
    <mergeCell ref="B382:L382"/>
    <mergeCell ref="B383:L383"/>
    <mergeCell ref="B384:L384"/>
    <mergeCell ref="B385:L385"/>
    <mergeCell ref="B386:L386"/>
    <mergeCell ref="B387:L387"/>
    <mergeCell ref="C423:R423"/>
    <mergeCell ref="C424:R424"/>
    <mergeCell ref="C449:D449"/>
    <mergeCell ref="C450:D450"/>
    <mergeCell ref="E454:F454"/>
    <mergeCell ref="O454:Q454"/>
    <mergeCell ref="R454:T454"/>
    <mergeCell ref="Q387:R387"/>
    <mergeCell ref="S387:T387"/>
    <mergeCell ref="M389:N389"/>
    <mergeCell ref="P389:R389"/>
    <mergeCell ref="S389:T389"/>
    <mergeCell ref="B389:L389"/>
  </mergeCells>
  <conditionalFormatting sqref="A420:A426">
    <cfRule type="cellIs" dxfId="26" priority="5" operator="lessThan">
      <formula>0</formula>
    </cfRule>
  </conditionalFormatting>
  <conditionalFormatting sqref="A428:A439">
    <cfRule type="cellIs" dxfId="25" priority="4" operator="lessThan">
      <formula>0</formula>
    </cfRule>
  </conditionalFormatting>
  <conditionalFormatting sqref="A441">
    <cfRule type="cellIs" dxfId="24" priority="6" operator="lessThan">
      <formula>0</formula>
    </cfRule>
  </conditionalFormatting>
  <conditionalFormatting sqref="A445:A465">
    <cfRule type="cellIs" dxfId="23" priority="3" operator="lessThan">
      <formula>0</formula>
    </cfRule>
  </conditionalFormatting>
  <conditionalFormatting sqref="A372:C372 M372 O372 Q372 S372 A388 M389 P389 S389">
    <cfRule type="cellIs" dxfId="22" priority="16" operator="equal">
      <formula>"Observações"</formula>
    </cfRule>
    <cfRule type="cellIs" dxfId="21" priority="17" operator="equal">
      <formula>"Observação"</formula>
    </cfRule>
    <cfRule type="cellIs" dxfId="20" priority="18" operator="lessThan">
      <formula>0</formula>
    </cfRule>
  </conditionalFormatting>
  <conditionalFormatting sqref="A470:E470">
    <cfRule type="cellIs" dxfId="19" priority="13" operator="lessThan">
      <formula>0</formula>
    </cfRule>
  </conditionalFormatting>
  <conditionalFormatting sqref="A364:I364 A365:A366">
    <cfRule type="cellIs" dxfId="18" priority="19" operator="equal">
      <formula>"Observações"</formula>
    </cfRule>
    <cfRule type="cellIs" dxfId="17" priority="20" operator="equal">
      <formula>"Observação"</formula>
    </cfRule>
    <cfRule type="cellIs" dxfId="16" priority="21" operator="lessThan">
      <formula>0</formula>
    </cfRule>
  </conditionalFormatting>
  <conditionalFormatting sqref="C417:C418">
    <cfRule type="cellIs" dxfId="15" priority="11" operator="lessThan">
      <formula>0</formula>
    </cfRule>
  </conditionalFormatting>
  <conditionalFormatting sqref="C420:C426">
    <cfRule type="cellIs" dxfId="14" priority="10" operator="lessThan">
      <formula>0</formula>
    </cfRule>
  </conditionalFormatting>
  <conditionalFormatting sqref="C428:C439">
    <cfRule type="cellIs" dxfId="13" priority="1" operator="lessThan">
      <formula>0</formula>
    </cfRule>
  </conditionalFormatting>
  <conditionalFormatting sqref="C441">
    <cfRule type="cellIs" dxfId="12" priority="9" operator="lessThan">
      <formula>0</formula>
    </cfRule>
  </conditionalFormatting>
  <conditionalFormatting sqref="O536:T536">
    <cfRule type="cellIs" dxfId="11" priority="15" operator="greaterThan">
      <formula>0.01</formula>
    </cfRule>
  </conditionalFormatting>
  <conditionalFormatting sqref="Q331:T331">
    <cfRule type="cellIs" dxfId="10" priority="40" operator="greaterThan">
      <formula>0.5</formula>
    </cfRule>
  </conditionalFormatting>
  <conditionalFormatting sqref="R209:T209">
    <cfRule type="cellIs" dxfId="9" priority="37" operator="equal">
      <formula>"Encerrar"</formula>
    </cfRule>
    <cfRule type="cellIs" dxfId="8" priority="38" operator="equal">
      <formula>"Continuar"</formula>
    </cfRule>
  </conditionalFormatting>
  <conditionalFormatting sqref="R245:T245">
    <cfRule type="cellIs" dxfId="7" priority="26" operator="equal">
      <formula>"Encerrar"</formula>
    </cfRule>
    <cfRule type="cellIs" dxfId="6" priority="27" operator="equal">
      <formula>"Continuar"</formula>
    </cfRule>
  </conditionalFormatting>
  <conditionalFormatting sqref="R283:T283">
    <cfRule type="cellIs" dxfId="5" priority="24" operator="equal">
      <formula>"Encerrar"</formula>
    </cfRule>
    <cfRule type="cellIs" dxfId="4" priority="25" operator="equal">
      <formula>"Continuar"</formula>
    </cfRule>
  </conditionalFormatting>
  <conditionalFormatting sqref="S417:S418 A418 S420:S426 S428:S439 S441 C444:C465 O444:O465 E445:E465 G445:G465 R445:R465 A467:C467 A469 D469 K469:L469 A471:C471">
    <cfRule type="cellIs" dxfId="3" priority="12" operator="lessThan">
      <formula>0</formula>
    </cfRule>
  </conditionalFormatting>
  <conditionalFormatting sqref="U534">
    <cfRule type="containsText" dxfId="2" priority="14" operator="containsText" text="Reduzir o número de casas decimais">
      <formula>NOT(ISERROR(SEARCH("Reduzir o número de casas decimais",U534)))</formula>
    </cfRule>
  </conditionalFormatting>
  <dataValidations count="5">
    <dataValidation type="list" allowBlank="1" showInputMessage="1" showErrorMessage="1" sqref="F361:K361" xr:uid="{BC7723A1-F713-4D77-A225-4755655D3AAE}">
      <formula1>$AJ$353:$AJ$361</formula1>
    </dataValidation>
    <dataValidation type="list" allowBlank="1" showInputMessage="1" showErrorMessage="1" sqref="F360:K360" xr:uid="{16BA2861-BB4D-4547-B36D-9B65721AAE3C}">
      <formula1>$AK$357:$AK$360</formula1>
    </dataValidation>
    <dataValidation type="list" allowBlank="1" showInputMessage="1" showErrorMessage="1" sqref="Q360:T360" xr:uid="{F36208C9-7AC5-49C3-82E9-188C9A389661}">
      <formula1>$AK$353:$AK$355</formula1>
    </dataValidation>
    <dataValidation type="list" allowBlank="1" showInputMessage="1" showErrorMessage="1" sqref="E445:F465" xr:uid="{274F81E6-408B-435F-AEFE-EB4C464D5413}">
      <formula1>$V$447:$V$455</formula1>
    </dataValidation>
    <dataValidation type="list" allowBlank="1" showInputMessage="1" showErrorMessage="1" sqref="M18:M29" xr:uid="{5C2DD489-0C83-42A1-A5AC-6D8E4F2B2F12}">
      <formula1>$V$19:$V$20</formula1>
    </dataValidation>
  </dataValidations>
  <printOptions horizontalCentered="1"/>
  <pageMargins left="0.25" right="0.25" top="0.75" bottom="0.75" header="0.3" footer="0.3"/>
  <pageSetup paperSize="9" scale="79" fitToHeight="0" orientation="portrait" r:id="rId1"/>
  <ignoredErrors>
    <ignoredError sqref="O502"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881D38-17A1-4584-BA99-422C2EC80983}">
          <x14:formula1>
            <xm:f>'VANTAGEM DA COISA FEITA'!$V$11:$Y$11</xm:f>
          </x14:formula1>
          <xm:sqref>N507:T507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A55B-6AE0-4B3E-9054-5705ACC43F97}">
  <dimension ref="A1:AP81"/>
  <sheetViews>
    <sheetView zoomScaleNormal="100" workbookViewId="0">
      <selection sqref="A1:R1"/>
    </sheetView>
  </sheetViews>
  <sheetFormatPr defaultColWidth="20.625" defaultRowHeight="15" x14ac:dyDescent="0.25"/>
  <cols>
    <col min="1" max="18" width="6.625" style="73" customWidth="1"/>
    <col min="19" max="16384" width="20.625" style="66"/>
  </cols>
  <sheetData>
    <row r="1" spans="1:42" ht="20.100000000000001" customHeight="1" thickBot="1" x14ac:dyDescent="0.3">
      <c r="A1" s="257" t="s">
        <v>258</v>
      </c>
      <c r="B1" s="257"/>
      <c r="C1" s="257"/>
      <c r="D1" s="257"/>
      <c r="E1" s="257"/>
      <c r="F1" s="257"/>
      <c r="G1" s="257"/>
      <c r="H1" s="257"/>
      <c r="I1" s="257"/>
      <c r="J1" s="257"/>
      <c r="K1" s="257"/>
      <c r="L1" s="257"/>
      <c r="M1" s="257"/>
      <c r="N1" s="257"/>
      <c r="O1" s="257"/>
      <c r="P1" s="257"/>
      <c r="Q1" s="257"/>
      <c r="R1" s="257"/>
    </row>
    <row r="2" spans="1:42" x14ac:dyDescent="0.25">
      <c r="A2" s="37"/>
      <c r="B2" s="37"/>
      <c r="C2" s="37"/>
      <c r="D2" s="37"/>
      <c r="E2" s="37"/>
      <c r="F2" s="37"/>
      <c r="G2" s="37"/>
      <c r="H2" s="37"/>
      <c r="I2" s="37"/>
      <c r="J2" s="37"/>
      <c r="K2" s="37"/>
      <c r="L2" s="37"/>
      <c r="M2" s="37"/>
      <c r="N2" s="37"/>
      <c r="O2" s="37"/>
      <c r="P2" s="37"/>
      <c r="Q2" s="37"/>
      <c r="R2" s="37"/>
    </row>
    <row r="3" spans="1:42" ht="20.100000000000001" customHeight="1" x14ac:dyDescent="0.25">
      <c r="A3" s="258" t="s">
        <v>259</v>
      </c>
      <c r="B3" s="258"/>
      <c r="C3" s="258"/>
      <c r="D3" s="258"/>
      <c r="E3" s="258"/>
      <c r="F3" s="258"/>
      <c r="G3" s="258"/>
      <c r="H3" s="258"/>
      <c r="I3" s="258"/>
      <c r="J3" s="258"/>
      <c r="K3" s="258"/>
      <c r="L3" s="258"/>
      <c r="M3" s="258"/>
      <c r="N3" s="258"/>
      <c r="O3" s="258"/>
      <c r="P3" s="258"/>
      <c r="Q3" s="258"/>
      <c r="R3" s="258"/>
    </row>
    <row r="4" spans="1:42" ht="20.100000000000001" customHeight="1" x14ac:dyDescent="0.25">
      <c r="A4" s="258"/>
      <c r="B4" s="258"/>
      <c r="C4" s="258"/>
      <c r="D4" s="258"/>
      <c r="E4" s="258"/>
      <c r="F4" s="258"/>
      <c r="G4" s="258"/>
      <c r="H4" s="258"/>
      <c r="I4" s="258"/>
      <c r="J4" s="258"/>
      <c r="K4" s="258"/>
      <c r="L4" s="258"/>
      <c r="M4" s="258"/>
      <c r="N4" s="258"/>
      <c r="O4" s="258"/>
      <c r="P4" s="258"/>
      <c r="Q4" s="258"/>
      <c r="R4" s="258"/>
    </row>
    <row r="5" spans="1:42" ht="20.100000000000001" customHeight="1" x14ac:dyDescent="0.25">
      <c r="A5" s="255" t="s">
        <v>260</v>
      </c>
      <c r="B5" s="255"/>
      <c r="C5" s="255"/>
      <c r="D5" s="255"/>
      <c r="E5" s="255"/>
      <c r="F5" s="255"/>
      <c r="G5" s="255"/>
      <c r="H5" s="255"/>
      <c r="I5" s="255"/>
      <c r="J5" s="255"/>
      <c r="K5" s="255"/>
      <c r="L5" s="255"/>
      <c r="M5" s="255"/>
      <c r="N5" s="255"/>
      <c r="O5" s="255"/>
      <c r="P5" s="255"/>
      <c r="Q5" s="255"/>
      <c r="R5" s="255"/>
    </row>
    <row r="6" spans="1:42" ht="20.100000000000001" customHeight="1" x14ac:dyDescent="0.25">
      <c r="A6" s="259" t="s">
        <v>261</v>
      </c>
      <c r="B6" s="259"/>
      <c r="C6" s="259"/>
      <c r="D6" s="259"/>
      <c r="E6" s="259" t="s">
        <v>262</v>
      </c>
      <c r="F6" s="259"/>
      <c r="G6" s="259" t="s">
        <v>263</v>
      </c>
      <c r="H6" s="259"/>
      <c r="I6" s="259"/>
      <c r="J6" s="259"/>
      <c r="K6" s="259" t="s">
        <v>264</v>
      </c>
      <c r="L6" s="259"/>
      <c r="M6" s="259"/>
      <c r="N6" s="259"/>
      <c r="O6" s="259" t="s">
        <v>265</v>
      </c>
      <c r="P6" s="259"/>
      <c r="Q6" s="259"/>
      <c r="R6" s="259"/>
    </row>
    <row r="7" spans="1:42" ht="20.100000000000001" customHeight="1" x14ac:dyDescent="0.25">
      <c r="A7" s="251" t="s">
        <v>266</v>
      </c>
      <c r="B7" s="251"/>
      <c r="C7" s="251"/>
      <c r="D7" s="251"/>
      <c r="E7" s="250">
        <v>0.25</v>
      </c>
      <c r="F7" s="250"/>
      <c r="G7" s="250">
        <v>0.25</v>
      </c>
      <c r="H7" s="250"/>
      <c r="I7" s="250">
        <v>0.21</v>
      </c>
      <c r="J7" s="250"/>
      <c r="K7" s="250">
        <v>0.21</v>
      </c>
      <c r="L7" s="250"/>
      <c r="M7" s="250">
        <v>0.13</v>
      </c>
      <c r="N7" s="250"/>
      <c r="O7" s="250">
        <v>0.13</v>
      </c>
      <c r="P7" s="250"/>
      <c r="Q7" s="250">
        <v>0</v>
      </c>
      <c r="R7" s="250"/>
    </row>
    <row r="8" spans="1:42" ht="20.100000000000001" customHeight="1" x14ac:dyDescent="0.25">
      <c r="A8" s="251"/>
      <c r="B8" s="251"/>
      <c r="C8" s="251"/>
      <c r="D8" s="251"/>
      <c r="E8" s="250"/>
      <c r="F8" s="250"/>
      <c r="G8" s="250"/>
      <c r="H8" s="250"/>
      <c r="I8" s="250"/>
      <c r="J8" s="250"/>
      <c r="K8" s="250"/>
      <c r="L8" s="250"/>
      <c r="M8" s="250"/>
      <c r="N8" s="250"/>
      <c r="O8" s="250"/>
      <c r="P8" s="250"/>
      <c r="Q8" s="250"/>
      <c r="R8" s="250"/>
    </row>
    <row r="9" spans="1:42" ht="20.100000000000001" customHeight="1" x14ac:dyDescent="0.25">
      <c r="A9" s="251" t="s">
        <v>267</v>
      </c>
      <c r="B9" s="251"/>
      <c r="C9" s="251"/>
      <c r="D9" s="251"/>
      <c r="E9" s="250">
        <v>0.15</v>
      </c>
      <c r="F9" s="250"/>
      <c r="G9" s="250">
        <v>0.15</v>
      </c>
      <c r="H9" s="250"/>
      <c r="I9" s="250">
        <v>0.125</v>
      </c>
      <c r="J9" s="250"/>
      <c r="K9" s="250">
        <v>0.125</v>
      </c>
      <c r="L9" s="250"/>
      <c r="M9" s="250">
        <v>7.8E-2</v>
      </c>
      <c r="N9" s="250"/>
      <c r="O9" s="250">
        <v>7.8E-2</v>
      </c>
      <c r="P9" s="250"/>
      <c r="Q9" s="250">
        <v>0</v>
      </c>
      <c r="R9" s="250"/>
    </row>
    <row r="10" spans="1:42" ht="20.100000000000001" customHeight="1" x14ac:dyDescent="0.25">
      <c r="A10" s="251"/>
      <c r="B10" s="251"/>
      <c r="C10" s="251"/>
      <c r="D10" s="251"/>
      <c r="E10" s="250"/>
      <c r="F10" s="250"/>
      <c r="G10" s="250"/>
      <c r="H10" s="250"/>
      <c r="I10" s="250"/>
      <c r="J10" s="250"/>
      <c r="K10" s="250"/>
      <c r="L10" s="250"/>
      <c r="M10" s="250"/>
      <c r="N10" s="250"/>
      <c r="O10" s="250"/>
      <c r="P10" s="250"/>
      <c r="Q10" s="250"/>
      <c r="R10" s="250"/>
    </row>
    <row r="11" spans="1:42" ht="20.100000000000001" customHeight="1" x14ac:dyDescent="0.25">
      <c r="A11" s="251" t="s">
        <v>268</v>
      </c>
      <c r="B11" s="251"/>
      <c r="C11" s="251"/>
      <c r="D11" s="251"/>
      <c r="E11" s="250">
        <v>0.1</v>
      </c>
      <c r="F11" s="250"/>
      <c r="G11" s="250">
        <v>0.1</v>
      </c>
      <c r="H11" s="250"/>
      <c r="I11" s="250">
        <v>8.4000000000000005E-2</v>
      </c>
      <c r="J11" s="250"/>
      <c r="K11" s="250">
        <v>8.4000000000000005E-2</v>
      </c>
      <c r="L11" s="250"/>
      <c r="M11" s="250">
        <v>5.1999999999999998E-2</v>
      </c>
      <c r="N11" s="250"/>
      <c r="O11" s="250">
        <v>5.1999999999999998E-2</v>
      </c>
      <c r="P11" s="250"/>
      <c r="Q11" s="250">
        <v>0</v>
      </c>
      <c r="R11" s="250"/>
      <c r="U11" s="67" t="s">
        <v>269</v>
      </c>
      <c r="V11" s="67" t="s">
        <v>266</v>
      </c>
      <c r="W11" s="67" t="s">
        <v>267</v>
      </c>
      <c r="X11" s="67" t="s">
        <v>268</v>
      </c>
      <c r="Y11" s="67" t="s">
        <v>270</v>
      </c>
      <c r="AA11" s="252" t="s">
        <v>271</v>
      </c>
      <c r="AB11" s="252"/>
      <c r="AC11" s="252"/>
      <c r="AD11" s="252"/>
      <c r="AE11" s="252"/>
      <c r="AF11" s="252"/>
      <c r="AG11" s="252"/>
      <c r="AH11" s="252"/>
      <c r="AI11" s="252"/>
      <c r="AJ11" s="252"/>
    </row>
    <row r="12" spans="1:42" ht="20.100000000000001" customHeight="1" x14ac:dyDescent="0.25">
      <c r="A12" s="251"/>
      <c r="B12" s="251"/>
      <c r="C12" s="251"/>
      <c r="D12" s="251"/>
      <c r="E12" s="250"/>
      <c r="F12" s="250"/>
      <c r="G12" s="250"/>
      <c r="H12" s="250"/>
      <c r="I12" s="250"/>
      <c r="J12" s="250"/>
      <c r="K12" s="250"/>
      <c r="L12" s="250"/>
      <c r="M12" s="250"/>
      <c r="N12" s="250"/>
      <c r="O12" s="250"/>
      <c r="P12" s="250"/>
      <c r="Q12" s="250"/>
      <c r="R12" s="250"/>
      <c r="U12" s="68">
        <f t="shared" ref="U12:U41" si="0">AB12</f>
        <v>1</v>
      </c>
      <c r="V12" s="69">
        <f t="shared" ref="V12:V41" si="1">AD12/100</f>
        <v>0.24600000000000002</v>
      </c>
      <c r="W12" s="69">
        <f t="shared" ref="W12:W41" si="2">AF12/100</f>
        <v>0.14749999999999999</v>
      </c>
      <c r="X12" s="69">
        <f t="shared" ref="X12:X41" si="3">AH12/100</f>
        <v>9.8400000000000001E-2</v>
      </c>
      <c r="Y12" s="69">
        <f t="shared" ref="Y12:Y41" si="4">AJ12/100</f>
        <v>4.9200000000000001E-2</v>
      </c>
      <c r="AA12" s="253"/>
      <c r="AB12" s="70">
        <v>1</v>
      </c>
      <c r="AC12" s="253"/>
      <c r="AD12" s="71">
        <f t="shared" ref="AD12:AD21" si="5">25-AB12*4/10</f>
        <v>24.6</v>
      </c>
      <c r="AE12" s="253"/>
      <c r="AF12" s="71">
        <f t="shared" ref="AF12:AF21" si="6">15-(AB12*2.5/10)</f>
        <v>14.75</v>
      </c>
      <c r="AG12" s="253"/>
      <c r="AH12" s="71">
        <f t="shared" ref="AH12:AH21" si="7">10-AB12*1.6/10</f>
        <v>9.84</v>
      </c>
      <c r="AI12" s="253"/>
      <c r="AJ12" s="71">
        <f t="shared" ref="AJ12:AJ21" si="8">5-AB12*0.8/10</f>
        <v>4.92</v>
      </c>
      <c r="AM12" s="72"/>
      <c r="AN12" s="72"/>
      <c r="AO12" s="72"/>
      <c r="AP12" s="72"/>
    </row>
    <row r="13" spans="1:42" ht="20.100000000000001" customHeight="1" x14ac:dyDescent="0.25">
      <c r="A13" s="251" t="s">
        <v>270</v>
      </c>
      <c r="B13" s="251"/>
      <c r="C13" s="251"/>
      <c r="D13" s="251"/>
      <c r="E13" s="250">
        <v>0.05</v>
      </c>
      <c r="F13" s="250"/>
      <c r="G13" s="250">
        <v>0.05</v>
      </c>
      <c r="H13" s="250"/>
      <c r="I13" s="250">
        <v>4.2000000000000003E-2</v>
      </c>
      <c r="J13" s="250"/>
      <c r="K13" s="250">
        <v>4.2000000000000003E-2</v>
      </c>
      <c r="L13" s="250"/>
      <c r="M13" s="250">
        <v>2.5999999999999999E-2</v>
      </c>
      <c r="N13" s="250"/>
      <c r="O13" s="250">
        <v>2.5999999999999999E-2</v>
      </c>
      <c r="P13" s="250"/>
      <c r="Q13" s="250">
        <v>0</v>
      </c>
      <c r="R13" s="250"/>
      <c r="U13" s="68">
        <f t="shared" si="0"/>
        <v>2</v>
      </c>
      <c r="V13" s="69">
        <f t="shared" si="1"/>
        <v>0.24199999999999999</v>
      </c>
      <c r="W13" s="69">
        <f t="shared" si="2"/>
        <v>0.14499999999999999</v>
      </c>
      <c r="X13" s="69">
        <f t="shared" si="3"/>
        <v>9.6799999999999997E-2</v>
      </c>
      <c r="Y13" s="69">
        <f t="shared" si="4"/>
        <v>4.8399999999999999E-2</v>
      </c>
      <c r="AA13" s="253"/>
      <c r="AB13" s="70">
        <v>2</v>
      </c>
      <c r="AC13" s="253"/>
      <c r="AD13" s="71">
        <f t="shared" si="5"/>
        <v>24.2</v>
      </c>
      <c r="AE13" s="253"/>
      <c r="AF13" s="71">
        <f t="shared" si="6"/>
        <v>14.5</v>
      </c>
      <c r="AG13" s="253"/>
      <c r="AH13" s="71">
        <f t="shared" si="7"/>
        <v>9.68</v>
      </c>
      <c r="AI13" s="253"/>
      <c r="AJ13" s="71">
        <f t="shared" si="8"/>
        <v>4.84</v>
      </c>
      <c r="AM13" s="72"/>
      <c r="AN13" s="72"/>
      <c r="AO13" s="72"/>
      <c r="AP13" s="72"/>
    </row>
    <row r="14" spans="1:42" ht="20.100000000000001" customHeight="1" x14ac:dyDescent="0.25">
      <c r="A14" s="251"/>
      <c r="B14" s="251"/>
      <c r="C14" s="251"/>
      <c r="D14" s="251"/>
      <c r="E14" s="250"/>
      <c r="F14" s="250"/>
      <c r="G14" s="250"/>
      <c r="H14" s="250"/>
      <c r="I14" s="250"/>
      <c r="J14" s="250"/>
      <c r="K14" s="250"/>
      <c r="L14" s="250"/>
      <c r="M14" s="250"/>
      <c r="N14" s="250"/>
      <c r="O14" s="250"/>
      <c r="P14" s="250"/>
      <c r="Q14" s="250"/>
      <c r="R14" s="250"/>
      <c r="U14" s="68">
        <f t="shared" si="0"/>
        <v>3</v>
      </c>
      <c r="V14" s="69">
        <f t="shared" si="1"/>
        <v>0.23800000000000002</v>
      </c>
      <c r="W14" s="69">
        <f t="shared" si="2"/>
        <v>0.14249999999999999</v>
      </c>
      <c r="X14" s="69">
        <f t="shared" si="3"/>
        <v>9.5199999999999993E-2</v>
      </c>
      <c r="Y14" s="69">
        <f t="shared" si="4"/>
        <v>4.7599999999999996E-2</v>
      </c>
      <c r="AA14" s="253"/>
      <c r="AB14" s="70">
        <v>3</v>
      </c>
      <c r="AC14" s="253"/>
      <c r="AD14" s="71">
        <f t="shared" si="5"/>
        <v>23.8</v>
      </c>
      <c r="AE14" s="253"/>
      <c r="AF14" s="71">
        <f t="shared" si="6"/>
        <v>14.25</v>
      </c>
      <c r="AG14" s="253"/>
      <c r="AH14" s="71">
        <f t="shared" si="7"/>
        <v>9.52</v>
      </c>
      <c r="AI14" s="253"/>
      <c r="AJ14" s="71">
        <f t="shared" si="8"/>
        <v>4.76</v>
      </c>
      <c r="AM14" s="72"/>
      <c r="AN14" s="72"/>
      <c r="AO14" s="72"/>
      <c r="AP14" s="72"/>
    </row>
    <row r="15" spans="1:42" ht="20.100000000000001" customHeight="1" x14ac:dyDescent="0.25">
      <c r="A15" s="255" t="s">
        <v>272</v>
      </c>
      <c r="B15" s="255"/>
      <c r="C15" s="255"/>
      <c r="D15" s="255"/>
      <c r="E15" s="255"/>
      <c r="F15" s="255"/>
      <c r="G15" s="255"/>
      <c r="H15" s="255"/>
      <c r="I15" s="255"/>
      <c r="J15" s="255"/>
      <c r="K15" s="255"/>
      <c r="L15" s="255"/>
      <c r="M15" s="255"/>
      <c r="N15" s="255"/>
      <c r="O15" s="255"/>
      <c r="P15" s="255"/>
      <c r="Q15" s="255"/>
      <c r="R15" s="255"/>
      <c r="U15" s="68">
        <f t="shared" si="0"/>
        <v>4</v>
      </c>
      <c r="V15" s="69">
        <f t="shared" si="1"/>
        <v>0.23399999999999999</v>
      </c>
      <c r="W15" s="69">
        <f t="shared" si="2"/>
        <v>0.14000000000000001</v>
      </c>
      <c r="X15" s="69">
        <f t="shared" si="3"/>
        <v>9.3599999999999989E-2</v>
      </c>
      <c r="Y15" s="69">
        <f t="shared" si="4"/>
        <v>4.6799999999999994E-2</v>
      </c>
      <c r="AA15" s="253"/>
      <c r="AB15" s="70">
        <v>4</v>
      </c>
      <c r="AC15" s="253"/>
      <c r="AD15" s="71">
        <f t="shared" si="5"/>
        <v>23.4</v>
      </c>
      <c r="AE15" s="253"/>
      <c r="AF15" s="71">
        <f t="shared" si="6"/>
        <v>14</v>
      </c>
      <c r="AG15" s="253"/>
      <c r="AH15" s="71">
        <f t="shared" si="7"/>
        <v>9.36</v>
      </c>
      <c r="AI15" s="253"/>
      <c r="AJ15" s="71">
        <f t="shared" si="8"/>
        <v>4.68</v>
      </c>
      <c r="AM15" s="72"/>
      <c r="AN15" s="72"/>
      <c r="AO15" s="72"/>
      <c r="AP15" s="72"/>
    </row>
    <row r="16" spans="1:42" ht="20.100000000000001" customHeight="1" x14ac:dyDescent="0.25">
      <c r="A16" s="255" t="s">
        <v>273</v>
      </c>
      <c r="B16" s="255"/>
      <c r="C16" s="255"/>
      <c r="D16" s="255"/>
      <c r="E16" s="255"/>
      <c r="F16" s="255"/>
      <c r="G16" s="255"/>
      <c r="H16" s="255"/>
      <c r="I16" s="255"/>
      <c r="J16" s="255"/>
      <c r="K16" s="255"/>
      <c r="L16" s="255"/>
      <c r="M16" s="255"/>
      <c r="N16" s="255"/>
      <c r="O16" s="255"/>
      <c r="P16" s="255"/>
      <c r="Q16" s="255"/>
      <c r="R16" s="255"/>
      <c r="U16" s="68">
        <f t="shared" si="0"/>
        <v>5</v>
      </c>
      <c r="V16" s="69">
        <f t="shared" si="1"/>
        <v>0.23</v>
      </c>
      <c r="W16" s="69">
        <f t="shared" si="2"/>
        <v>0.13750000000000001</v>
      </c>
      <c r="X16" s="69">
        <f t="shared" si="3"/>
        <v>9.1999999999999998E-2</v>
      </c>
      <c r="Y16" s="69">
        <f t="shared" si="4"/>
        <v>4.5999999999999999E-2</v>
      </c>
      <c r="AA16" s="253"/>
      <c r="AB16" s="70">
        <v>5</v>
      </c>
      <c r="AC16" s="253"/>
      <c r="AD16" s="71">
        <f t="shared" si="5"/>
        <v>23</v>
      </c>
      <c r="AE16" s="253"/>
      <c r="AF16" s="71">
        <f t="shared" si="6"/>
        <v>13.75</v>
      </c>
      <c r="AG16" s="253"/>
      <c r="AH16" s="71">
        <f t="shared" si="7"/>
        <v>9.1999999999999993</v>
      </c>
      <c r="AI16" s="253"/>
      <c r="AJ16" s="71">
        <f t="shared" si="8"/>
        <v>4.5999999999999996</v>
      </c>
      <c r="AM16" s="72"/>
      <c r="AN16" s="72"/>
      <c r="AO16" s="72"/>
      <c r="AP16" s="72"/>
    </row>
    <row r="17" spans="1:42" ht="20.100000000000001" customHeight="1" x14ac:dyDescent="0.25">
      <c r="A17" s="255" t="s">
        <v>274</v>
      </c>
      <c r="B17" s="255"/>
      <c r="C17" s="255"/>
      <c r="D17" s="256" t="s">
        <v>275</v>
      </c>
      <c r="E17" s="256"/>
      <c r="F17" s="256"/>
      <c r="G17" s="256"/>
      <c r="H17" s="256"/>
      <c r="I17" s="256"/>
      <c r="J17" s="256"/>
      <c r="K17" s="256"/>
      <c r="L17" s="256"/>
      <c r="M17" s="256"/>
      <c r="N17" s="256"/>
      <c r="O17" s="256"/>
      <c r="P17" s="256"/>
      <c r="Q17" s="256"/>
      <c r="R17" s="256"/>
      <c r="U17" s="68">
        <f t="shared" si="0"/>
        <v>6</v>
      </c>
      <c r="V17" s="69">
        <f t="shared" si="1"/>
        <v>0.22600000000000001</v>
      </c>
      <c r="W17" s="69">
        <f t="shared" si="2"/>
        <v>0.13500000000000001</v>
      </c>
      <c r="X17" s="69">
        <f t="shared" si="3"/>
        <v>9.0399999999999994E-2</v>
      </c>
      <c r="Y17" s="69">
        <f t="shared" si="4"/>
        <v>4.5199999999999997E-2</v>
      </c>
      <c r="AA17" s="253"/>
      <c r="AB17" s="70">
        <v>6</v>
      </c>
      <c r="AC17" s="253"/>
      <c r="AD17" s="71">
        <f t="shared" si="5"/>
        <v>22.6</v>
      </c>
      <c r="AE17" s="253"/>
      <c r="AF17" s="71">
        <f t="shared" si="6"/>
        <v>13.5</v>
      </c>
      <c r="AG17" s="253"/>
      <c r="AH17" s="71">
        <f t="shared" si="7"/>
        <v>9.0399999999999991</v>
      </c>
      <c r="AI17" s="253"/>
      <c r="AJ17" s="71">
        <f t="shared" si="8"/>
        <v>4.5199999999999996</v>
      </c>
      <c r="AM17" s="72"/>
      <c r="AN17" s="72"/>
      <c r="AO17" s="72"/>
      <c r="AP17" s="72"/>
    </row>
    <row r="18" spans="1:42" ht="20.100000000000001" customHeight="1" x14ac:dyDescent="0.25">
      <c r="A18" s="254" t="s">
        <v>276</v>
      </c>
      <c r="B18" s="254"/>
      <c r="C18" s="254"/>
      <c r="D18" s="254"/>
      <c r="E18" s="254"/>
      <c r="F18" s="254"/>
      <c r="G18" s="254"/>
      <c r="H18" s="254"/>
      <c r="I18" s="254"/>
      <c r="J18" s="254"/>
      <c r="K18" s="254"/>
      <c r="L18" s="254"/>
      <c r="M18" s="254"/>
      <c r="N18" s="254"/>
      <c r="O18" s="254"/>
      <c r="P18" s="254"/>
      <c r="Q18" s="254"/>
      <c r="R18" s="254"/>
      <c r="U18" s="68">
        <f t="shared" si="0"/>
        <v>7</v>
      </c>
      <c r="V18" s="69">
        <f t="shared" si="1"/>
        <v>0.222</v>
      </c>
      <c r="W18" s="69">
        <f t="shared" si="2"/>
        <v>0.13250000000000001</v>
      </c>
      <c r="X18" s="69">
        <f t="shared" si="3"/>
        <v>8.879999999999999E-2</v>
      </c>
      <c r="Y18" s="69">
        <f t="shared" si="4"/>
        <v>4.4399999999999995E-2</v>
      </c>
      <c r="AA18" s="253"/>
      <c r="AB18" s="70">
        <v>7</v>
      </c>
      <c r="AC18" s="253"/>
      <c r="AD18" s="71">
        <f t="shared" si="5"/>
        <v>22.2</v>
      </c>
      <c r="AE18" s="253"/>
      <c r="AF18" s="71">
        <f t="shared" si="6"/>
        <v>13.25</v>
      </c>
      <c r="AG18" s="253"/>
      <c r="AH18" s="71">
        <f t="shared" si="7"/>
        <v>8.879999999999999</v>
      </c>
      <c r="AI18" s="253"/>
      <c r="AJ18" s="71">
        <f t="shared" si="8"/>
        <v>4.4399999999999995</v>
      </c>
      <c r="AM18" s="72"/>
      <c r="AN18" s="72"/>
      <c r="AO18" s="72"/>
      <c r="AP18" s="72"/>
    </row>
    <row r="19" spans="1:42" ht="20.100000000000001" customHeight="1" x14ac:dyDescent="0.25">
      <c r="A19" s="254"/>
      <c r="B19" s="254"/>
      <c r="C19" s="254"/>
      <c r="D19" s="254"/>
      <c r="E19" s="254"/>
      <c r="F19" s="254"/>
      <c r="G19" s="254"/>
      <c r="H19" s="254"/>
      <c r="I19" s="254"/>
      <c r="J19" s="254"/>
      <c r="K19" s="254"/>
      <c r="L19" s="254"/>
      <c r="M19" s="254"/>
      <c r="N19" s="254"/>
      <c r="O19" s="254"/>
      <c r="P19" s="254"/>
      <c r="Q19" s="254"/>
      <c r="R19" s="254"/>
      <c r="U19" s="68">
        <f t="shared" si="0"/>
        <v>8</v>
      </c>
      <c r="V19" s="69">
        <f t="shared" si="1"/>
        <v>0.218</v>
      </c>
      <c r="W19" s="69">
        <f t="shared" si="2"/>
        <v>0.13</v>
      </c>
      <c r="X19" s="69">
        <f t="shared" si="3"/>
        <v>8.72E-2</v>
      </c>
      <c r="Y19" s="69">
        <f t="shared" si="4"/>
        <v>4.36E-2</v>
      </c>
      <c r="AA19" s="253"/>
      <c r="AB19" s="70">
        <v>8</v>
      </c>
      <c r="AC19" s="253"/>
      <c r="AD19" s="71">
        <f t="shared" si="5"/>
        <v>21.8</v>
      </c>
      <c r="AE19" s="253"/>
      <c r="AF19" s="71">
        <f t="shared" si="6"/>
        <v>13</v>
      </c>
      <c r="AG19" s="253"/>
      <c r="AH19" s="71">
        <f t="shared" si="7"/>
        <v>8.7200000000000006</v>
      </c>
      <c r="AI19" s="253"/>
      <c r="AJ19" s="71">
        <f t="shared" si="8"/>
        <v>4.3600000000000003</v>
      </c>
      <c r="AM19" s="72"/>
      <c r="AN19" s="72"/>
      <c r="AO19" s="72"/>
      <c r="AP19" s="72"/>
    </row>
    <row r="20" spans="1:42" ht="20.100000000000001" customHeight="1" x14ac:dyDescent="0.25">
      <c r="A20" s="254"/>
      <c r="B20" s="254"/>
      <c r="C20" s="254"/>
      <c r="D20" s="254"/>
      <c r="E20" s="254"/>
      <c r="F20" s="254"/>
      <c r="G20" s="254"/>
      <c r="H20" s="254"/>
      <c r="I20" s="254"/>
      <c r="J20" s="254"/>
      <c r="K20" s="254"/>
      <c r="L20" s="254"/>
      <c r="M20" s="254"/>
      <c r="N20" s="254"/>
      <c r="O20" s="254"/>
      <c r="P20" s="254"/>
      <c r="Q20" s="254"/>
      <c r="R20" s="254"/>
      <c r="U20" s="68">
        <f t="shared" si="0"/>
        <v>9</v>
      </c>
      <c r="V20" s="69">
        <f t="shared" si="1"/>
        <v>0.214</v>
      </c>
      <c r="W20" s="69">
        <f t="shared" si="2"/>
        <v>0.1275</v>
      </c>
      <c r="X20" s="69">
        <f t="shared" si="3"/>
        <v>8.5600000000000009E-2</v>
      </c>
      <c r="Y20" s="69">
        <f t="shared" si="4"/>
        <v>4.2800000000000005E-2</v>
      </c>
      <c r="AA20" s="253"/>
      <c r="AB20" s="70">
        <v>9</v>
      </c>
      <c r="AC20" s="253"/>
      <c r="AD20" s="71">
        <f t="shared" si="5"/>
        <v>21.4</v>
      </c>
      <c r="AE20" s="253"/>
      <c r="AF20" s="71">
        <f t="shared" si="6"/>
        <v>12.75</v>
      </c>
      <c r="AG20" s="253"/>
      <c r="AH20" s="71">
        <f t="shared" si="7"/>
        <v>8.56</v>
      </c>
      <c r="AI20" s="253"/>
      <c r="AJ20" s="71">
        <f t="shared" si="8"/>
        <v>4.28</v>
      </c>
      <c r="AM20" s="72"/>
      <c r="AN20" s="72"/>
      <c r="AO20" s="72"/>
      <c r="AP20" s="72"/>
    </row>
    <row r="21" spans="1:42" ht="20.100000000000001" customHeight="1" x14ac:dyDescent="0.25">
      <c r="A21" s="66"/>
      <c r="B21" s="66"/>
      <c r="C21" s="66"/>
      <c r="D21" s="66"/>
      <c r="E21" s="66"/>
      <c r="F21" s="66"/>
      <c r="G21" s="66"/>
      <c r="H21" s="66"/>
      <c r="I21" s="66"/>
      <c r="J21" s="66"/>
      <c r="K21" s="66"/>
      <c r="L21" s="66"/>
      <c r="M21" s="66"/>
      <c r="N21" s="66"/>
      <c r="O21" s="66"/>
      <c r="P21" s="66"/>
      <c r="Q21" s="66"/>
      <c r="R21" s="66"/>
      <c r="U21" s="68">
        <f t="shared" si="0"/>
        <v>10</v>
      </c>
      <c r="V21" s="69">
        <f t="shared" si="1"/>
        <v>0.21</v>
      </c>
      <c r="W21" s="69">
        <f t="shared" si="2"/>
        <v>0.125</v>
      </c>
      <c r="X21" s="69">
        <f t="shared" si="3"/>
        <v>8.4000000000000005E-2</v>
      </c>
      <c r="Y21" s="69">
        <f t="shared" si="4"/>
        <v>4.2000000000000003E-2</v>
      </c>
      <c r="AA21" s="253"/>
      <c r="AB21" s="70">
        <v>10</v>
      </c>
      <c r="AC21" s="253"/>
      <c r="AD21" s="71">
        <f t="shared" si="5"/>
        <v>21</v>
      </c>
      <c r="AE21" s="253"/>
      <c r="AF21" s="71">
        <f t="shared" si="6"/>
        <v>12.5</v>
      </c>
      <c r="AG21" s="253"/>
      <c r="AH21" s="71">
        <f t="shared" si="7"/>
        <v>8.4</v>
      </c>
      <c r="AI21" s="253"/>
      <c r="AJ21" s="71">
        <f t="shared" si="8"/>
        <v>4.2</v>
      </c>
      <c r="AM21" s="72"/>
      <c r="AN21" s="72"/>
      <c r="AO21" s="72"/>
      <c r="AP21" s="72"/>
    </row>
    <row r="22" spans="1:42" ht="20.100000000000001" customHeight="1" x14ac:dyDescent="0.25">
      <c r="A22" s="66"/>
      <c r="B22" s="66"/>
      <c r="C22" s="66"/>
      <c r="D22" s="66"/>
      <c r="E22" s="66"/>
      <c r="F22" s="66"/>
      <c r="G22" s="66"/>
      <c r="H22" s="66"/>
      <c r="I22" s="66"/>
      <c r="J22" s="66"/>
      <c r="K22" s="66"/>
      <c r="L22" s="66"/>
      <c r="M22" s="66"/>
      <c r="N22" s="66"/>
      <c r="O22" s="66"/>
      <c r="P22" s="66"/>
      <c r="Q22" s="66"/>
      <c r="R22" s="66"/>
      <c r="U22" s="68">
        <f t="shared" si="0"/>
        <v>11</v>
      </c>
      <c r="V22" s="69">
        <f t="shared" si="1"/>
        <v>0.20199999999999999</v>
      </c>
      <c r="W22" s="69">
        <f t="shared" si="2"/>
        <v>0.12029999999999999</v>
      </c>
      <c r="X22" s="69">
        <f t="shared" si="3"/>
        <v>8.0799999999999997E-2</v>
      </c>
      <c r="Y22" s="69">
        <f t="shared" si="4"/>
        <v>4.0399999999999998E-2</v>
      </c>
      <c r="AA22" s="253"/>
      <c r="AB22" s="70">
        <v>11</v>
      </c>
      <c r="AC22" s="253"/>
      <c r="AD22" s="71">
        <f t="shared" ref="AD22:AD31" si="9">21-((AB22-10)*(8/10))</f>
        <v>20.2</v>
      </c>
      <c r="AE22" s="253"/>
      <c r="AF22" s="71">
        <f t="shared" ref="AF22:AF31" si="10">12.5-(AB22-10)*4.7/10</f>
        <v>12.03</v>
      </c>
      <c r="AG22" s="253"/>
      <c r="AH22" s="71">
        <f t="shared" ref="AH22:AH31" si="11">8.4-(AB22-10)*3.2/10</f>
        <v>8.08</v>
      </c>
      <c r="AI22" s="253"/>
      <c r="AJ22" s="71">
        <f t="shared" ref="AJ22:AJ31" si="12">4.2-(AB22-10)*1.6/10</f>
        <v>4.04</v>
      </c>
      <c r="AM22" s="72"/>
      <c r="AN22" s="72"/>
      <c r="AO22" s="72"/>
      <c r="AP22" s="72"/>
    </row>
    <row r="23" spans="1:42" ht="20.100000000000001" customHeight="1" x14ac:dyDescent="0.25">
      <c r="A23" s="66"/>
      <c r="B23" s="66"/>
      <c r="C23" s="66"/>
      <c r="D23" s="66"/>
      <c r="E23" s="66"/>
      <c r="F23" s="66"/>
      <c r="G23" s="66"/>
      <c r="H23" s="66"/>
      <c r="I23" s="66"/>
      <c r="J23" s="66"/>
      <c r="K23" s="66"/>
      <c r="L23" s="66"/>
      <c r="M23" s="66"/>
      <c r="N23" s="66"/>
      <c r="O23" s="66"/>
      <c r="P23" s="66"/>
      <c r="Q23" s="66"/>
      <c r="R23" s="66"/>
      <c r="U23" s="68">
        <f t="shared" si="0"/>
        <v>12</v>
      </c>
      <c r="V23" s="69">
        <f t="shared" si="1"/>
        <v>0.19399999999999998</v>
      </c>
      <c r="W23" s="69">
        <f t="shared" si="2"/>
        <v>0.11560000000000001</v>
      </c>
      <c r="X23" s="69">
        <f t="shared" si="3"/>
        <v>7.7600000000000002E-2</v>
      </c>
      <c r="Y23" s="69">
        <f t="shared" si="4"/>
        <v>3.8800000000000001E-2</v>
      </c>
      <c r="AA23" s="253"/>
      <c r="AB23" s="70">
        <v>12</v>
      </c>
      <c r="AC23" s="253"/>
      <c r="AD23" s="71">
        <f t="shared" si="9"/>
        <v>19.399999999999999</v>
      </c>
      <c r="AE23" s="253"/>
      <c r="AF23" s="71">
        <f t="shared" si="10"/>
        <v>11.56</v>
      </c>
      <c r="AG23" s="253"/>
      <c r="AH23" s="71">
        <f t="shared" si="11"/>
        <v>7.7600000000000007</v>
      </c>
      <c r="AI23" s="253"/>
      <c r="AJ23" s="71">
        <f t="shared" si="12"/>
        <v>3.8800000000000003</v>
      </c>
      <c r="AM23" s="72"/>
      <c r="AN23" s="72"/>
      <c r="AO23" s="72"/>
      <c r="AP23" s="72"/>
    </row>
    <row r="24" spans="1:42" ht="20.100000000000001" customHeight="1" x14ac:dyDescent="0.25">
      <c r="A24" s="66"/>
      <c r="B24" s="66"/>
      <c r="C24" s="66"/>
      <c r="D24" s="66"/>
      <c r="E24" s="66"/>
      <c r="F24" s="66"/>
      <c r="G24" s="66"/>
      <c r="H24" s="66"/>
      <c r="I24" s="66"/>
      <c r="J24" s="66"/>
      <c r="K24" s="66"/>
      <c r="L24" s="66"/>
      <c r="M24" s="66"/>
      <c r="N24" s="66"/>
      <c r="O24" s="66"/>
      <c r="P24" s="66"/>
      <c r="Q24" s="66"/>
      <c r="R24" s="66"/>
      <c r="U24" s="68">
        <f t="shared" si="0"/>
        <v>13</v>
      </c>
      <c r="V24" s="69">
        <f t="shared" si="1"/>
        <v>0.18600000000000003</v>
      </c>
      <c r="W24" s="69">
        <f t="shared" si="2"/>
        <v>0.1109</v>
      </c>
      <c r="X24" s="69">
        <f t="shared" si="3"/>
        <v>7.4400000000000008E-2</v>
      </c>
      <c r="Y24" s="69">
        <f t="shared" si="4"/>
        <v>3.7200000000000004E-2</v>
      </c>
      <c r="AA24" s="253"/>
      <c r="AB24" s="70">
        <v>13</v>
      </c>
      <c r="AC24" s="253"/>
      <c r="AD24" s="71">
        <f t="shared" si="9"/>
        <v>18.600000000000001</v>
      </c>
      <c r="AE24" s="253"/>
      <c r="AF24" s="71">
        <f t="shared" si="10"/>
        <v>11.09</v>
      </c>
      <c r="AG24" s="253"/>
      <c r="AH24" s="71">
        <f t="shared" si="11"/>
        <v>7.44</v>
      </c>
      <c r="AI24" s="253"/>
      <c r="AJ24" s="71">
        <f t="shared" si="12"/>
        <v>3.72</v>
      </c>
      <c r="AM24" s="72"/>
      <c r="AN24" s="72"/>
      <c r="AO24" s="72"/>
      <c r="AP24" s="72"/>
    </row>
    <row r="25" spans="1:42" ht="20.100000000000001" customHeight="1" x14ac:dyDescent="0.25">
      <c r="A25" s="66"/>
      <c r="B25" s="66"/>
      <c r="C25" s="66"/>
      <c r="D25" s="66"/>
      <c r="E25" s="66"/>
      <c r="F25" s="66"/>
      <c r="G25" s="66"/>
      <c r="H25" s="66"/>
      <c r="I25" s="66"/>
      <c r="J25" s="66"/>
      <c r="K25" s="66"/>
      <c r="L25" s="66"/>
      <c r="M25" s="66"/>
      <c r="N25" s="66"/>
      <c r="O25" s="66"/>
      <c r="P25" s="66"/>
      <c r="Q25" s="66"/>
      <c r="R25" s="66"/>
      <c r="U25" s="68">
        <f t="shared" si="0"/>
        <v>14</v>
      </c>
      <c r="V25" s="69">
        <f t="shared" si="1"/>
        <v>0.17800000000000002</v>
      </c>
      <c r="W25" s="69">
        <f t="shared" si="2"/>
        <v>0.10619999999999999</v>
      </c>
      <c r="X25" s="69">
        <f t="shared" si="3"/>
        <v>7.1199999999999999E-2</v>
      </c>
      <c r="Y25" s="69">
        <f t="shared" si="4"/>
        <v>3.56E-2</v>
      </c>
      <c r="AA25" s="253"/>
      <c r="AB25" s="70">
        <v>14</v>
      </c>
      <c r="AC25" s="253"/>
      <c r="AD25" s="71">
        <f t="shared" si="9"/>
        <v>17.8</v>
      </c>
      <c r="AE25" s="253"/>
      <c r="AF25" s="71">
        <f t="shared" si="10"/>
        <v>10.62</v>
      </c>
      <c r="AG25" s="253"/>
      <c r="AH25" s="71">
        <f t="shared" si="11"/>
        <v>7.12</v>
      </c>
      <c r="AI25" s="253"/>
      <c r="AJ25" s="71">
        <f t="shared" si="12"/>
        <v>3.56</v>
      </c>
      <c r="AM25" s="72"/>
      <c r="AN25" s="72"/>
      <c r="AO25" s="72"/>
      <c r="AP25" s="72"/>
    </row>
    <row r="26" spans="1:42" ht="20.100000000000001" customHeight="1" x14ac:dyDescent="0.25">
      <c r="A26" s="66"/>
      <c r="B26" s="66"/>
      <c r="C26" s="66"/>
      <c r="D26" s="66"/>
      <c r="E26" s="66"/>
      <c r="F26" s="66"/>
      <c r="G26" s="66"/>
      <c r="H26" s="66"/>
      <c r="I26" s="66"/>
      <c r="J26" s="66"/>
      <c r="K26" s="66"/>
      <c r="L26" s="66"/>
      <c r="M26" s="66"/>
      <c r="N26" s="66"/>
      <c r="O26" s="66"/>
      <c r="P26" s="66"/>
      <c r="Q26" s="66"/>
      <c r="R26" s="66"/>
      <c r="U26" s="68">
        <f t="shared" si="0"/>
        <v>15</v>
      </c>
      <c r="V26" s="69">
        <f t="shared" si="1"/>
        <v>0.17</v>
      </c>
      <c r="W26" s="69">
        <f t="shared" si="2"/>
        <v>0.10150000000000001</v>
      </c>
      <c r="X26" s="69">
        <f t="shared" si="3"/>
        <v>6.8000000000000005E-2</v>
      </c>
      <c r="Y26" s="69">
        <f t="shared" si="4"/>
        <v>3.4000000000000002E-2</v>
      </c>
      <c r="AA26" s="253"/>
      <c r="AB26" s="70">
        <v>15</v>
      </c>
      <c r="AC26" s="253"/>
      <c r="AD26" s="71">
        <f t="shared" si="9"/>
        <v>17</v>
      </c>
      <c r="AE26" s="253"/>
      <c r="AF26" s="71">
        <f t="shared" si="10"/>
        <v>10.15</v>
      </c>
      <c r="AG26" s="253"/>
      <c r="AH26" s="71">
        <f t="shared" si="11"/>
        <v>6.8000000000000007</v>
      </c>
      <c r="AI26" s="253"/>
      <c r="AJ26" s="71">
        <f t="shared" si="12"/>
        <v>3.4000000000000004</v>
      </c>
      <c r="AM26" s="72"/>
      <c r="AN26" s="72"/>
      <c r="AO26" s="72"/>
      <c r="AP26" s="72"/>
    </row>
    <row r="27" spans="1:42" ht="20.100000000000001" customHeight="1" x14ac:dyDescent="0.25">
      <c r="A27" s="66"/>
      <c r="B27" s="66"/>
      <c r="C27" s="66"/>
      <c r="D27" s="66"/>
      <c r="E27" s="66"/>
      <c r="F27" s="66"/>
      <c r="G27" s="66"/>
      <c r="H27" s="66"/>
      <c r="I27" s="66"/>
      <c r="J27" s="66"/>
      <c r="K27" s="66"/>
      <c r="L27" s="66"/>
      <c r="M27" s="66"/>
      <c r="N27" s="66"/>
      <c r="O27" s="66"/>
      <c r="P27" s="66"/>
      <c r="Q27" s="66"/>
      <c r="R27" s="66"/>
      <c r="U27" s="68">
        <f t="shared" si="0"/>
        <v>16</v>
      </c>
      <c r="V27" s="69">
        <f t="shared" si="1"/>
        <v>0.16200000000000001</v>
      </c>
      <c r="W27" s="69">
        <f t="shared" si="2"/>
        <v>9.6799999999999997E-2</v>
      </c>
      <c r="X27" s="69">
        <f t="shared" si="3"/>
        <v>6.480000000000001E-2</v>
      </c>
      <c r="Y27" s="69">
        <f t="shared" si="4"/>
        <v>3.2400000000000005E-2</v>
      </c>
      <c r="AA27" s="253"/>
      <c r="AB27" s="70">
        <v>16</v>
      </c>
      <c r="AC27" s="253"/>
      <c r="AD27" s="71">
        <f t="shared" si="9"/>
        <v>16.2</v>
      </c>
      <c r="AE27" s="253"/>
      <c r="AF27" s="71">
        <f t="shared" si="10"/>
        <v>9.68</v>
      </c>
      <c r="AG27" s="253"/>
      <c r="AH27" s="71">
        <f t="shared" si="11"/>
        <v>6.48</v>
      </c>
      <c r="AI27" s="253"/>
      <c r="AJ27" s="71">
        <f t="shared" si="12"/>
        <v>3.24</v>
      </c>
      <c r="AM27" s="72"/>
      <c r="AN27" s="72"/>
      <c r="AO27" s="72"/>
      <c r="AP27" s="72"/>
    </row>
    <row r="28" spans="1:42" ht="20.100000000000001" customHeight="1" x14ac:dyDescent="0.25">
      <c r="U28" s="68">
        <f t="shared" si="0"/>
        <v>17</v>
      </c>
      <c r="V28" s="69">
        <f t="shared" si="1"/>
        <v>0.154</v>
      </c>
      <c r="W28" s="69">
        <f t="shared" si="2"/>
        <v>9.2100000000000015E-2</v>
      </c>
      <c r="X28" s="69">
        <f t="shared" si="3"/>
        <v>6.1600000000000002E-2</v>
      </c>
      <c r="Y28" s="69">
        <f t="shared" si="4"/>
        <v>3.0800000000000001E-2</v>
      </c>
      <c r="AA28" s="253"/>
      <c r="AB28" s="70">
        <v>17</v>
      </c>
      <c r="AC28" s="253"/>
      <c r="AD28" s="71">
        <f t="shared" si="9"/>
        <v>15.399999999999999</v>
      </c>
      <c r="AE28" s="253"/>
      <c r="AF28" s="71">
        <f t="shared" si="10"/>
        <v>9.2100000000000009</v>
      </c>
      <c r="AG28" s="253"/>
      <c r="AH28" s="71">
        <f t="shared" si="11"/>
        <v>6.16</v>
      </c>
      <c r="AI28" s="253"/>
      <c r="AJ28" s="71">
        <f t="shared" si="12"/>
        <v>3.08</v>
      </c>
      <c r="AM28" s="72"/>
      <c r="AN28" s="72"/>
      <c r="AO28" s="72"/>
      <c r="AP28" s="72"/>
    </row>
    <row r="29" spans="1:42" ht="20.100000000000001" customHeight="1" x14ac:dyDescent="0.2">
      <c r="A29" s="74"/>
      <c r="B29" s="74"/>
      <c r="C29" s="74"/>
      <c r="D29" s="74"/>
      <c r="E29" s="74"/>
      <c r="F29" s="74"/>
      <c r="G29" s="74"/>
      <c r="H29" s="74"/>
      <c r="I29" s="74"/>
      <c r="J29" s="74"/>
      <c r="K29" s="74"/>
      <c r="L29" s="74"/>
      <c r="M29" s="74"/>
      <c r="N29" s="74"/>
      <c r="O29" s="74"/>
      <c r="P29" s="74"/>
      <c r="Q29" s="74"/>
      <c r="R29" s="74"/>
      <c r="U29" s="68">
        <f t="shared" si="0"/>
        <v>18</v>
      </c>
      <c r="V29" s="69">
        <f t="shared" si="1"/>
        <v>0.14599999999999999</v>
      </c>
      <c r="W29" s="69">
        <f t="shared" si="2"/>
        <v>8.7400000000000005E-2</v>
      </c>
      <c r="X29" s="69">
        <f t="shared" si="3"/>
        <v>5.8400000000000001E-2</v>
      </c>
      <c r="Y29" s="69">
        <f t="shared" si="4"/>
        <v>2.92E-2</v>
      </c>
      <c r="AA29" s="253"/>
      <c r="AB29" s="70">
        <v>18</v>
      </c>
      <c r="AC29" s="253"/>
      <c r="AD29" s="71">
        <f t="shared" si="9"/>
        <v>14.6</v>
      </c>
      <c r="AE29" s="253"/>
      <c r="AF29" s="71">
        <f t="shared" si="10"/>
        <v>8.74</v>
      </c>
      <c r="AG29" s="253"/>
      <c r="AH29" s="71">
        <f t="shared" si="11"/>
        <v>5.84</v>
      </c>
      <c r="AI29" s="253"/>
      <c r="AJ29" s="71">
        <f t="shared" si="12"/>
        <v>2.92</v>
      </c>
      <c r="AM29" s="72"/>
      <c r="AN29" s="72"/>
      <c r="AO29" s="72"/>
      <c r="AP29" s="72"/>
    </row>
    <row r="30" spans="1:42" ht="20.100000000000001" customHeight="1" x14ac:dyDescent="0.25">
      <c r="A30" s="66"/>
      <c r="B30" s="66"/>
      <c r="C30" s="66"/>
      <c r="D30" s="66"/>
      <c r="E30" s="66"/>
      <c r="F30" s="66"/>
      <c r="G30" s="66"/>
      <c r="H30" s="66"/>
      <c r="I30" s="66"/>
      <c r="J30" s="66"/>
      <c r="K30" s="66"/>
      <c r="L30" s="66"/>
      <c r="M30" s="66"/>
      <c r="N30" s="66"/>
      <c r="O30" s="66"/>
      <c r="P30" s="66"/>
      <c r="Q30" s="66"/>
      <c r="R30" s="66"/>
      <c r="U30" s="68">
        <f t="shared" si="0"/>
        <v>19</v>
      </c>
      <c r="V30" s="69">
        <f t="shared" si="1"/>
        <v>0.13800000000000001</v>
      </c>
      <c r="W30" s="69">
        <f t="shared" si="2"/>
        <v>8.2699999999999996E-2</v>
      </c>
      <c r="X30" s="69">
        <f t="shared" si="3"/>
        <v>5.5200000000000006E-2</v>
      </c>
      <c r="Y30" s="69">
        <f t="shared" si="4"/>
        <v>2.7600000000000003E-2</v>
      </c>
      <c r="AA30" s="253"/>
      <c r="AB30" s="70">
        <v>19</v>
      </c>
      <c r="AC30" s="253"/>
      <c r="AD30" s="71">
        <f t="shared" si="9"/>
        <v>13.8</v>
      </c>
      <c r="AE30" s="253"/>
      <c r="AF30" s="71">
        <f t="shared" si="10"/>
        <v>8.27</v>
      </c>
      <c r="AG30" s="253"/>
      <c r="AH30" s="71">
        <f t="shared" si="11"/>
        <v>5.5200000000000005</v>
      </c>
      <c r="AI30" s="253"/>
      <c r="AJ30" s="71">
        <f t="shared" si="12"/>
        <v>2.7600000000000002</v>
      </c>
      <c r="AM30" s="72"/>
      <c r="AN30" s="72"/>
      <c r="AO30" s="72"/>
      <c r="AP30" s="72"/>
    </row>
    <row r="31" spans="1:42" ht="20.100000000000001" customHeight="1" x14ac:dyDescent="0.25">
      <c r="A31" s="66"/>
      <c r="B31" s="66"/>
      <c r="C31" s="66"/>
      <c r="D31" s="66"/>
      <c r="E31" s="66"/>
      <c r="F31" s="66"/>
      <c r="G31" s="66"/>
      <c r="H31" s="66"/>
      <c r="I31" s="66"/>
      <c r="J31" s="66"/>
      <c r="K31" s="66"/>
      <c r="L31" s="66"/>
      <c r="M31" s="66"/>
      <c r="N31" s="66"/>
      <c r="O31" s="66"/>
      <c r="P31" s="66"/>
      <c r="Q31" s="66"/>
      <c r="R31" s="66"/>
      <c r="U31" s="68">
        <f t="shared" si="0"/>
        <v>20</v>
      </c>
      <c r="V31" s="69">
        <f t="shared" si="1"/>
        <v>0.13</v>
      </c>
      <c r="W31" s="69">
        <f t="shared" si="2"/>
        <v>7.8E-2</v>
      </c>
      <c r="X31" s="69">
        <f t="shared" si="3"/>
        <v>5.2000000000000005E-2</v>
      </c>
      <c r="Y31" s="69">
        <f t="shared" si="4"/>
        <v>2.6000000000000002E-2</v>
      </c>
      <c r="AA31" s="253"/>
      <c r="AB31" s="70">
        <v>20</v>
      </c>
      <c r="AC31" s="253"/>
      <c r="AD31" s="71">
        <f t="shared" si="9"/>
        <v>13</v>
      </c>
      <c r="AE31" s="253"/>
      <c r="AF31" s="71">
        <f t="shared" si="10"/>
        <v>7.8</v>
      </c>
      <c r="AG31" s="253"/>
      <c r="AH31" s="71">
        <f t="shared" si="11"/>
        <v>5.2</v>
      </c>
      <c r="AI31" s="253"/>
      <c r="AJ31" s="71">
        <f t="shared" si="12"/>
        <v>2.6</v>
      </c>
      <c r="AM31" s="72"/>
      <c r="AN31" s="72"/>
      <c r="AO31" s="72"/>
      <c r="AP31" s="72"/>
    </row>
    <row r="32" spans="1:42" ht="20.100000000000001" customHeight="1" x14ac:dyDescent="0.25">
      <c r="A32" s="66"/>
      <c r="B32" s="66"/>
      <c r="C32" s="66"/>
      <c r="D32" s="66"/>
      <c r="E32" s="66"/>
      <c r="F32" s="66"/>
      <c r="G32" s="66"/>
      <c r="H32" s="66"/>
      <c r="I32" s="66"/>
      <c r="J32" s="66"/>
      <c r="K32" s="66"/>
      <c r="L32" s="66"/>
      <c r="M32" s="66"/>
      <c r="N32" s="66"/>
      <c r="O32" s="66"/>
      <c r="P32" s="66"/>
      <c r="Q32" s="66"/>
      <c r="R32" s="66"/>
      <c r="U32" s="68">
        <f t="shared" si="0"/>
        <v>21</v>
      </c>
      <c r="V32" s="69">
        <f t="shared" si="1"/>
        <v>0.11699999999999999</v>
      </c>
      <c r="W32" s="69">
        <f t="shared" si="2"/>
        <v>7.0199999999999999E-2</v>
      </c>
      <c r="X32" s="69">
        <f t="shared" si="3"/>
        <v>4.6799999999999994E-2</v>
      </c>
      <c r="Y32" s="69">
        <f t="shared" si="4"/>
        <v>2.3399999999999997E-2</v>
      </c>
      <c r="AA32" s="253"/>
      <c r="AB32" s="70">
        <v>21</v>
      </c>
      <c r="AC32" s="253"/>
      <c r="AD32" s="71">
        <f>13-((AB32-20)*(13/10))</f>
        <v>11.7</v>
      </c>
      <c r="AE32" s="253">
        <f>13-((AC32-20)*(13/10))</f>
        <v>39</v>
      </c>
      <c r="AF32" s="71">
        <f t="shared" ref="AF32:AF41" si="13">7.8-(AB32-20)*7.8/10</f>
        <v>7.02</v>
      </c>
      <c r="AG32" s="253">
        <f>13-((AE32-20)*(13/10))</f>
        <v>-11.7</v>
      </c>
      <c r="AH32" s="71">
        <f t="shared" ref="AH32:AH41" si="14">5.2-(AB32-20)*5.2/10</f>
        <v>4.68</v>
      </c>
      <c r="AI32" s="253">
        <f>13-((AG32-20)*(13/10))</f>
        <v>54.21</v>
      </c>
      <c r="AJ32" s="71">
        <f t="shared" ref="AJ32:AJ41" si="15">2.6-(AB32-20)*2.6/10</f>
        <v>2.34</v>
      </c>
      <c r="AM32" s="72"/>
      <c r="AN32" s="72"/>
      <c r="AO32" s="72"/>
      <c r="AP32" s="72"/>
    </row>
    <row r="33" spans="1:42" ht="20.100000000000001" customHeight="1" x14ac:dyDescent="0.25">
      <c r="A33" s="66"/>
      <c r="B33" s="66"/>
      <c r="C33" s="66"/>
      <c r="D33" s="66"/>
      <c r="E33" s="66"/>
      <c r="F33" s="66"/>
      <c r="G33" s="66"/>
      <c r="H33" s="66"/>
      <c r="I33" s="66"/>
      <c r="J33" s="66"/>
      <c r="K33" s="66"/>
      <c r="L33" s="66"/>
      <c r="M33" s="66"/>
      <c r="N33" s="66"/>
      <c r="O33" s="66"/>
      <c r="P33" s="66"/>
      <c r="Q33" s="66"/>
      <c r="R33" s="66"/>
      <c r="U33" s="68">
        <f t="shared" si="0"/>
        <v>22</v>
      </c>
      <c r="V33" s="69">
        <f t="shared" si="1"/>
        <v>0.10400000000000001</v>
      </c>
      <c r="W33" s="69">
        <f t="shared" si="2"/>
        <v>6.2400000000000004E-2</v>
      </c>
      <c r="X33" s="69">
        <f t="shared" si="3"/>
        <v>4.1599999999999998E-2</v>
      </c>
      <c r="Y33" s="69">
        <f t="shared" si="4"/>
        <v>2.0799999999999999E-2</v>
      </c>
      <c r="AA33" s="253"/>
      <c r="AB33" s="70">
        <v>22</v>
      </c>
      <c r="AC33" s="253"/>
      <c r="AD33" s="71">
        <f t="shared" ref="AD33:AD41" si="16">13-((AB33-20)*(13/10))</f>
        <v>10.4</v>
      </c>
      <c r="AE33" s="253"/>
      <c r="AF33" s="71">
        <f t="shared" si="13"/>
        <v>6.24</v>
      </c>
      <c r="AG33" s="253"/>
      <c r="AH33" s="71">
        <f t="shared" si="14"/>
        <v>4.16</v>
      </c>
      <c r="AI33" s="253"/>
      <c r="AJ33" s="71">
        <f t="shared" si="15"/>
        <v>2.08</v>
      </c>
      <c r="AM33" s="72"/>
      <c r="AN33" s="72"/>
      <c r="AO33" s="72"/>
      <c r="AP33" s="72"/>
    </row>
    <row r="34" spans="1:42" ht="20.100000000000001" customHeight="1" x14ac:dyDescent="0.25">
      <c r="A34" s="66"/>
      <c r="B34" s="66"/>
      <c r="C34" s="66"/>
      <c r="D34" s="66"/>
      <c r="E34" s="66"/>
      <c r="F34" s="66"/>
      <c r="G34" s="66"/>
      <c r="H34" s="66"/>
      <c r="I34" s="66"/>
      <c r="J34" s="66"/>
      <c r="K34" s="66"/>
      <c r="L34" s="66"/>
      <c r="M34" s="66"/>
      <c r="N34" s="66"/>
      <c r="O34" s="66"/>
      <c r="P34" s="66"/>
      <c r="Q34" s="66"/>
      <c r="R34" s="66"/>
      <c r="U34" s="68">
        <f t="shared" si="0"/>
        <v>23</v>
      </c>
      <c r="V34" s="69">
        <f t="shared" si="1"/>
        <v>9.0999999999999998E-2</v>
      </c>
      <c r="W34" s="69">
        <f t="shared" si="2"/>
        <v>5.4600000000000003E-2</v>
      </c>
      <c r="X34" s="69">
        <f t="shared" si="3"/>
        <v>3.6400000000000002E-2</v>
      </c>
      <c r="Y34" s="69">
        <f t="shared" si="4"/>
        <v>1.8200000000000001E-2</v>
      </c>
      <c r="AA34" s="253"/>
      <c r="AB34" s="70">
        <v>23</v>
      </c>
      <c r="AC34" s="253"/>
      <c r="AD34" s="71">
        <f t="shared" si="16"/>
        <v>9.1</v>
      </c>
      <c r="AE34" s="253"/>
      <c r="AF34" s="71">
        <f t="shared" si="13"/>
        <v>5.46</v>
      </c>
      <c r="AG34" s="253"/>
      <c r="AH34" s="71">
        <f t="shared" si="14"/>
        <v>3.64</v>
      </c>
      <c r="AI34" s="253"/>
      <c r="AJ34" s="71">
        <f t="shared" si="15"/>
        <v>1.82</v>
      </c>
      <c r="AM34" s="72"/>
      <c r="AN34" s="72"/>
      <c r="AO34" s="72"/>
      <c r="AP34" s="72"/>
    </row>
    <row r="35" spans="1:42" ht="20.100000000000001" customHeight="1" x14ac:dyDescent="0.25">
      <c r="A35" s="66"/>
      <c r="B35" s="66"/>
      <c r="C35" s="66"/>
      <c r="D35" s="66"/>
      <c r="E35" s="66"/>
      <c r="F35" s="66"/>
      <c r="G35" s="66"/>
      <c r="H35" s="66"/>
      <c r="I35" s="66"/>
      <c r="J35" s="66"/>
      <c r="K35" s="66"/>
      <c r="L35" s="66"/>
      <c r="M35" s="66"/>
      <c r="N35" s="66"/>
      <c r="O35" s="66"/>
      <c r="P35" s="66"/>
      <c r="Q35" s="66"/>
      <c r="R35" s="66"/>
      <c r="U35" s="68">
        <f t="shared" si="0"/>
        <v>24</v>
      </c>
      <c r="V35" s="69">
        <f t="shared" si="1"/>
        <v>7.8E-2</v>
      </c>
      <c r="W35" s="69">
        <f t="shared" si="2"/>
        <v>4.6799999999999994E-2</v>
      </c>
      <c r="X35" s="69">
        <f t="shared" si="3"/>
        <v>3.1200000000000002E-2</v>
      </c>
      <c r="Y35" s="69">
        <f t="shared" si="4"/>
        <v>1.5600000000000001E-2</v>
      </c>
      <c r="AA35" s="253"/>
      <c r="AB35" s="70">
        <v>24</v>
      </c>
      <c r="AC35" s="253"/>
      <c r="AD35" s="71">
        <f t="shared" si="16"/>
        <v>7.8</v>
      </c>
      <c r="AE35" s="253"/>
      <c r="AF35" s="71">
        <f t="shared" si="13"/>
        <v>4.68</v>
      </c>
      <c r="AG35" s="253"/>
      <c r="AH35" s="71">
        <f t="shared" si="14"/>
        <v>3.12</v>
      </c>
      <c r="AI35" s="253"/>
      <c r="AJ35" s="71">
        <f t="shared" si="15"/>
        <v>1.56</v>
      </c>
      <c r="AM35" s="72"/>
      <c r="AN35" s="72"/>
      <c r="AO35" s="72"/>
      <c r="AP35" s="72"/>
    </row>
    <row r="36" spans="1:42" ht="20.100000000000001" customHeight="1" x14ac:dyDescent="0.25">
      <c r="A36" s="66"/>
      <c r="B36" s="66"/>
      <c r="C36" s="66"/>
      <c r="D36" s="66"/>
      <c r="E36" s="66"/>
      <c r="F36" s="66"/>
      <c r="G36" s="66"/>
      <c r="H36" s="66"/>
      <c r="I36" s="66"/>
      <c r="J36" s="66"/>
      <c r="K36" s="66"/>
      <c r="L36" s="66"/>
      <c r="M36" s="66"/>
      <c r="N36" s="66"/>
      <c r="O36" s="66"/>
      <c r="P36" s="66"/>
      <c r="Q36" s="66"/>
      <c r="R36" s="66"/>
      <c r="U36" s="68">
        <f t="shared" si="0"/>
        <v>25</v>
      </c>
      <c r="V36" s="69">
        <f t="shared" si="1"/>
        <v>6.5000000000000002E-2</v>
      </c>
      <c r="W36" s="69">
        <f t="shared" si="2"/>
        <v>3.9E-2</v>
      </c>
      <c r="X36" s="69">
        <f t="shared" si="3"/>
        <v>2.6000000000000002E-2</v>
      </c>
      <c r="Y36" s="69">
        <f t="shared" si="4"/>
        <v>1.3000000000000001E-2</v>
      </c>
      <c r="AA36" s="253"/>
      <c r="AB36" s="70">
        <v>25</v>
      </c>
      <c r="AC36" s="253"/>
      <c r="AD36" s="71">
        <f t="shared" si="16"/>
        <v>6.5</v>
      </c>
      <c r="AE36" s="253"/>
      <c r="AF36" s="71">
        <f t="shared" si="13"/>
        <v>3.9</v>
      </c>
      <c r="AG36" s="253"/>
      <c r="AH36" s="71">
        <f t="shared" si="14"/>
        <v>2.6</v>
      </c>
      <c r="AI36" s="253"/>
      <c r="AJ36" s="71">
        <f t="shared" si="15"/>
        <v>1.3</v>
      </c>
      <c r="AM36" s="72"/>
      <c r="AN36" s="72"/>
      <c r="AO36" s="72"/>
      <c r="AP36" s="72"/>
    </row>
    <row r="37" spans="1:42" ht="20.100000000000001" customHeight="1" x14ac:dyDescent="0.25">
      <c r="A37" s="66"/>
      <c r="B37" s="66"/>
      <c r="C37" s="66"/>
      <c r="D37" s="66"/>
      <c r="E37" s="66"/>
      <c r="F37" s="66"/>
      <c r="G37" s="66"/>
      <c r="H37" s="66"/>
      <c r="I37" s="66"/>
      <c r="J37" s="66"/>
      <c r="K37" s="66"/>
      <c r="L37" s="66"/>
      <c r="M37" s="66"/>
      <c r="N37" s="66"/>
      <c r="O37" s="66"/>
      <c r="P37" s="66"/>
      <c r="Q37" s="66"/>
      <c r="R37" s="66"/>
      <c r="U37" s="68">
        <f t="shared" si="0"/>
        <v>26</v>
      </c>
      <c r="V37" s="69">
        <f t="shared" si="1"/>
        <v>5.1999999999999991E-2</v>
      </c>
      <c r="W37" s="69">
        <f t="shared" si="2"/>
        <v>3.1200000000000002E-2</v>
      </c>
      <c r="X37" s="69">
        <f t="shared" si="3"/>
        <v>2.0799999999999999E-2</v>
      </c>
      <c r="Y37" s="69">
        <f t="shared" si="4"/>
        <v>1.04E-2</v>
      </c>
      <c r="AA37" s="253"/>
      <c r="AB37" s="70">
        <v>26</v>
      </c>
      <c r="AC37" s="253"/>
      <c r="AD37" s="71">
        <f t="shared" si="16"/>
        <v>5.1999999999999993</v>
      </c>
      <c r="AE37" s="253"/>
      <c r="AF37" s="71">
        <f t="shared" si="13"/>
        <v>3.12</v>
      </c>
      <c r="AG37" s="253"/>
      <c r="AH37" s="71">
        <f t="shared" si="14"/>
        <v>2.08</v>
      </c>
      <c r="AI37" s="253"/>
      <c r="AJ37" s="71">
        <f t="shared" si="15"/>
        <v>1.04</v>
      </c>
      <c r="AM37" s="72"/>
      <c r="AN37" s="72"/>
      <c r="AO37" s="72"/>
      <c r="AP37" s="72"/>
    </row>
    <row r="38" spans="1:42" ht="20.100000000000001" customHeight="1" x14ac:dyDescent="0.25">
      <c r="A38" s="66"/>
      <c r="B38" s="66"/>
      <c r="C38" s="66"/>
      <c r="D38" s="66"/>
      <c r="E38" s="66"/>
      <c r="F38" s="66"/>
      <c r="G38" s="66"/>
      <c r="H38" s="66"/>
      <c r="I38" s="66"/>
      <c r="J38" s="66"/>
      <c r="K38" s="66"/>
      <c r="L38" s="66"/>
      <c r="M38" s="66"/>
      <c r="N38" s="66"/>
      <c r="O38" s="66"/>
      <c r="P38" s="66"/>
      <c r="Q38" s="66"/>
      <c r="R38" s="66"/>
      <c r="U38" s="68">
        <f t="shared" si="0"/>
        <v>27</v>
      </c>
      <c r="V38" s="69">
        <f t="shared" si="1"/>
        <v>3.9000000000000007E-2</v>
      </c>
      <c r="W38" s="69">
        <f t="shared" si="2"/>
        <v>2.3399999999999997E-2</v>
      </c>
      <c r="X38" s="69">
        <f t="shared" si="3"/>
        <v>1.5600000000000004E-2</v>
      </c>
      <c r="Y38" s="69">
        <f t="shared" si="4"/>
        <v>7.8000000000000022E-3</v>
      </c>
      <c r="AA38" s="253"/>
      <c r="AB38" s="70">
        <v>27</v>
      </c>
      <c r="AC38" s="253"/>
      <c r="AD38" s="71">
        <f t="shared" si="16"/>
        <v>3.9000000000000004</v>
      </c>
      <c r="AE38" s="253"/>
      <c r="AF38" s="71">
        <f t="shared" si="13"/>
        <v>2.34</v>
      </c>
      <c r="AG38" s="253"/>
      <c r="AH38" s="71">
        <f t="shared" si="14"/>
        <v>1.5600000000000005</v>
      </c>
      <c r="AI38" s="253"/>
      <c r="AJ38" s="71">
        <f t="shared" si="15"/>
        <v>0.78000000000000025</v>
      </c>
      <c r="AM38" s="72"/>
      <c r="AN38" s="72"/>
      <c r="AO38" s="72"/>
      <c r="AP38" s="72"/>
    </row>
    <row r="39" spans="1:42" ht="20.100000000000001" customHeight="1" x14ac:dyDescent="0.25">
      <c r="A39" s="66"/>
      <c r="B39" s="66"/>
      <c r="C39" s="66"/>
      <c r="D39" s="66"/>
      <c r="E39" s="66"/>
      <c r="F39" s="66"/>
      <c r="G39" s="66"/>
      <c r="H39" s="66"/>
      <c r="I39" s="66"/>
      <c r="J39" s="66"/>
      <c r="K39" s="66"/>
      <c r="L39" s="66"/>
      <c r="M39" s="66"/>
      <c r="N39" s="66"/>
      <c r="O39" s="66"/>
      <c r="P39" s="66"/>
      <c r="Q39" s="66"/>
      <c r="R39" s="66"/>
      <c r="U39" s="68">
        <f t="shared" si="0"/>
        <v>28</v>
      </c>
      <c r="V39" s="69">
        <f t="shared" si="1"/>
        <v>2.5999999999999995E-2</v>
      </c>
      <c r="W39" s="69">
        <f t="shared" si="2"/>
        <v>1.5599999999999996E-2</v>
      </c>
      <c r="X39" s="69">
        <f t="shared" si="3"/>
        <v>1.04E-2</v>
      </c>
      <c r="Y39" s="69">
        <f t="shared" si="4"/>
        <v>5.1999999999999998E-3</v>
      </c>
      <c r="AA39" s="253"/>
      <c r="AB39" s="70">
        <v>28</v>
      </c>
      <c r="AC39" s="253"/>
      <c r="AD39" s="71">
        <f t="shared" si="16"/>
        <v>2.5999999999999996</v>
      </c>
      <c r="AE39" s="253"/>
      <c r="AF39" s="71">
        <f t="shared" si="13"/>
        <v>1.5599999999999996</v>
      </c>
      <c r="AG39" s="253"/>
      <c r="AH39" s="71">
        <f t="shared" si="14"/>
        <v>1.04</v>
      </c>
      <c r="AI39" s="253"/>
      <c r="AJ39" s="71">
        <f t="shared" si="15"/>
        <v>0.52</v>
      </c>
      <c r="AM39" s="72"/>
      <c r="AN39" s="72"/>
      <c r="AO39" s="72"/>
      <c r="AP39" s="72"/>
    </row>
    <row r="40" spans="1:42" ht="20.100000000000001" customHeight="1" x14ac:dyDescent="0.25">
      <c r="A40" s="66"/>
      <c r="B40" s="66"/>
      <c r="C40" s="66"/>
      <c r="D40" s="66"/>
      <c r="E40" s="66"/>
      <c r="F40" s="66"/>
      <c r="G40" s="66"/>
      <c r="H40" s="66"/>
      <c r="I40" s="66"/>
      <c r="J40" s="66"/>
      <c r="K40" s="66"/>
      <c r="L40" s="66"/>
      <c r="M40" s="66"/>
      <c r="N40" s="66"/>
      <c r="O40" s="66"/>
      <c r="P40" s="66"/>
      <c r="Q40" s="66"/>
      <c r="R40" s="66"/>
      <c r="U40" s="68">
        <f t="shared" si="0"/>
        <v>29</v>
      </c>
      <c r="V40" s="69">
        <f t="shared" si="1"/>
        <v>1.2999999999999989E-2</v>
      </c>
      <c r="W40" s="69">
        <f t="shared" si="2"/>
        <v>7.7999999999999936E-3</v>
      </c>
      <c r="X40" s="69">
        <f t="shared" si="3"/>
        <v>5.1999999999999954E-3</v>
      </c>
      <c r="Y40" s="69">
        <f t="shared" si="4"/>
        <v>2.5999999999999977E-3</v>
      </c>
      <c r="AA40" s="253"/>
      <c r="AB40" s="70">
        <v>29</v>
      </c>
      <c r="AC40" s="253"/>
      <c r="AD40" s="71">
        <f t="shared" si="16"/>
        <v>1.2999999999999989</v>
      </c>
      <c r="AE40" s="253"/>
      <c r="AF40" s="71">
        <f t="shared" si="13"/>
        <v>0.77999999999999936</v>
      </c>
      <c r="AG40" s="253"/>
      <c r="AH40" s="71">
        <f t="shared" si="14"/>
        <v>0.51999999999999957</v>
      </c>
      <c r="AI40" s="253"/>
      <c r="AJ40" s="71">
        <f t="shared" si="15"/>
        <v>0.25999999999999979</v>
      </c>
      <c r="AM40" s="72"/>
      <c r="AN40" s="72"/>
      <c r="AO40" s="72"/>
      <c r="AP40" s="72"/>
    </row>
    <row r="41" spans="1:42" ht="20.100000000000001" customHeight="1" x14ac:dyDescent="0.25">
      <c r="A41" s="66"/>
      <c r="B41" s="66"/>
      <c r="C41" s="66"/>
      <c r="D41" s="66"/>
      <c r="E41" s="66"/>
      <c r="F41" s="66"/>
      <c r="G41" s="66"/>
      <c r="H41" s="66"/>
      <c r="I41" s="66"/>
      <c r="J41" s="66"/>
      <c r="K41" s="66"/>
      <c r="L41" s="66"/>
      <c r="M41" s="66"/>
      <c r="N41" s="66"/>
      <c r="O41" s="66"/>
      <c r="P41" s="66"/>
      <c r="Q41" s="66"/>
      <c r="R41" s="66"/>
      <c r="U41" s="68">
        <f t="shared" si="0"/>
        <v>30</v>
      </c>
      <c r="V41" s="69">
        <f t="shared" si="1"/>
        <v>0</v>
      </c>
      <c r="W41" s="69">
        <f t="shared" si="2"/>
        <v>0</v>
      </c>
      <c r="X41" s="69">
        <f t="shared" si="3"/>
        <v>0</v>
      </c>
      <c r="Y41" s="69">
        <f t="shared" si="4"/>
        <v>0</v>
      </c>
      <c r="AA41" s="253"/>
      <c r="AB41" s="70">
        <v>30</v>
      </c>
      <c r="AC41" s="253"/>
      <c r="AD41" s="71">
        <f t="shared" si="16"/>
        <v>0</v>
      </c>
      <c r="AE41" s="253"/>
      <c r="AF41" s="71">
        <f t="shared" si="13"/>
        <v>0</v>
      </c>
      <c r="AG41" s="253"/>
      <c r="AH41" s="71">
        <f t="shared" si="14"/>
        <v>0</v>
      </c>
      <c r="AI41" s="253"/>
      <c r="AJ41" s="71">
        <f t="shared" si="15"/>
        <v>0</v>
      </c>
      <c r="AM41" s="72"/>
      <c r="AN41" s="72"/>
      <c r="AO41" s="72"/>
      <c r="AP41" s="72"/>
    </row>
    <row r="42" spans="1:42" ht="20.100000000000001" customHeight="1" x14ac:dyDescent="0.25">
      <c r="A42" s="66"/>
      <c r="B42" s="66"/>
      <c r="C42" s="66"/>
      <c r="D42" s="66"/>
      <c r="E42" s="66"/>
      <c r="F42" s="66"/>
      <c r="G42" s="66"/>
      <c r="H42" s="66"/>
      <c r="I42" s="66"/>
      <c r="J42" s="66"/>
      <c r="K42" s="66"/>
      <c r="L42" s="66"/>
      <c r="M42" s="66"/>
      <c r="N42" s="66"/>
      <c r="O42" s="66"/>
      <c r="P42" s="66"/>
      <c r="Q42" s="66"/>
      <c r="R42" s="66"/>
      <c r="U42" s="68">
        <f t="shared" ref="U42:U81" si="17">U41+1</f>
        <v>31</v>
      </c>
      <c r="V42" s="69">
        <f t="shared" ref="V42:V81" si="18">$V$41</f>
        <v>0</v>
      </c>
      <c r="W42" s="69">
        <f t="shared" ref="W42:W81" si="19">$W$41</f>
        <v>0</v>
      </c>
      <c r="X42" s="69">
        <f t="shared" ref="X42:X81" si="20">$X$41</f>
        <v>0</v>
      </c>
      <c r="Y42" s="69">
        <f t="shared" ref="Y42:Y81" si="21">$Y$41</f>
        <v>0</v>
      </c>
    </row>
    <row r="43" spans="1:42" ht="20.100000000000001" customHeight="1" x14ac:dyDescent="0.25">
      <c r="A43" s="66"/>
      <c r="B43" s="66"/>
      <c r="C43" s="66"/>
      <c r="D43" s="66"/>
      <c r="E43" s="66"/>
      <c r="F43" s="66"/>
      <c r="G43" s="66"/>
      <c r="H43" s="66"/>
      <c r="I43" s="66"/>
      <c r="J43" s="66"/>
      <c r="K43" s="66"/>
      <c r="L43" s="66"/>
      <c r="M43" s="66"/>
      <c r="N43" s="66"/>
      <c r="O43" s="66"/>
      <c r="P43" s="66"/>
      <c r="Q43" s="66"/>
      <c r="R43" s="66"/>
      <c r="U43" s="68">
        <f t="shared" si="17"/>
        <v>32</v>
      </c>
      <c r="V43" s="69">
        <f t="shared" si="18"/>
        <v>0</v>
      </c>
      <c r="W43" s="69">
        <f t="shared" si="19"/>
        <v>0</v>
      </c>
      <c r="X43" s="69">
        <f t="shared" si="20"/>
        <v>0</v>
      </c>
      <c r="Y43" s="69">
        <f t="shared" si="21"/>
        <v>0</v>
      </c>
    </row>
    <row r="44" spans="1:42" ht="20.100000000000001" customHeight="1" x14ac:dyDescent="0.25">
      <c r="A44" s="66"/>
      <c r="B44" s="66"/>
      <c r="C44" s="66"/>
      <c r="D44" s="66"/>
      <c r="E44" s="66"/>
      <c r="F44" s="66"/>
      <c r="G44" s="66"/>
      <c r="H44" s="66"/>
      <c r="I44" s="66"/>
      <c r="J44" s="66"/>
      <c r="K44" s="66"/>
      <c r="L44" s="66"/>
      <c r="M44" s="66"/>
      <c r="N44" s="66"/>
      <c r="O44" s="66"/>
      <c r="P44" s="66"/>
      <c r="Q44" s="66"/>
      <c r="R44" s="66"/>
      <c r="U44" s="68">
        <f t="shared" si="17"/>
        <v>33</v>
      </c>
      <c r="V44" s="69">
        <f t="shared" si="18"/>
        <v>0</v>
      </c>
      <c r="W44" s="69">
        <f t="shared" si="19"/>
        <v>0</v>
      </c>
      <c r="X44" s="69">
        <f t="shared" si="20"/>
        <v>0</v>
      </c>
      <c r="Y44" s="69">
        <f t="shared" si="21"/>
        <v>0</v>
      </c>
    </row>
    <row r="45" spans="1:42" ht="20.100000000000001" customHeight="1" x14ac:dyDescent="0.25">
      <c r="U45" s="68">
        <f t="shared" si="17"/>
        <v>34</v>
      </c>
      <c r="V45" s="69">
        <f t="shared" si="18"/>
        <v>0</v>
      </c>
      <c r="W45" s="69">
        <f t="shared" si="19"/>
        <v>0</v>
      </c>
      <c r="X45" s="69">
        <f t="shared" si="20"/>
        <v>0</v>
      </c>
      <c r="Y45" s="69">
        <f t="shared" si="21"/>
        <v>0</v>
      </c>
    </row>
    <row r="46" spans="1:42" ht="20.100000000000001" customHeight="1" x14ac:dyDescent="0.25">
      <c r="U46" s="68">
        <f t="shared" si="17"/>
        <v>35</v>
      </c>
      <c r="V46" s="69">
        <f t="shared" si="18"/>
        <v>0</v>
      </c>
      <c r="W46" s="69">
        <f t="shared" si="19"/>
        <v>0</v>
      </c>
      <c r="X46" s="69">
        <f t="shared" si="20"/>
        <v>0</v>
      </c>
      <c r="Y46" s="69">
        <f t="shared" si="21"/>
        <v>0</v>
      </c>
    </row>
    <row r="47" spans="1:42" ht="20.100000000000001" customHeight="1" x14ac:dyDescent="0.25">
      <c r="U47" s="68">
        <f t="shared" si="17"/>
        <v>36</v>
      </c>
      <c r="V47" s="69">
        <f t="shared" si="18"/>
        <v>0</v>
      </c>
      <c r="W47" s="69">
        <f t="shared" si="19"/>
        <v>0</v>
      </c>
      <c r="X47" s="69">
        <f t="shared" si="20"/>
        <v>0</v>
      </c>
      <c r="Y47" s="69">
        <f t="shared" si="21"/>
        <v>0</v>
      </c>
    </row>
    <row r="48" spans="1:42" ht="20.100000000000001" customHeight="1" x14ac:dyDescent="0.25">
      <c r="U48" s="68">
        <f t="shared" si="17"/>
        <v>37</v>
      </c>
      <c r="V48" s="69">
        <f t="shared" si="18"/>
        <v>0</v>
      </c>
      <c r="W48" s="69">
        <f t="shared" si="19"/>
        <v>0</v>
      </c>
      <c r="X48" s="69">
        <f t="shared" si="20"/>
        <v>0</v>
      </c>
      <c r="Y48" s="69">
        <f t="shared" si="21"/>
        <v>0</v>
      </c>
    </row>
    <row r="49" spans="21:25" ht="20.100000000000001" customHeight="1" x14ac:dyDescent="0.25">
      <c r="U49" s="68">
        <f t="shared" si="17"/>
        <v>38</v>
      </c>
      <c r="V49" s="69">
        <f t="shared" si="18"/>
        <v>0</v>
      </c>
      <c r="W49" s="69">
        <f t="shared" si="19"/>
        <v>0</v>
      </c>
      <c r="X49" s="69">
        <f t="shared" si="20"/>
        <v>0</v>
      </c>
      <c r="Y49" s="69">
        <f t="shared" si="21"/>
        <v>0</v>
      </c>
    </row>
    <row r="50" spans="21:25" ht="20.100000000000001" customHeight="1" x14ac:dyDescent="0.25">
      <c r="U50" s="68">
        <f t="shared" si="17"/>
        <v>39</v>
      </c>
      <c r="V50" s="69">
        <f t="shared" si="18"/>
        <v>0</v>
      </c>
      <c r="W50" s="69">
        <f t="shared" si="19"/>
        <v>0</v>
      </c>
      <c r="X50" s="69">
        <f t="shared" si="20"/>
        <v>0</v>
      </c>
      <c r="Y50" s="69">
        <f t="shared" si="21"/>
        <v>0</v>
      </c>
    </row>
    <row r="51" spans="21:25" ht="20.100000000000001" customHeight="1" x14ac:dyDescent="0.25">
      <c r="U51" s="68">
        <f t="shared" si="17"/>
        <v>40</v>
      </c>
      <c r="V51" s="69">
        <f t="shared" si="18"/>
        <v>0</v>
      </c>
      <c r="W51" s="69">
        <f t="shared" si="19"/>
        <v>0</v>
      </c>
      <c r="X51" s="69">
        <f t="shared" si="20"/>
        <v>0</v>
      </c>
      <c r="Y51" s="69">
        <f t="shared" si="21"/>
        <v>0</v>
      </c>
    </row>
    <row r="52" spans="21:25" ht="20.100000000000001" customHeight="1" x14ac:dyDescent="0.25">
      <c r="U52" s="68">
        <f t="shared" si="17"/>
        <v>41</v>
      </c>
      <c r="V52" s="69">
        <f t="shared" si="18"/>
        <v>0</v>
      </c>
      <c r="W52" s="69">
        <f t="shared" si="19"/>
        <v>0</v>
      </c>
      <c r="X52" s="69">
        <f t="shared" si="20"/>
        <v>0</v>
      </c>
      <c r="Y52" s="69">
        <f t="shared" si="21"/>
        <v>0</v>
      </c>
    </row>
    <row r="53" spans="21:25" ht="20.100000000000001" customHeight="1" x14ac:dyDescent="0.25">
      <c r="U53" s="68">
        <f t="shared" si="17"/>
        <v>42</v>
      </c>
      <c r="V53" s="69">
        <f t="shared" si="18"/>
        <v>0</v>
      </c>
      <c r="W53" s="69">
        <f t="shared" si="19"/>
        <v>0</v>
      </c>
      <c r="X53" s="69">
        <f t="shared" si="20"/>
        <v>0</v>
      </c>
      <c r="Y53" s="69">
        <f t="shared" si="21"/>
        <v>0</v>
      </c>
    </row>
    <row r="54" spans="21:25" ht="20.100000000000001" customHeight="1" x14ac:dyDescent="0.25">
      <c r="U54" s="68">
        <f t="shared" si="17"/>
        <v>43</v>
      </c>
      <c r="V54" s="69">
        <f t="shared" si="18"/>
        <v>0</v>
      </c>
      <c r="W54" s="69">
        <f t="shared" si="19"/>
        <v>0</v>
      </c>
      <c r="X54" s="69">
        <f t="shared" si="20"/>
        <v>0</v>
      </c>
      <c r="Y54" s="69">
        <f t="shared" si="21"/>
        <v>0</v>
      </c>
    </row>
    <row r="55" spans="21:25" ht="20.100000000000001" customHeight="1" x14ac:dyDescent="0.25">
      <c r="U55" s="68">
        <f t="shared" si="17"/>
        <v>44</v>
      </c>
      <c r="V55" s="69">
        <f t="shared" si="18"/>
        <v>0</v>
      </c>
      <c r="W55" s="69">
        <f t="shared" si="19"/>
        <v>0</v>
      </c>
      <c r="X55" s="69">
        <f t="shared" si="20"/>
        <v>0</v>
      </c>
      <c r="Y55" s="69">
        <f t="shared" si="21"/>
        <v>0</v>
      </c>
    </row>
    <row r="56" spans="21:25" ht="20.100000000000001" customHeight="1" x14ac:dyDescent="0.25">
      <c r="U56" s="68">
        <f t="shared" si="17"/>
        <v>45</v>
      </c>
      <c r="V56" s="69">
        <f t="shared" si="18"/>
        <v>0</v>
      </c>
      <c r="W56" s="69">
        <f t="shared" si="19"/>
        <v>0</v>
      </c>
      <c r="X56" s="69">
        <f t="shared" si="20"/>
        <v>0</v>
      </c>
      <c r="Y56" s="69">
        <f t="shared" si="21"/>
        <v>0</v>
      </c>
    </row>
    <row r="57" spans="21:25" ht="20.100000000000001" customHeight="1" x14ac:dyDescent="0.25">
      <c r="U57" s="68">
        <f t="shared" si="17"/>
        <v>46</v>
      </c>
      <c r="V57" s="69">
        <f t="shared" si="18"/>
        <v>0</v>
      </c>
      <c r="W57" s="69">
        <f t="shared" si="19"/>
        <v>0</v>
      </c>
      <c r="X57" s="69">
        <f t="shared" si="20"/>
        <v>0</v>
      </c>
      <c r="Y57" s="69">
        <f t="shared" si="21"/>
        <v>0</v>
      </c>
    </row>
    <row r="58" spans="21:25" ht="20.100000000000001" customHeight="1" x14ac:dyDescent="0.25">
      <c r="U58" s="68">
        <f t="shared" si="17"/>
        <v>47</v>
      </c>
      <c r="V58" s="69">
        <f t="shared" si="18"/>
        <v>0</v>
      </c>
      <c r="W58" s="69">
        <f t="shared" si="19"/>
        <v>0</v>
      </c>
      <c r="X58" s="69">
        <f t="shared" si="20"/>
        <v>0</v>
      </c>
      <c r="Y58" s="69">
        <f t="shared" si="21"/>
        <v>0</v>
      </c>
    </row>
    <row r="59" spans="21:25" ht="20.100000000000001" customHeight="1" x14ac:dyDescent="0.25">
      <c r="U59" s="68">
        <f t="shared" si="17"/>
        <v>48</v>
      </c>
      <c r="V59" s="69">
        <f t="shared" si="18"/>
        <v>0</v>
      </c>
      <c r="W59" s="69">
        <f t="shared" si="19"/>
        <v>0</v>
      </c>
      <c r="X59" s="69">
        <f t="shared" si="20"/>
        <v>0</v>
      </c>
      <c r="Y59" s="69">
        <f t="shared" si="21"/>
        <v>0</v>
      </c>
    </row>
    <row r="60" spans="21:25" ht="20.100000000000001" customHeight="1" x14ac:dyDescent="0.25">
      <c r="U60" s="68">
        <f t="shared" si="17"/>
        <v>49</v>
      </c>
      <c r="V60" s="69">
        <f t="shared" si="18"/>
        <v>0</v>
      </c>
      <c r="W60" s="69">
        <f t="shared" si="19"/>
        <v>0</v>
      </c>
      <c r="X60" s="69">
        <f t="shared" si="20"/>
        <v>0</v>
      </c>
      <c r="Y60" s="69">
        <f t="shared" si="21"/>
        <v>0</v>
      </c>
    </row>
    <row r="61" spans="21:25" ht="20.100000000000001" customHeight="1" x14ac:dyDescent="0.25">
      <c r="U61" s="68">
        <f t="shared" si="17"/>
        <v>50</v>
      </c>
      <c r="V61" s="69">
        <f t="shared" si="18"/>
        <v>0</v>
      </c>
      <c r="W61" s="69">
        <f t="shared" si="19"/>
        <v>0</v>
      </c>
      <c r="X61" s="69">
        <f t="shared" si="20"/>
        <v>0</v>
      </c>
      <c r="Y61" s="69">
        <f t="shared" si="21"/>
        <v>0</v>
      </c>
    </row>
    <row r="62" spans="21:25" ht="20.100000000000001" customHeight="1" x14ac:dyDescent="0.25">
      <c r="U62" s="68">
        <f t="shared" si="17"/>
        <v>51</v>
      </c>
      <c r="V62" s="69">
        <f t="shared" si="18"/>
        <v>0</v>
      </c>
      <c r="W62" s="69">
        <f t="shared" si="19"/>
        <v>0</v>
      </c>
      <c r="X62" s="69">
        <f t="shared" si="20"/>
        <v>0</v>
      </c>
      <c r="Y62" s="69">
        <f t="shared" si="21"/>
        <v>0</v>
      </c>
    </row>
    <row r="63" spans="21:25" ht="20.100000000000001" customHeight="1" x14ac:dyDescent="0.25">
      <c r="U63" s="68">
        <f t="shared" si="17"/>
        <v>52</v>
      </c>
      <c r="V63" s="69">
        <f t="shared" si="18"/>
        <v>0</v>
      </c>
      <c r="W63" s="69">
        <f t="shared" si="19"/>
        <v>0</v>
      </c>
      <c r="X63" s="69">
        <f t="shared" si="20"/>
        <v>0</v>
      </c>
      <c r="Y63" s="69">
        <f t="shared" si="21"/>
        <v>0</v>
      </c>
    </row>
    <row r="64" spans="21:25" ht="20.100000000000001" customHeight="1" x14ac:dyDescent="0.25">
      <c r="U64" s="68">
        <f t="shared" si="17"/>
        <v>53</v>
      </c>
      <c r="V64" s="69">
        <f t="shared" si="18"/>
        <v>0</v>
      </c>
      <c r="W64" s="69">
        <f t="shared" si="19"/>
        <v>0</v>
      </c>
      <c r="X64" s="69">
        <f t="shared" si="20"/>
        <v>0</v>
      </c>
      <c r="Y64" s="69">
        <f t="shared" si="21"/>
        <v>0</v>
      </c>
    </row>
    <row r="65" spans="21:25" ht="20.100000000000001" customHeight="1" x14ac:dyDescent="0.25">
      <c r="U65" s="68">
        <f t="shared" si="17"/>
        <v>54</v>
      </c>
      <c r="V65" s="69">
        <f t="shared" si="18"/>
        <v>0</v>
      </c>
      <c r="W65" s="69">
        <f t="shared" si="19"/>
        <v>0</v>
      </c>
      <c r="X65" s="69">
        <f t="shared" si="20"/>
        <v>0</v>
      </c>
      <c r="Y65" s="69">
        <f t="shared" si="21"/>
        <v>0</v>
      </c>
    </row>
    <row r="66" spans="21:25" ht="20.100000000000001" customHeight="1" x14ac:dyDescent="0.25">
      <c r="U66" s="68">
        <f t="shared" si="17"/>
        <v>55</v>
      </c>
      <c r="V66" s="69">
        <f t="shared" si="18"/>
        <v>0</v>
      </c>
      <c r="W66" s="69">
        <f t="shared" si="19"/>
        <v>0</v>
      </c>
      <c r="X66" s="69">
        <f t="shared" si="20"/>
        <v>0</v>
      </c>
      <c r="Y66" s="69">
        <f t="shared" si="21"/>
        <v>0</v>
      </c>
    </row>
    <row r="67" spans="21:25" ht="20.100000000000001" customHeight="1" x14ac:dyDescent="0.25">
      <c r="U67" s="68">
        <f t="shared" si="17"/>
        <v>56</v>
      </c>
      <c r="V67" s="69">
        <f t="shared" si="18"/>
        <v>0</v>
      </c>
      <c r="W67" s="69">
        <f t="shared" si="19"/>
        <v>0</v>
      </c>
      <c r="X67" s="69">
        <f t="shared" si="20"/>
        <v>0</v>
      </c>
      <c r="Y67" s="69">
        <f t="shared" si="21"/>
        <v>0</v>
      </c>
    </row>
    <row r="68" spans="21:25" ht="20.100000000000001" customHeight="1" x14ac:dyDescent="0.25">
      <c r="U68" s="68">
        <f t="shared" si="17"/>
        <v>57</v>
      </c>
      <c r="V68" s="69">
        <f t="shared" si="18"/>
        <v>0</v>
      </c>
      <c r="W68" s="69">
        <f t="shared" si="19"/>
        <v>0</v>
      </c>
      <c r="X68" s="69">
        <f t="shared" si="20"/>
        <v>0</v>
      </c>
      <c r="Y68" s="69">
        <f t="shared" si="21"/>
        <v>0</v>
      </c>
    </row>
    <row r="69" spans="21:25" ht="20.100000000000001" customHeight="1" x14ac:dyDescent="0.25">
      <c r="U69" s="68">
        <f t="shared" si="17"/>
        <v>58</v>
      </c>
      <c r="V69" s="69">
        <f t="shared" si="18"/>
        <v>0</v>
      </c>
      <c r="W69" s="69">
        <f t="shared" si="19"/>
        <v>0</v>
      </c>
      <c r="X69" s="69">
        <f t="shared" si="20"/>
        <v>0</v>
      </c>
      <c r="Y69" s="69">
        <f t="shared" si="21"/>
        <v>0</v>
      </c>
    </row>
    <row r="70" spans="21:25" ht="20.100000000000001" customHeight="1" x14ac:dyDescent="0.25">
      <c r="U70" s="68">
        <f t="shared" si="17"/>
        <v>59</v>
      </c>
      <c r="V70" s="69">
        <f t="shared" si="18"/>
        <v>0</v>
      </c>
      <c r="W70" s="69">
        <f t="shared" si="19"/>
        <v>0</v>
      </c>
      <c r="X70" s="69">
        <f t="shared" si="20"/>
        <v>0</v>
      </c>
      <c r="Y70" s="69">
        <f t="shared" si="21"/>
        <v>0</v>
      </c>
    </row>
    <row r="71" spans="21:25" ht="20.100000000000001" customHeight="1" x14ac:dyDescent="0.25">
      <c r="U71" s="68">
        <f t="shared" si="17"/>
        <v>60</v>
      </c>
      <c r="V71" s="69">
        <f t="shared" si="18"/>
        <v>0</v>
      </c>
      <c r="W71" s="69">
        <f t="shared" si="19"/>
        <v>0</v>
      </c>
      <c r="X71" s="69">
        <f t="shared" si="20"/>
        <v>0</v>
      </c>
      <c r="Y71" s="69">
        <f t="shared" si="21"/>
        <v>0</v>
      </c>
    </row>
    <row r="72" spans="21:25" ht="20.100000000000001" customHeight="1" x14ac:dyDescent="0.25">
      <c r="U72" s="68">
        <f t="shared" si="17"/>
        <v>61</v>
      </c>
      <c r="V72" s="69">
        <f t="shared" si="18"/>
        <v>0</v>
      </c>
      <c r="W72" s="69">
        <f t="shared" si="19"/>
        <v>0</v>
      </c>
      <c r="X72" s="69">
        <f t="shared" si="20"/>
        <v>0</v>
      </c>
      <c r="Y72" s="69">
        <f t="shared" si="21"/>
        <v>0</v>
      </c>
    </row>
    <row r="73" spans="21:25" ht="20.100000000000001" customHeight="1" x14ac:dyDescent="0.25">
      <c r="U73" s="68">
        <f t="shared" si="17"/>
        <v>62</v>
      </c>
      <c r="V73" s="69">
        <f t="shared" si="18"/>
        <v>0</v>
      </c>
      <c r="W73" s="69">
        <f t="shared" si="19"/>
        <v>0</v>
      </c>
      <c r="X73" s="69">
        <f t="shared" si="20"/>
        <v>0</v>
      </c>
      <c r="Y73" s="69">
        <f t="shared" si="21"/>
        <v>0</v>
      </c>
    </row>
    <row r="74" spans="21:25" ht="20.100000000000001" customHeight="1" x14ac:dyDescent="0.25">
      <c r="U74" s="68">
        <f t="shared" si="17"/>
        <v>63</v>
      </c>
      <c r="V74" s="69">
        <f t="shared" si="18"/>
        <v>0</v>
      </c>
      <c r="W74" s="69">
        <f t="shared" si="19"/>
        <v>0</v>
      </c>
      <c r="X74" s="69">
        <f t="shared" si="20"/>
        <v>0</v>
      </c>
      <c r="Y74" s="69">
        <f t="shared" si="21"/>
        <v>0</v>
      </c>
    </row>
    <row r="75" spans="21:25" ht="20.100000000000001" customHeight="1" x14ac:dyDescent="0.25">
      <c r="U75" s="68">
        <f t="shared" si="17"/>
        <v>64</v>
      </c>
      <c r="V75" s="69">
        <f t="shared" si="18"/>
        <v>0</v>
      </c>
      <c r="W75" s="69">
        <f t="shared" si="19"/>
        <v>0</v>
      </c>
      <c r="X75" s="69">
        <f t="shared" si="20"/>
        <v>0</v>
      </c>
      <c r="Y75" s="69">
        <f t="shared" si="21"/>
        <v>0</v>
      </c>
    </row>
    <row r="76" spans="21:25" ht="20.100000000000001" customHeight="1" x14ac:dyDescent="0.25">
      <c r="U76" s="68">
        <f t="shared" si="17"/>
        <v>65</v>
      </c>
      <c r="V76" s="69">
        <f t="shared" si="18"/>
        <v>0</v>
      </c>
      <c r="W76" s="69">
        <f t="shared" si="19"/>
        <v>0</v>
      </c>
      <c r="X76" s="69">
        <f t="shared" si="20"/>
        <v>0</v>
      </c>
      <c r="Y76" s="69">
        <f t="shared" si="21"/>
        <v>0</v>
      </c>
    </row>
    <row r="77" spans="21:25" ht="20.100000000000001" customHeight="1" x14ac:dyDescent="0.25">
      <c r="U77" s="68">
        <f t="shared" si="17"/>
        <v>66</v>
      </c>
      <c r="V77" s="69">
        <f t="shared" si="18"/>
        <v>0</v>
      </c>
      <c r="W77" s="69">
        <f t="shared" si="19"/>
        <v>0</v>
      </c>
      <c r="X77" s="69">
        <f t="shared" si="20"/>
        <v>0</v>
      </c>
      <c r="Y77" s="69">
        <f t="shared" si="21"/>
        <v>0</v>
      </c>
    </row>
    <row r="78" spans="21:25" ht="20.100000000000001" customHeight="1" x14ac:dyDescent="0.25">
      <c r="U78" s="68">
        <f t="shared" si="17"/>
        <v>67</v>
      </c>
      <c r="V78" s="69">
        <f t="shared" si="18"/>
        <v>0</v>
      </c>
      <c r="W78" s="69">
        <f t="shared" si="19"/>
        <v>0</v>
      </c>
      <c r="X78" s="69">
        <f t="shared" si="20"/>
        <v>0</v>
      </c>
      <c r="Y78" s="69">
        <f t="shared" si="21"/>
        <v>0</v>
      </c>
    </row>
    <row r="79" spans="21:25" ht="20.100000000000001" customHeight="1" x14ac:dyDescent="0.25">
      <c r="U79" s="68">
        <f t="shared" si="17"/>
        <v>68</v>
      </c>
      <c r="V79" s="69">
        <f t="shared" si="18"/>
        <v>0</v>
      </c>
      <c r="W79" s="69">
        <f t="shared" si="19"/>
        <v>0</v>
      </c>
      <c r="X79" s="69">
        <f t="shared" si="20"/>
        <v>0</v>
      </c>
      <c r="Y79" s="69">
        <f t="shared" si="21"/>
        <v>0</v>
      </c>
    </row>
    <row r="80" spans="21:25" ht="20.100000000000001" customHeight="1" x14ac:dyDescent="0.25">
      <c r="U80" s="68">
        <f t="shared" si="17"/>
        <v>69</v>
      </c>
      <c r="V80" s="69">
        <f t="shared" si="18"/>
        <v>0</v>
      </c>
      <c r="W80" s="69">
        <f t="shared" si="19"/>
        <v>0</v>
      </c>
      <c r="X80" s="69">
        <f t="shared" si="20"/>
        <v>0</v>
      </c>
      <c r="Y80" s="69">
        <f t="shared" si="21"/>
        <v>0</v>
      </c>
    </row>
    <row r="81" spans="21:25" ht="20.100000000000001" customHeight="1" x14ac:dyDescent="0.25">
      <c r="U81" s="68">
        <f t="shared" si="17"/>
        <v>70</v>
      </c>
      <c r="V81" s="69">
        <f t="shared" si="18"/>
        <v>0</v>
      </c>
      <c r="W81" s="69">
        <f t="shared" si="19"/>
        <v>0</v>
      </c>
      <c r="X81" s="69">
        <f t="shared" si="20"/>
        <v>0</v>
      </c>
      <c r="Y81" s="69">
        <f t="shared" si="21"/>
        <v>0</v>
      </c>
    </row>
  </sheetData>
  <mergeCells count="51">
    <mergeCell ref="A1:R1"/>
    <mergeCell ref="A3:R4"/>
    <mergeCell ref="A5:R5"/>
    <mergeCell ref="A6:D6"/>
    <mergeCell ref="E6:F6"/>
    <mergeCell ref="G6:J6"/>
    <mergeCell ref="K6:N6"/>
    <mergeCell ref="O6:R6"/>
    <mergeCell ref="O7:P8"/>
    <mergeCell ref="Q7:R8"/>
    <mergeCell ref="A9:D10"/>
    <mergeCell ref="E9:F10"/>
    <mergeCell ref="G9:H10"/>
    <mergeCell ref="I9:J10"/>
    <mergeCell ref="K9:L10"/>
    <mergeCell ref="M9:N10"/>
    <mergeCell ref="O9:P10"/>
    <mergeCell ref="A7:D8"/>
    <mergeCell ref="E7:F8"/>
    <mergeCell ref="G7:H8"/>
    <mergeCell ref="I7:J8"/>
    <mergeCell ref="K7:L8"/>
    <mergeCell ref="M7:N8"/>
    <mergeCell ref="Q9:R10"/>
    <mergeCell ref="A11:D12"/>
    <mergeCell ref="E11:F12"/>
    <mergeCell ref="G11:H12"/>
    <mergeCell ref="I11:J12"/>
    <mergeCell ref="K11:L12"/>
    <mergeCell ref="M11:N12"/>
    <mergeCell ref="O11:P12"/>
    <mergeCell ref="Q11:R12"/>
    <mergeCell ref="AA11:AJ11"/>
    <mergeCell ref="AA12:AA41"/>
    <mergeCell ref="AC12:AC41"/>
    <mergeCell ref="AE12:AE41"/>
    <mergeCell ref="AG12:AG41"/>
    <mergeCell ref="AI12:AI41"/>
    <mergeCell ref="A18:R20"/>
    <mergeCell ref="O13:P14"/>
    <mergeCell ref="Q13:R14"/>
    <mergeCell ref="A15:R15"/>
    <mergeCell ref="A16:R16"/>
    <mergeCell ref="A17:C17"/>
    <mergeCell ref="D17:R17"/>
    <mergeCell ref="M13:N14"/>
    <mergeCell ref="A13:D14"/>
    <mergeCell ref="E13:F14"/>
    <mergeCell ref="G13:H14"/>
    <mergeCell ref="I13:J14"/>
    <mergeCell ref="K13:L14"/>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4499-2B16-4291-9893-02AFA097A9F6}">
  <dimension ref="A1:U341"/>
  <sheetViews>
    <sheetView workbookViewId="0">
      <selection sqref="A1:J1"/>
    </sheetView>
  </sheetViews>
  <sheetFormatPr defaultRowHeight="20.100000000000001" customHeight="1" x14ac:dyDescent="0.25"/>
  <cols>
    <col min="1" max="10" width="10.625" style="40" customWidth="1"/>
    <col min="11" max="16384" width="9" style="38"/>
  </cols>
  <sheetData>
    <row r="1" spans="1:10" ht="20.100000000000001" customHeight="1" thickBot="1" x14ac:dyDescent="0.3">
      <c r="A1" s="290" t="s">
        <v>277</v>
      </c>
      <c r="B1" s="290"/>
      <c r="C1" s="290"/>
      <c r="D1" s="290"/>
      <c r="E1" s="290"/>
      <c r="F1" s="290"/>
      <c r="G1" s="290"/>
      <c r="H1" s="290"/>
      <c r="I1" s="290"/>
      <c r="J1" s="290"/>
    </row>
    <row r="2" spans="1:10" ht="20.100000000000001" customHeight="1" x14ac:dyDescent="0.25">
      <c r="A2" s="39"/>
      <c r="B2" s="35"/>
      <c r="C2" s="35"/>
      <c r="D2" s="35"/>
      <c r="E2" s="35"/>
    </row>
    <row r="3" spans="1:10" ht="20.100000000000001" customHeight="1" x14ac:dyDescent="0.25">
      <c r="A3" s="285" t="s">
        <v>278</v>
      </c>
      <c r="B3" s="285" t="s">
        <v>279</v>
      </c>
      <c r="C3" s="285"/>
      <c r="D3" s="285" t="s">
        <v>280</v>
      </c>
      <c r="E3" s="285"/>
      <c r="F3" s="285"/>
      <c r="G3" s="291" t="s">
        <v>281</v>
      </c>
      <c r="H3" s="292"/>
      <c r="I3" s="285" t="s">
        <v>282</v>
      </c>
      <c r="J3" s="285"/>
    </row>
    <row r="4" spans="1:10" ht="20.100000000000001" customHeight="1" x14ac:dyDescent="0.25">
      <c r="A4" s="285"/>
      <c r="B4" s="285"/>
      <c r="C4" s="285"/>
      <c r="D4" s="285"/>
      <c r="E4" s="285"/>
      <c r="F4" s="285"/>
      <c r="G4" s="293"/>
      <c r="H4" s="294"/>
      <c r="I4" s="285"/>
      <c r="J4" s="285"/>
    </row>
    <row r="5" spans="1:10" ht="20.100000000000001" customHeight="1" x14ac:dyDescent="0.25">
      <c r="A5" s="285"/>
      <c r="B5" s="285"/>
      <c r="C5" s="285"/>
      <c r="D5" s="285"/>
      <c r="E5" s="285"/>
      <c r="F5" s="285"/>
      <c r="G5" s="285" t="s">
        <v>283</v>
      </c>
      <c r="H5" s="285"/>
      <c r="I5" s="285"/>
      <c r="J5" s="285"/>
    </row>
    <row r="6" spans="1:10" ht="20.100000000000001" customHeight="1" x14ac:dyDescent="0.25">
      <c r="A6" s="289" t="s">
        <v>284</v>
      </c>
      <c r="B6" s="285" t="s">
        <v>285</v>
      </c>
      <c r="C6" s="285"/>
      <c r="D6" s="286" t="s">
        <v>286</v>
      </c>
      <c r="E6" s="286"/>
      <c r="F6" s="286"/>
      <c r="G6" s="287">
        <v>5</v>
      </c>
      <c r="H6" s="287"/>
      <c r="I6" s="288">
        <v>0</v>
      </c>
      <c r="J6" s="288"/>
    </row>
    <row r="7" spans="1:10" ht="20.100000000000001" customHeight="1" x14ac:dyDescent="0.25">
      <c r="A7" s="289"/>
      <c r="B7" s="285"/>
      <c r="C7" s="285"/>
      <c r="D7" s="286" t="s">
        <v>287</v>
      </c>
      <c r="E7" s="286"/>
      <c r="F7" s="286"/>
      <c r="G7" s="287">
        <v>10</v>
      </c>
      <c r="H7" s="287"/>
      <c r="I7" s="288">
        <v>0</v>
      </c>
      <c r="J7" s="288"/>
    </row>
    <row r="8" spans="1:10" ht="20.100000000000001" customHeight="1" x14ac:dyDescent="0.25">
      <c r="A8" s="289"/>
      <c r="B8" s="285" t="s">
        <v>288</v>
      </c>
      <c r="C8" s="285"/>
      <c r="D8" s="286" t="s">
        <v>286</v>
      </c>
      <c r="E8" s="286"/>
      <c r="F8" s="286"/>
      <c r="G8" s="287">
        <v>60</v>
      </c>
      <c r="H8" s="287"/>
      <c r="I8" s="288">
        <v>0.2</v>
      </c>
      <c r="J8" s="288"/>
    </row>
    <row r="9" spans="1:10" ht="20.100000000000001" customHeight="1" x14ac:dyDescent="0.25">
      <c r="A9" s="289"/>
      <c r="B9" s="285"/>
      <c r="C9" s="285"/>
      <c r="D9" s="286" t="s">
        <v>289</v>
      </c>
      <c r="E9" s="286"/>
      <c r="F9" s="286"/>
      <c r="G9" s="287">
        <v>60</v>
      </c>
      <c r="H9" s="287"/>
      <c r="I9" s="288">
        <v>0.2</v>
      </c>
      <c r="J9" s="288"/>
    </row>
    <row r="10" spans="1:10" ht="20.100000000000001" customHeight="1" x14ac:dyDescent="0.25">
      <c r="A10" s="289"/>
      <c r="B10" s="285"/>
      <c r="C10" s="285"/>
      <c r="D10" s="286" t="s">
        <v>290</v>
      </c>
      <c r="E10" s="286"/>
      <c r="F10" s="286"/>
      <c r="G10" s="287">
        <v>70</v>
      </c>
      <c r="H10" s="287"/>
      <c r="I10" s="288">
        <v>0.2</v>
      </c>
      <c r="J10" s="288"/>
    </row>
    <row r="11" spans="1:10" ht="20.100000000000001" customHeight="1" x14ac:dyDescent="0.25">
      <c r="A11" s="289"/>
      <c r="B11" s="285"/>
      <c r="C11" s="285"/>
      <c r="D11" s="286" t="s">
        <v>287</v>
      </c>
      <c r="E11" s="286"/>
      <c r="F11" s="286"/>
      <c r="G11" s="287">
        <v>70</v>
      </c>
      <c r="H11" s="287"/>
      <c r="I11" s="288">
        <v>0.2</v>
      </c>
      <c r="J11" s="288"/>
    </row>
    <row r="12" spans="1:10" ht="20.100000000000001" customHeight="1" x14ac:dyDescent="0.25">
      <c r="A12" s="289"/>
      <c r="B12" s="285"/>
      <c r="C12" s="285"/>
      <c r="D12" s="286" t="s">
        <v>291</v>
      </c>
      <c r="E12" s="286"/>
      <c r="F12" s="286"/>
      <c r="G12" s="287">
        <v>70</v>
      </c>
      <c r="H12" s="287"/>
      <c r="I12" s="288">
        <v>0.2</v>
      </c>
      <c r="J12" s="288"/>
    </row>
    <row r="13" spans="1:10" ht="20.100000000000001" customHeight="1" x14ac:dyDescent="0.25">
      <c r="A13" s="289"/>
      <c r="B13" s="285"/>
      <c r="C13" s="285"/>
      <c r="D13" s="286" t="s">
        <v>292</v>
      </c>
      <c r="E13" s="286"/>
      <c r="F13" s="286"/>
      <c r="G13" s="287">
        <v>70</v>
      </c>
      <c r="H13" s="287"/>
      <c r="I13" s="288">
        <v>0.2</v>
      </c>
      <c r="J13" s="288"/>
    </row>
    <row r="14" spans="1:10" ht="20.100000000000001" customHeight="1" x14ac:dyDescent="0.25">
      <c r="A14" s="289"/>
      <c r="B14" s="285"/>
      <c r="C14" s="285"/>
      <c r="D14" s="286" t="s">
        <v>293</v>
      </c>
      <c r="E14" s="286"/>
      <c r="F14" s="286"/>
      <c r="G14" s="287">
        <v>60</v>
      </c>
      <c r="H14" s="287"/>
      <c r="I14" s="288">
        <v>0.2</v>
      </c>
      <c r="J14" s="288"/>
    </row>
    <row r="15" spans="1:10" ht="20.100000000000001" customHeight="1" x14ac:dyDescent="0.25">
      <c r="A15" s="289"/>
      <c r="B15" s="285"/>
      <c r="C15" s="285"/>
      <c r="D15" s="286" t="s">
        <v>294</v>
      </c>
      <c r="E15" s="286"/>
      <c r="F15" s="286"/>
      <c r="G15" s="287">
        <v>60</v>
      </c>
      <c r="H15" s="287"/>
      <c r="I15" s="288">
        <v>0.2</v>
      </c>
      <c r="J15" s="288"/>
    </row>
    <row r="16" spans="1:10" ht="20.100000000000001" customHeight="1" x14ac:dyDescent="0.25">
      <c r="A16" s="289"/>
      <c r="B16" s="285" t="s">
        <v>295</v>
      </c>
      <c r="C16" s="285"/>
      <c r="D16" s="286" t="s">
        <v>290</v>
      </c>
      <c r="E16" s="286"/>
      <c r="F16" s="286"/>
      <c r="G16" s="287">
        <v>60</v>
      </c>
      <c r="H16" s="287"/>
      <c r="I16" s="288">
        <v>0.2</v>
      </c>
      <c r="J16" s="288"/>
    </row>
    <row r="17" spans="1:10" ht="20.100000000000001" customHeight="1" x14ac:dyDescent="0.25">
      <c r="A17" s="289"/>
      <c r="B17" s="285"/>
      <c r="C17" s="285"/>
      <c r="D17" s="286" t="s">
        <v>287</v>
      </c>
      <c r="E17" s="286"/>
      <c r="F17" s="286"/>
      <c r="G17" s="287">
        <v>60</v>
      </c>
      <c r="H17" s="287"/>
      <c r="I17" s="288">
        <v>0.2</v>
      </c>
      <c r="J17" s="288"/>
    </row>
    <row r="18" spans="1:10" ht="20.100000000000001" customHeight="1" x14ac:dyDescent="0.25">
      <c r="A18" s="289"/>
      <c r="B18" s="285"/>
      <c r="C18" s="285"/>
      <c r="D18" s="286" t="s">
        <v>291</v>
      </c>
      <c r="E18" s="286"/>
      <c r="F18" s="286"/>
      <c r="G18" s="287">
        <v>60</v>
      </c>
      <c r="H18" s="287"/>
      <c r="I18" s="288">
        <v>0.2</v>
      </c>
      <c r="J18" s="288"/>
    </row>
    <row r="19" spans="1:10" ht="20.100000000000001" customHeight="1" x14ac:dyDescent="0.25">
      <c r="A19" s="289"/>
      <c r="B19" s="285"/>
      <c r="C19" s="285"/>
      <c r="D19" s="286" t="s">
        <v>292</v>
      </c>
      <c r="E19" s="286"/>
      <c r="F19" s="286"/>
      <c r="G19" s="287">
        <v>60</v>
      </c>
      <c r="H19" s="287"/>
      <c r="I19" s="288">
        <v>0.2</v>
      </c>
      <c r="J19" s="288"/>
    </row>
    <row r="20" spans="1:10" ht="20.100000000000001" customHeight="1" x14ac:dyDescent="0.25">
      <c r="A20" s="289"/>
      <c r="B20" s="285"/>
      <c r="C20" s="285"/>
      <c r="D20" s="286" t="s">
        <v>293</v>
      </c>
      <c r="E20" s="286"/>
      <c r="F20" s="286"/>
      <c r="G20" s="287">
        <v>50</v>
      </c>
      <c r="H20" s="287"/>
      <c r="I20" s="288">
        <v>0.2</v>
      </c>
      <c r="J20" s="288"/>
    </row>
    <row r="21" spans="1:10" ht="20.100000000000001" customHeight="1" x14ac:dyDescent="0.25">
      <c r="A21" s="289"/>
      <c r="B21" s="285"/>
      <c r="C21" s="285"/>
      <c r="D21" s="286" t="s">
        <v>294</v>
      </c>
      <c r="E21" s="286"/>
      <c r="F21" s="286"/>
      <c r="G21" s="287">
        <v>50</v>
      </c>
      <c r="H21" s="287"/>
      <c r="I21" s="288">
        <v>0.2</v>
      </c>
      <c r="J21" s="288"/>
    </row>
    <row r="22" spans="1:10" ht="20.100000000000001" customHeight="1" x14ac:dyDescent="0.25">
      <c r="A22" s="289" t="s">
        <v>296</v>
      </c>
      <c r="B22" s="285" t="s">
        <v>297</v>
      </c>
      <c r="C22" s="285"/>
      <c r="D22" s="286" t="s">
        <v>290</v>
      </c>
      <c r="E22" s="286"/>
      <c r="F22" s="286"/>
      <c r="G22" s="287">
        <v>70</v>
      </c>
      <c r="H22" s="287"/>
      <c r="I22" s="288">
        <v>0.2</v>
      </c>
      <c r="J22" s="288"/>
    </row>
    <row r="23" spans="1:10" ht="20.100000000000001" customHeight="1" x14ac:dyDescent="0.25">
      <c r="A23" s="289"/>
      <c r="B23" s="285"/>
      <c r="C23" s="285"/>
      <c r="D23" s="286" t="s">
        <v>287</v>
      </c>
      <c r="E23" s="286"/>
      <c r="F23" s="286"/>
      <c r="G23" s="287">
        <v>70</v>
      </c>
      <c r="H23" s="287"/>
      <c r="I23" s="288">
        <v>0.2</v>
      </c>
      <c r="J23" s="288"/>
    </row>
    <row r="24" spans="1:10" ht="20.100000000000001" customHeight="1" x14ac:dyDescent="0.25">
      <c r="A24" s="289"/>
      <c r="B24" s="285"/>
      <c r="C24" s="285"/>
      <c r="D24" s="286" t="s">
        <v>291</v>
      </c>
      <c r="E24" s="286"/>
      <c r="F24" s="286"/>
      <c r="G24" s="287">
        <v>60</v>
      </c>
      <c r="H24" s="287"/>
      <c r="I24" s="288">
        <v>0.2</v>
      </c>
      <c r="J24" s="288"/>
    </row>
    <row r="25" spans="1:10" ht="20.100000000000001" customHeight="1" x14ac:dyDescent="0.25">
      <c r="A25" s="289"/>
      <c r="B25" s="285"/>
      <c r="C25" s="285"/>
      <c r="D25" s="286" t="s">
        <v>292</v>
      </c>
      <c r="E25" s="286"/>
      <c r="F25" s="286"/>
      <c r="G25" s="287">
        <v>60</v>
      </c>
      <c r="H25" s="287"/>
      <c r="I25" s="288">
        <v>0.2</v>
      </c>
      <c r="J25" s="288"/>
    </row>
    <row r="26" spans="1:10" ht="20.100000000000001" customHeight="1" x14ac:dyDescent="0.25">
      <c r="A26" s="289"/>
      <c r="B26" s="285"/>
      <c r="C26" s="285"/>
      <c r="D26" s="286" t="s">
        <v>293</v>
      </c>
      <c r="E26" s="286"/>
      <c r="F26" s="286"/>
      <c r="G26" s="287">
        <v>50</v>
      </c>
      <c r="H26" s="287"/>
      <c r="I26" s="288">
        <v>0.2</v>
      </c>
      <c r="J26" s="288"/>
    </row>
    <row r="27" spans="1:10" ht="20.100000000000001" customHeight="1" x14ac:dyDescent="0.25">
      <c r="A27" s="289"/>
      <c r="B27" s="285"/>
      <c r="C27" s="285"/>
      <c r="D27" s="286" t="s">
        <v>294</v>
      </c>
      <c r="E27" s="286"/>
      <c r="F27" s="286"/>
      <c r="G27" s="287">
        <v>50</v>
      </c>
      <c r="H27" s="287"/>
      <c r="I27" s="288">
        <v>0.2</v>
      </c>
      <c r="J27" s="288"/>
    </row>
    <row r="28" spans="1:10" ht="20.100000000000001" customHeight="1" x14ac:dyDescent="0.25">
      <c r="A28" s="289"/>
      <c r="B28" s="285" t="s">
        <v>298</v>
      </c>
      <c r="C28" s="285"/>
      <c r="D28" s="286" t="s">
        <v>286</v>
      </c>
      <c r="E28" s="286"/>
      <c r="F28" s="286"/>
      <c r="G28" s="287">
        <v>60</v>
      </c>
      <c r="H28" s="287"/>
      <c r="I28" s="288">
        <v>0.2</v>
      </c>
      <c r="J28" s="288"/>
    </row>
    <row r="29" spans="1:10" ht="20.100000000000001" customHeight="1" x14ac:dyDescent="0.25">
      <c r="A29" s="289"/>
      <c r="B29" s="285"/>
      <c r="C29" s="285"/>
      <c r="D29" s="286" t="s">
        <v>287</v>
      </c>
      <c r="E29" s="286"/>
      <c r="F29" s="286"/>
      <c r="G29" s="287">
        <v>60</v>
      </c>
      <c r="H29" s="287"/>
      <c r="I29" s="288">
        <v>0.2</v>
      </c>
      <c r="J29" s="288"/>
    </row>
    <row r="30" spans="1:10" ht="20.100000000000001" customHeight="1" x14ac:dyDescent="0.25">
      <c r="A30" s="289"/>
      <c r="B30" s="285"/>
      <c r="C30" s="285"/>
      <c r="D30" s="286" t="s">
        <v>291</v>
      </c>
      <c r="E30" s="286"/>
      <c r="F30" s="286"/>
      <c r="G30" s="287">
        <v>80</v>
      </c>
      <c r="H30" s="287"/>
      <c r="I30" s="288">
        <v>0.2</v>
      </c>
      <c r="J30" s="288"/>
    </row>
    <row r="31" spans="1:10" ht="20.100000000000001" customHeight="1" x14ac:dyDescent="0.25">
      <c r="A31" s="289"/>
      <c r="B31" s="285"/>
      <c r="C31" s="285"/>
      <c r="D31" s="286" t="s">
        <v>292</v>
      </c>
      <c r="E31" s="286"/>
      <c r="F31" s="286"/>
      <c r="G31" s="287">
        <v>80</v>
      </c>
      <c r="H31" s="287"/>
      <c r="I31" s="288">
        <v>0.2</v>
      </c>
      <c r="J31" s="288"/>
    </row>
    <row r="32" spans="1:10" ht="20.100000000000001" customHeight="1" x14ac:dyDescent="0.25">
      <c r="A32" s="289"/>
      <c r="B32" s="285" t="s">
        <v>299</v>
      </c>
      <c r="C32" s="285"/>
      <c r="D32" s="286" t="s">
        <v>286</v>
      </c>
      <c r="E32" s="286"/>
      <c r="F32" s="286"/>
      <c r="G32" s="287">
        <v>20</v>
      </c>
      <c r="H32" s="287"/>
      <c r="I32" s="288">
        <v>0.1</v>
      </c>
      <c r="J32" s="288"/>
    </row>
    <row r="33" spans="1:10" ht="20.100000000000001" customHeight="1" x14ac:dyDescent="0.25">
      <c r="A33" s="289"/>
      <c r="B33" s="285"/>
      <c r="C33" s="285"/>
      <c r="D33" s="286" t="s">
        <v>287</v>
      </c>
      <c r="E33" s="286"/>
      <c r="F33" s="286"/>
      <c r="G33" s="287">
        <v>20</v>
      </c>
      <c r="H33" s="287"/>
      <c r="I33" s="288">
        <v>0.1</v>
      </c>
      <c r="J33" s="288"/>
    </row>
    <row r="34" spans="1:10" ht="20.100000000000001" customHeight="1" x14ac:dyDescent="0.25">
      <c r="A34" s="289"/>
      <c r="B34" s="285"/>
      <c r="C34" s="285"/>
      <c r="D34" s="286" t="s">
        <v>292</v>
      </c>
      <c r="E34" s="286"/>
      <c r="F34" s="286"/>
      <c r="G34" s="287">
        <v>30</v>
      </c>
      <c r="H34" s="287"/>
      <c r="I34" s="288">
        <v>0.1</v>
      </c>
      <c r="J34" s="288"/>
    </row>
    <row r="35" spans="1:10" ht="20.100000000000001" customHeight="1" x14ac:dyDescent="0.25">
      <c r="A35" s="35"/>
      <c r="B35" s="35"/>
      <c r="C35" s="35"/>
      <c r="D35" s="35"/>
      <c r="E35" s="35"/>
    </row>
    <row r="36" spans="1:10" ht="20.100000000000001" customHeight="1" x14ac:dyDescent="0.25">
      <c r="A36" s="281" t="s">
        <v>81</v>
      </c>
      <c r="B36" s="281"/>
      <c r="C36" s="281"/>
      <c r="D36" s="281"/>
      <c r="E36" s="281"/>
      <c r="F36" s="281"/>
      <c r="G36" s="281"/>
      <c r="H36" s="281"/>
      <c r="I36" s="281"/>
      <c r="J36" s="281"/>
    </row>
    <row r="37" spans="1:10" ht="20.100000000000001" customHeight="1" x14ac:dyDescent="0.25">
      <c r="A37" s="281" t="s">
        <v>300</v>
      </c>
      <c r="B37" s="281"/>
      <c r="C37" s="281"/>
      <c r="D37" s="281"/>
      <c r="E37" s="281"/>
      <c r="F37" s="281"/>
      <c r="G37" s="281"/>
      <c r="H37" s="281"/>
      <c r="I37" s="281"/>
      <c r="J37" s="281"/>
    </row>
    <row r="38" spans="1:10" ht="20.100000000000001" customHeight="1" x14ac:dyDescent="0.25">
      <c r="A38" s="281" t="s">
        <v>301</v>
      </c>
      <c r="B38" s="281"/>
      <c r="C38" s="281"/>
      <c r="D38" s="281"/>
      <c r="E38" s="281"/>
      <c r="F38" s="281"/>
      <c r="G38" s="281"/>
      <c r="H38" s="281"/>
      <c r="I38" s="281"/>
      <c r="J38" s="281"/>
    </row>
    <row r="39" spans="1:10" ht="20.100000000000001" customHeight="1" x14ac:dyDescent="0.25">
      <c r="A39" s="281"/>
      <c r="B39" s="281"/>
      <c r="C39" s="281"/>
      <c r="D39" s="281"/>
      <c r="E39" s="281"/>
      <c r="F39" s="281"/>
      <c r="G39" s="281"/>
      <c r="H39" s="281"/>
      <c r="I39" s="281"/>
      <c r="J39" s="281"/>
    </row>
    <row r="42" spans="1:10" ht="20.100000000000001" customHeight="1" x14ac:dyDescent="0.25">
      <c r="A42" s="282" t="s">
        <v>302</v>
      </c>
      <c r="B42" s="282"/>
      <c r="C42" s="282"/>
      <c r="D42" s="282"/>
      <c r="E42" s="282"/>
      <c r="F42" s="282"/>
      <c r="G42" s="282"/>
      <c r="H42" s="282"/>
      <c r="I42" s="282"/>
      <c r="J42" s="282"/>
    </row>
    <row r="43" spans="1:10" ht="20.100000000000001" customHeight="1" thickBot="1" x14ac:dyDescent="0.3">
      <c r="A43" s="283"/>
      <c r="B43" s="283"/>
      <c r="C43" s="283"/>
      <c r="D43" s="283"/>
      <c r="E43" s="283"/>
      <c r="F43" s="283"/>
      <c r="G43" s="283"/>
      <c r="H43" s="283"/>
      <c r="I43" s="283"/>
      <c r="J43" s="283"/>
    </row>
    <row r="44" spans="1:10" ht="20.100000000000001" customHeight="1" x14ac:dyDescent="0.25">
      <c r="A44" s="41"/>
      <c r="B44" s="42"/>
      <c r="C44" s="42"/>
      <c r="D44" s="42"/>
      <c r="E44" s="42"/>
      <c r="F44" s="43"/>
      <c r="G44" s="43"/>
      <c r="H44" s="44"/>
      <c r="I44" s="44"/>
      <c r="J44" s="44"/>
    </row>
    <row r="45" spans="1:10" ht="20.100000000000001" customHeight="1" x14ac:dyDescent="0.25">
      <c r="A45" s="284" t="s">
        <v>303</v>
      </c>
      <c r="B45" s="284" t="s">
        <v>304</v>
      </c>
      <c r="C45" s="284"/>
      <c r="D45" s="284"/>
      <c r="E45" s="284" t="s">
        <v>305</v>
      </c>
      <c r="F45" s="284" t="s">
        <v>306</v>
      </c>
      <c r="G45" s="284"/>
      <c r="H45" s="284"/>
      <c r="I45" s="284"/>
      <c r="J45" s="284"/>
    </row>
    <row r="46" spans="1:10" ht="20.100000000000001" customHeight="1" x14ac:dyDescent="0.25">
      <c r="A46" s="284"/>
      <c r="B46" s="284"/>
      <c r="C46" s="284"/>
      <c r="D46" s="284"/>
      <c r="E46" s="284"/>
      <c r="F46" s="284"/>
      <c r="G46" s="284"/>
      <c r="H46" s="284"/>
      <c r="I46" s="284"/>
      <c r="J46" s="284"/>
    </row>
    <row r="47" spans="1:10" ht="20.100000000000001" customHeight="1" x14ac:dyDescent="0.25">
      <c r="A47" s="276" t="s">
        <v>307</v>
      </c>
      <c r="B47" s="277" t="s">
        <v>262</v>
      </c>
      <c r="C47" s="277"/>
      <c r="D47" s="277"/>
      <c r="E47" s="280">
        <v>0</v>
      </c>
      <c r="F47" s="279" t="s">
        <v>308</v>
      </c>
      <c r="G47" s="279"/>
      <c r="H47" s="279"/>
      <c r="I47" s="279"/>
      <c r="J47" s="279"/>
    </row>
    <row r="48" spans="1:10" ht="20.100000000000001" customHeight="1" x14ac:dyDescent="0.25">
      <c r="A48" s="276"/>
      <c r="B48" s="277"/>
      <c r="C48" s="277"/>
      <c r="D48" s="277"/>
      <c r="E48" s="280"/>
      <c r="F48" s="279"/>
      <c r="G48" s="279"/>
      <c r="H48" s="279"/>
      <c r="I48" s="279"/>
      <c r="J48" s="279"/>
    </row>
    <row r="49" spans="1:10" ht="20.100000000000001" customHeight="1" x14ac:dyDescent="0.25">
      <c r="A49" s="276"/>
      <c r="B49" s="277"/>
      <c r="C49" s="277"/>
      <c r="D49" s="277"/>
      <c r="E49" s="280"/>
      <c r="F49" s="279"/>
      <c r="G49" s="279"/>
      <c r="H49" s="279"/>
      <c r="I49" s="279"/>
      <c r="J49" s="279"/>
    </row>
    <row r="50" spans="1:10" ht="20.100000000000001" customHeight="1" x14ac:dyDescent="0.25">
      <c r="A50" s="276" t="s">
        <v>309</v>
      </c>
      <c r="B50" s="277" t="s">
        <v>310</v>
      </c>
      <c r="C50" s="277"/>
      <c r="D50" s="277"/>
      <c r="E50" s="280">
        <v>0.32</v>
      </c>
      <c r="F50" s="279" t="s">
        <v>311</v>
      </c>
      <c r="G50" s="279"/>
      <c r="H50" s="279"/>
      <c r="I50" s="279"/>
      <c r="J50" s="279"/>
    </row>
    <row r="51" spans="1:10" ht="20.100000000000001" customHeight="1" x14ac:dyDescent="0.25">
      <c r="A51" s="276"/>
      <c r="B51" s="277"/>
      <c r="C51" s="277"/>
      <c r="D51" s="277"/>
      <c r="E51" s="280"/>
      <c r="F51" s="279"/>
      <c r="G51" s="279"/>
      <c r="H51" s="279"/>
      <c r="I51" s="279"/>
      <c r="J51" s="279"/>
    </row>
    <row r="52" spans="1:10" ht="20.100000000000001" customHeight="1" x14ac:dyDescent="0.25">
      <c r="A52" s="276"/>
      <c r="B52" s="277"/>
      <c r="C52" s="277"/>
      <c r="D52" s="277"/>
      <c r="E52" s="280"/>
      <c r="F52" s="279"/>
      <c r="G52" s="279"/>
      <c r="H52" s="279"/>
      <c r="I52" s="279"/>
      <c r="J52" s="279"/>
    </row>
    <row r="53" spans="1:10" ht="20.100000000000001" customHeight="1" x14ac:dyDescent="0.25">
      <c r="A53" s="276" t="s">
        <v>312</v>
      </c>
      <c r="B53" s="277" t="s">
        <v>7</v>
      </c>
      <c r="C53" s="277"/>
      <c r="D53" s="277"/>
      <c r="E53" s="280">
        <v>2.52</v>
      </c>
      <c r="F53" s="279" t="s">
        <v>313</v>
      </c>
      <c r="G53" s="279"/>
      <c r="H53" s="279"/>
      <c r="I53" s="279"/>
      <c r="J53" s="279"/>
    </row>
    <row r="54" spans="1:10" ht="20.100000000000001" customHeight="1" x14ac:dyDescent="0.25">
      <c r="A54" s="276"/>
      <c r="B54" s="277"/>
      <c r="C54" s="277"/>
      <c r="D54" s="277"/>
      <c r="E54" s="280"/>
      <c r="F54" s="279"/>
      <c r="G54" s="279"/>
      <c r="H54" s="279"/>
      <c r="I54" s="279"/>
      <c r="J54" s="279"/>
    </row>
    <row r="55" spans="1:10" ht="20.100000000000001" customHeight="1" x14ac:dyDescent="0.25">
      <c r="A55" s="276"/>
      <c r="B55" s="277"/>
      <c r="C55" s="277"/>
      <c r="D55" s="277"/>
      <c r="E55" s="280"/>
      <c r="F55" s="279"/>
      <c r="G55" s="279"/>
      <c r="H55" s="279"/>
      <c r="I55" s="279"/>
      <c r="J55" s="279"/>
    </row>
    <row r="56" spans="1:10" ht="20.100000000000001" customHeight="1" x14ac:dyDescent="0.25">
      <c r="A56" s="276" t="s">
        <v>314</v>
      </c>
      <c r="B56" s="277" t="s">
        <v>315</v>
      </c>
      <c r="C56" s="277"/>
      <c r="D56" s="277"/>
      <c r="E56" s="280">
        <v>8.09</v>
      </c>
      <c r="F56" s="279" t="s">
        <v>316</v>
      </c>
      <c r="G56" s="279"/>
      <c r="H56" s="279"/>
      <c r="I56" s="279"/>
      <c r="J56" s="279"/>
    </row>
    <row r="57" spans="1:10" ht="20.100000000000001" customHeight="1" x14ac:dyDescent="0.25">
      <c r="A57" s="276"/>
      <c r="B57" s="277"/>
      <c r="C57" s="277"/>
      <c r="D57" s="277"/>
      <c r="E57" s="280"/>
      <c r="F57" s="279"/>
      <c r="G57" s="279"/>
      <c r="H57" s="279"/>
      <c r="I57" s="279"/>
      <c r="J57" s="279"/>
    </row>
    <row r="58" spans="1:10" ht="20.100000000000001" customHeight="1" x14ac:dyDescent="0.25">
      <c r="A58" s="276"/>
      <c r="B58" s="277"/>
      <c r="C58" s="277"/>
      <c r="D58" s="277"/>
      <c r="E58" s="280"/>
      <c r="F58" s="279"/>
      <c r="G58" s="279"/>
      <c r="H58" s="279"/>
      <c r="I58" s="279"/>
      <c r="J58" s="279"/>
    </row>
    <row r="59" spans="1:10" ht="20.100000000000001" customHeight="1" x14ac:dyDescent="0.25">
      <c r="A59" s="276" t="s">
        <v>317</v>
      </c>
      <c r="B59" s="277" t="s">
        <v>318</v>
      </c>
      <c r="C59" s="277"/>
      <c r="D59" s="277"/>
      <c r="E59" s="278">
        <v>18.100000000000001</v>
      </c>
      <c r="F59" s="279" t="s">
        <v>319</v>
      </c>
      <c r="G59" s="279"/>
      <c r="H59" s="279"/>
      <c r="I59" s="279"/>
      <c r="J59" s="279"/>
    </row>
    <row r="60" spans="1:10" ht="20.100000000000001" customHeight="1" x14ac:dyDescent="0.25">
      <c r="A60" s="276"/>
      <c r="B60" s="277"/>
      <c r="C60" s="277"/>
      <c r="D60" s="277"/>
      <c r="E60" s="278"/>
      <c r="F60" s="279"/>
      <c r="G60" s="279"/>
      <c r="H60" s="279"/>
      <c r="I60" s="279"/>
      <c r="J60" s="279"/>
    </row>
    <row r="61" spans="1:10" ht="20.100000000000001" customHeight="1" x14ac:dyDescent="0.25">
      <c r="A61" s="276"/>
      <c r="B61" s="277"/>
      <c r="C61" s="277"/>
      <c r="D61" s="277"/>
      <c r="E61" s="278"/>
      <c r="F61" s="279"/>
      <c r="G61" s="279"/>
      <c r="H61" s="279"/>
      <c r="I61" s="279"/>
      <c r="J61" s="279"/>
    </row>
    <row r="62" spans="1:10" ht="20.100000000000001" customHeight="1" x14ac:dyDescent="0.25">
      <c r="A62" s="276"/>
      <c r="B62" s="277"/>
      <c r="C62" s="277"/>
      <c r="D62" s="277"/>
      <c r="E62" s="278"/>
      <c r="F62" s="279"/>
      <c r="G62" s="279"/>
      <c r="H62" s="279"/>
      <c r="I62" s="279"/>
      <c r="J62" s="279"/>
    </row>
    <row r="63" spans="1:10" ht="20.100000000000001" customHeight="1" x14ac:dyDescent="0.25">
      <c r="A63" s="276" t="s">
        <v>320</v>
      </c>
      <c r="B63" s="277" t="s">
        <v>321</v>
      </c>
      <c r="C63" s="277"/>
      <c r="D63" s="277"/>
      <c r="E63" s="278">
        <v>33.200000000000003</v>
      </c>
      <c r="F63" s="279" t="s">
        <v>322</v>
      </c>
      <c r="G63" s="279"/>
      <c r="H63" s="279"/>
      <c r="I63" s="279"/>
      <c r="J63" s="279"/>
    </row>
    <row r="64" spans="1:10" ht="20.100000000000001" customHeight="1" x14ac:dyDescent="0.25">
      <c r="A64" s="276"/>
      <c r="B64" s="277"/>
      <c r="C64" s="277"/>
      <c r="D64" s="277"/>
      <c r="E64" s="278"/>
      <c r="F64" s="279"/>
      <c r="G64" s="279"/>
      <c r="H64" s="279"/>
      <c r="I64" s="279"/>
      <c r="J64" s="279"/>
    </row>
    <row r="65" spans="1:10" ht="20.100000000000001" customHeight="1" x14ac:dyDescent="0.25">
      <c r="A65" s="276"/>
      <c r="B65" s="277"/>
      <c r="C65" s="277"/>
      <c r="D65" s="277"/>
      <c r="E65" s="278"/>
      <c r="F65" s="279"/>
      <c r="G65" s="279"/>
      <c r="H65" s="279"/>
      <c r="I65" s="279"/>
      <c r="J65" s="279"/>
    </row>
    <row r="66" spans="1:10" ht="20.100000000000001" customHeight="1" x14ac:dyDescent="0.25">
      <c r="A66" s="276"/>
      <c r="B66" s="277"/>
      <c r="C66" s="277"/>
      <c r="D66" s="277"/>
      <c r="E66" s="278"/>
      <c r="F66" s="279"/>
      <c r="G66" s="279"/>
      <c r="H66" s="279"/>
      <c r="I66" s="279"/>
      <c r="J66" s="279"/>
    </row>
    <row r="67" spans="1:10" ht="20.100000000000001" customHeight="1" x14ac:dyDescent="0.25">
      <c r="A67" s="276"/>
      <c r="B67" s="277"/>
      <c r="C67" s="277"/>
      <c r="D67" s="277"/>
      <c r="E67" s="278"/>
      <c r="F67" s="279"/>
      <c r="G67" s="279"/>
      <c r="H67" s="279"/>
      <c r="I67" s="279"/>
      <c r="J67" s="279"/>
    </row>
    <row r="68" spans="1:10" ht="20.100000000000001" customHeight="1" x14ac:dyDescent="0.25">
      <c r="A68" s="276"/>
      <c r="B68" s="277"/>
      <c r="C68" s="277"/>
      <c r="D68" s="277"/>
      <c r="E68" s="278"/>
      <c r="F68" s="279"/>
      <c r="G68" s="279"/>
      <c r="H68" s="279"/>
      <c r="I68" s="279"/>
      <c r="J68" s="279"/>
    </row>
    <row r="69" spans="1:10" ht="20.100000000000001" customHeight="1" x14ac:dyDescent="0.25">
      <c r="A69" s="276" t="s">
        <v>323</v>
      </c>
      <c r="B69" s="277" t="s">
        <v>324</v>
      </c>
      <c r="C69" s="277"/>
      <c r="D69" s="277"/>
      <c r="E69" s="278">
        <v>52.6</v>
      </c>
      <c r="F69" s="279" t="s">
        <v>325</v>
      </c>
      <c r="G69" s="279"/>
      <c r="H69" s="279"/>
      <c r="I69" s="279"/>
      <c r="J69" s="279"/>
    </row>
    <row r="70" spans="1:10" ht="20.100000000000001" customHeight="1" x14ac:dyDescent="0.25">
      <c r="A70" s="276"/>
      <c r="B70" s="277"/>
      <c r="C70" s="277"/>
      <c r="D70" s="277"/>
      <c r="E70" s="278"/>
      <c r="F70" s="279"/>
      <c r="G70" s="279"/>
      <c r="H70" s="279"/>
      <c r="I70" s="279"/>
      <c r="J70" s="279"/>
    </row>
    <row r="71" spans="1:10" ht="20.100000000000001" customHeight="1" x14ac:dyDescent="0.25">
      <c r="A71" s="276"/>
      <c r="B71" s="277"/>
      <c r="C71" s="277"/>
      <c r="D71" s="277"/>
      <c r="E71" s="278"/>
      <c r="F71" s="279"/>
      <c r="G71" s="279"/>
      <c r="H71" s="279"/>
      <c r="I71" s="279"/>
      <c r="J71" s="279"/>
    </row>
    <row r="72" spans="1:10" ht="20.100000000000001" customHeight="1" x14ac:dyDescent="0.25">
      <c r="A72" s="276"/>
      <c r="B72" s="277"/>
      <c r="C72" s="277"/>
      <c r="D72" s="277"/>
      <c r="E72" s="278"/>
      <c r="F72" s="279"/>
      <c r="G72" s="279"/>
      <c r="H72" s="279"/>
      <c r="I72" s="279"/>
      <c r="J72" s="279"/>
    </row>
    <row r="73" spans="1:10" ht="20.100000000000001" customHeight="1" x14ac:dyDescent="0.25">
      <c r="A73" s="276"/>
      <c r="B73" s="277"/>
      <c r="C73" s="277"/>
      <c r="D73" s="277"/>
      <c r="E73" s="278"/>
      <c r="F73" s="279"/>
      <c r="G73" s="279"/>
      <c r="H73" s="279"/>
      <c r="I73" s="279"/>
      <c r="J73" s="279"/>
    </row>
    <row r="74" spans="1:10" ht="20.100000000000001" customHeight="1" x14ac:dyDescent="0.25">
      <c r="A74" s="276"/>
      <c r="B74" s="277"/>
      <c r="C74" s="277"/>
      <c r="D74" s="277"/>
      <c r="E74" s="278"/>
      <c r="F74" s="279"/>
      <c r="G74" s="279"/>
      <c r="H74" s="279"/>
      <c r="I74" s="279"/>
      <c r="J74" s="279"/>
    </row>
    <row r="75" spans="1:10" ht="20.100000000000001" customHeight="1" x14ac:dyDescent="0.25">
      <c r="A75" s="276" t="s">
        <v>326</v>
      </c>
      <c r="B75" s="277" t="s">
        <v>327</v>
      </c>
      <c r="C75" s="277"/>
      <c r="D75" s="277"/>
      <c r="E75" s="278">
        <v>75.2</v>
      </c>
      <c r="F75" s="279" t="s">
        <v>328</v>
      </c>
      <c r="G75" s="279"/>
      <c r="H75" s="279"/>
      <c r="I75" s="279"/>
      <c r="J75" s="279"/>
    </row>
    <row r="76" spans="1:10" ht="20.100000000000001" customHeight="1" x14ac:dyDescent="0.25">
      <c r="A76" s="276"/>
      <c r="B76" s="277"/>
      <c r="C76" s="277"/>
      <c r="D76" s="277"/>
      <c r="E76" s="278"/>
      <c r="F76" s="279"/>
      <c r="G76" s="279"/>
      <c r="H76" s="279"/>
      <c r="I76" s="279"/>
      <c r="J76" s="279"/>
    </row>
    <row r="77" spans="1:10" ht="20.100000000000001" customHeight="1" x14ac:dyDescent="0.25">
      <c r="A77" s="276"/>
      <c r="B77" s="277"/>
      <c r="C77" s="277"/>
      <c r="D77" s="277"/>
      <c r="E77" s="278"/>
      <c r="F77" s="279"/>
      <c r="G77" s="279"/>
      <c r="H77" s="279"/>
      <c r="I77" s="279"/>
      <c r="J77" s="279"/>
    </row>
    <row r="78" spans="1:10" ht="20.100000000000001" customHeight="1" x14ac:dyDescent="0.25">
      <c r="A78" s="276"/>
      <c r="B78" s="277"/>
      <c r="C78" s="277"/>
      <c r="D78" s="277"/>
      <c r="E78" s="278"/>
      <c r="F78" s="279"/>
      <c r="G78" s="279"/>
      <c r="H78" s="279"/>
      <c r="I78" s="279"/>
      <c r="J78" s="279"/>
    </row>
    <row r="79" spans="1:10" ht="20.100000000000001" customHeight="1" thickBot="1" x14ac:dyDescent="0.3">
      <c r="A79" s="45" t="s">
        <v>83</v>
      </c>
      <c r="B79" s="274" t="s">
        <v>329</v>
      </c>
      <c r="C79" s="274"/>
      <c r="D79" s="274"/>
      <c r="E79" s="46">
        <v>100</v>
      </c>
      <c r="F79" s="275" t="s">
        <v>330</v>
      </c>
      <c r="G79" s="275"/>
      <c r="H79" s="275"/>
      <c r="I79" s="275"/>
      <c r="J79" s="275"/>
    </row>
    <row r="80" spans="1:10" ht="20.100000000000001" customHeight="1" x14ac:dyDescent="0.25">
      <c r="A80" s="35"/>
      <c r="B80" s="35"/>
      <c r="C80" s="35"/>
      <c r="D80" s="35"/>
    </row>
    <row r="81" spans="1:10" ht="20.100000000000001" customHeight="1" x14ac:dyDescent="0.25">
      <c r="A81" s="260" t="s">
        <v>81</v>
      </c>
      <c r="B81" s="260"/>
      <c r="C81" s="260"/>
      <c r="D81" s="260"/>
      <c r="E81" s="260"/>
      <c r="F81" s="260"/>
      <c r="G81" s="260"/>
      <c r="H81" s="260"/>
      <c r="I81" s="260"/>
      <c r="J81" s="260"/>
    </row>
    <row r="82" spans="1:10" ht="20.100000000000001" customHeight="1" x14ac:dyDescent="0.25">
      <c r="A82" s="260" t="s">
        <v>331</v>
      </c>
      <c r="B82" s="260"/>
      <c r="C82" s="260"/>
      <c r="D82" s="260"/>
      <c r="E82" s="260"/>
      <c r="F82" s="260"/>
      <c r="G82" s="260"/>
      <c r="H82" s="260"/>
      <c r="I82" s="260"/>
      <c r="J82" s="260"/>
    </row>
    <row r="83" spans="1:10" ht="20.100000000000001" customHeight="1" x14ac:dyDescent="0.25">
      <c r="A83" s="260" t="s">
        <v>332</v>
      </c>
      <c r="B83" s="260"/>
      <c r="C83" s="260"/>
      <c r="D83" s="260"/>
      <c r="E83" s="260"/>
      <c r="F83" s="260"/>
      <c r="G83" s="260"/>
      <c r="H83" s="260"/>
      <c r="I83" s="260"/>
      <c r="J83" s="260"/>
    </row>
    <row r="84" spans="1:10" ht="20.100000000000001" customHeight="1" x14ac:dyDescent="0.25">
      <c r="A84" s="260" t="s">
        <v>333</v>
      </c>
      <c r="B84" s="260"/>
      <c r="C84" s="260"/>
      <c r="D84" s="260"/>
      <c r="E84" s="260"/>
      <c r="F84" s="260"/>
      <c r="G84" s="260"/>
      <c r="H84" s="260"/>
      <c r="I84" s="260"/>
      <c r="J84" s="260"/>
    </row>
    <row r="86" spans="1:10" ht="20.100000000000001" customHeight="1" x14ac:dyDescent="0.25">
      <c r="A86" s="260" t="s">
        <v>274</v>
      </c>
      <c r="B86" s="260"/>
      <c r="C86" s="260"/>
      <c r="D86" s="260"/>
      <c r="E86" s="260"/>
      <c r="F86" s="260"/>
      <c r="G86" s="260"/>
      <c r="H86" s="260"/>
      <c r="I86" s="260"/>
      <c r="J86" s="260"/>
    </row>
    <row r="87" spans="1:10" ht="20.100000000000001" customHeight="1" x14ac:dyDescent="0.25">
      <c r="A87" s="260" t="s">
        <v>334</v>
      </c>
      <c r="B87" s="260"/>
      <c r="C87" s="260"/>
      <c r="D87" s="260"/>
      <c r="E87" s="260"/>
      <c r="F87" s="260"/>
      <c r="G87" s="260"/>
      <c r="H87" s="260"/>
      <c r="I87" s="260"/>
      <c r="J87" s="260"/>
    </row>
    <row r="88" spans="1:10" ht="20.100000000000001" customHeight="1" x14ac:dyDescent="0.25">
      <c r="A88" s="260"/>
      <c r="B88" s="260"/>
      <c r="C88" s="260"/>
      <c r="D88" s="260"/>
      <c r="E88" s="260"/>
      <c r="F88" s="260"/>
      <c r="G88" s="260"/>
      <c r="H88" s="260"/>
      <c r="I88" s="260"/>
      <c r="J88" s="260"/>
    </row>
    <row r="89" spans="1:10" ht="20.100000000000001" customHeight="1" x14ac:dyDescent="0.25">
      <c r="A89" s="260"/>
      <c r="B89" s="260"/>
      <c r="C89" s="260"/>
      <c r="D89" s="260"/>
      <c r="E89" s="260"/>
      <c r="F89" s="260"/>
      <c r="G89" s="260"/>
      <c r="H89" s="260"/>
      <c r="I89" s="260"/>
      <c r="J89" s="260"/>
    </row>
    <row r="92" spans="1:10" ht="20.100000000000001" customHeight="1" x14ac:dyDescent="0.25">
      <c r="A92" s="273" t="s">
        <v>335</v>
      </c>
      <c r="B92" s="273"/>
      <c r="C92" s="273"/>
      <c r="D92" s="273"/>
      <c r="E92" s="273"/>
      <c r="F92" s="273"/>
      <c r="G92" s="273"/>
      <c r="H92" s="273"/>
      <c r="I92" s="273"/>
      <c r="J92" s="273"/>
    </row>
    <row r="94" spans="1:10" ht="20.100000000000001" customHeight="1" x14ac:dyDescent="0.25">
      <c r="A94" s="260" t="s">
        <v>336</v>
      </c>
      <c r="B94" s="260"/>
      <c r="C94" s="260"/>
      <c r="D94" s="260"/>
      <c r="E94" s="260"/>
      <c r="F94" s="260"/>
      <c r="G94" s="260"/>
      <c r="H94" s="260"/>
      <c r="I94" s="260"/>
      <c r="J94" s="260"/>
    </row>
    <row r="95" spans="1:10" ht="20.100000000000001" customHeight="1" x14ac:dyDescent="0.25">
      <c r="A95" s="260"/>
      <c r="B95" s="260"/>
      <c r="C95" s="260"/>
      <c r="D95" s="260"/>
      <c r="E95" s="260"/>
      <c r="F95" s="260"/>
      <c r="G95" s="260"/>
      <c r="H95" s="260"/>
      <c r="I95" s="260"/>
      <c r="J95" s="260"/>
    </row>
    <row r="96" spans="1:10" ht="20.100000000000001" customHeight="1" x14ac:dyDescent="0.25">
      <c r="A96" s="260"/>
      <c r="B96" s="260"/>
      <c r="C96" s="260"/>
      <c r="D96" s="260"/>
      <c r="E96" s="260"/>
      <c r="F96" s="260"/>
      <c r="G96" s="260"/>
      <c r="H96" s="260"/>
      <c r="I96" s="260"/>
      <c r="J96" s="260"/>
    </row>
    <row r="97" spans="1:10" ht="20.100000000000001" customHeight="1" x14ac:dyDescent="0.25">
      <c r="A97" s="260"/>
      <c r="B97" s="260"/>
      <c r="C97" s="260"/>
      <c r="D97" s="260"/>
      <c r="E97" s="260"/>
      <c r="F97" s="260"/>
      <c r="G97" s="260"/>
      <c r="H97" s="260"/>
      <c r="I97" s="260"/>
      <c r="J97" s="260"/>
    </row>
    <row r="98" spans="1:10" ht="20.100000000000001" customHeight="1" x14ac:dyDescent="0.25">
      <c r="A98" s="260"/>
      <c r="B98" s="260"/>
      <c r="C98" s="260"/>
      <c r="D98" s="260"/>
      <c r="E98" s="260"/>
      <c r="F98" s="260"/>
      <c r="G98" s="260"/>
      <c r="H98" s="260"/>
      <c r="I98" s="260"/>
      <c r="J98" s="260"/>
    </row>
    <row r="99" spans="1:10" ht="20.100000000000001" customHeight="1" x14ac:dyDescent="0.25">
      <c r="A99" s="260"/>
      <c r="B99" s="260"/>
      <c r="C99" s="260"/>
      <c r="D99" s="260"/>
      <c r="E99" s="260"/>
      <c r="F99" s="260"/>
      <c r="G99" s="260"/>
      <c r="H99" s="260"/>
      <c r="I99" s="260"/>
      <c r="J99" s="260"/>
    </row>
    <row r="101" spans="1:10" ht="20.100000000000001" customHeight="1" x14ac:dyDescent="0.25">
      <c r="A101" s="267" t="s">
        <v>337</v>
      </c>
      <c r="B101" s="267"/>
      <c r="C101" s="267"/>
      <c r="D101" s="267"/>
      <c r="E101" s="267"/>
      <c r="F101" s="267"/>
      <c r="G101" s="267"/>
      <c r="H101" s="267"/>
      <c r="I101" s="267"/>
      <c r="J101" s="267"/>
    </row>
    <row r="102" spans="1:10" ht="20.100000000000001" customHeight="1" x14ac:dyDescent="0.25">
      <c r="A102" s="267"/>
      <c r="B102" s="267"/>
      <c r="C102" s="267"/>
      <c r="D102" s="267"/>
      <c r="E102" s="267"/>
      <c r="F102" s="267"/>
      <c r="G102" s="267"/>
      <c r="H102" s="267"/>
      <c r="I102" s="267"/>
      <c r="J102" s="267"/>
    </row>
    <row r="103" spans="1:10" ht="20.100000000000001" customHeight="1" x14ac:dyDescent="0.25">
      <c r="A103" s="267"/>
      <c r="B103" s="267"/>
      <c r="C103" s="267"/>
      <c r="D103" s="267"/>
      <c r="E103" s="267"/>
      <c r="F103" s="267"/>
      <c r="G103" s="267"/>
      <c r="H103" s="267"/>
      <c r="I103" s="267"/>
      <c r="J103" s="267"/>
    </row>
    <row r="104" spans="1:10" ht="20.100000000000001" customHeight="1" x14ac:dyDescent="0.25">
      <c r="A104" s="267" t="s">
        <v>338</v>
      </c>
      <c r="B104" s="267"/>
      <c r="C104" s="267" t="s">
        <v>339</v>
      </c>
      <c r="D104" s="267"/>
      <c r="E104" s="267" t="s">
        <v>340</v>
      </c>
      <c r="F104" s="267"/>
      <c r="G104" s="267" t="s">
        <v>341</v>
      </c>
      <c r="H104" s="267"/>
      <c r="I104" s="267"/>
      <c r="J104" s="267"/>
    </row>
    <row r="105" spans="1:10" ht="20.100000000000001" customHeight="1" x14ac:dyDescent="0.25">
      <c r="A105" s="267"/>
      <c r="B105" s="267"/>
      <c r="C105" s="267"/>
      <c r="D105" s="267"/>
      <c r="E105" s="267"/>
      <c r="F105" s="267"/>
      <c r="G105" s="267"/>
      <c r="H105" s="267"/>
      <c r="I105" s="267"/>
      <c r="J105" s="267"/>
    </row>
    <row r="106" spans="1:10" ht="20.100000000000001" customHeight="1" x14ac:dyDescent="0.25">
      <c r="A106" s="267"/>
      <c r="B106" s="267"/>
      <c r="C106" s="267"/>
      <c r="D106" s="267"/>
      <c r="E106" s="267"/>
      <c r="F106" s="267"/>
      <c r="G106" s="267" t="s">
        <v>342</v>
      </c>
      <c r="H106" s="267"/>
      <c r="I106" s="267" t="s">
        <v>343</v>
      </c>
      <c r="J106" s="267"/>
    </row>
    <row r="107" spans="1:10" ht="20.100000000000001" customHeight="1" x14ac:dyDescent="0.25">
      <c r="A107" s="271">
        <v>0</v>
      </c>
      <c r="B107" s="271"/>
      <c r="C107" s="265" t="s">
        <v>307</v>
      </c>
      <c r="D107" s="265"/>
      <c r="E107" s="272">
        <v>1</v>
      </c>
      <c r="F107" s="272"/>
      <c r="G107" s="272" t="s">
        <v>344</v>
      </c>
      <c r="H107" s="272"/>
      <c r="I107" s="272" t="s">
        <v>345</v>
      </c>
      <c r="J107" s="272"/>
    </row>
    <row r="108" spans="1:10" ht="20.100000000000001" customHeight="1" x14ac:dyDescent="0.25">
      <c r="A108" s="271">
        <v>-3.2000000000000002E-3</v>
      </c>
      <c r="B108" s="271"/>
      <c r="C108" s="265" t="s">
        <v>309</v>
      </c>
      <c r="D108" s="265"/>
      <c r="E108" s="272">
        <v>1.5</v>
      </c>
      <c r="F108" s="272"/>
      <c r="G108" s="272" t="s">
        <v>346</v>
      </c>
      <c r="H108" s="272"/>
      <c r="I108" s="272" t="s">
        <v>347</v>
      </c>
      <c r="J108" s="272"/>
    </row>
    <row r="109" spans="1:10" ht="20.100000000000001" customHeight="1" x14ac:dyDescent="0.25">
      <c r="A109" s="271">
        <v>-2.52E-2</v>
      </c>
      <c r="B109" s="271"/>
      <c r="C109" s="265" t="s">
        <v>312</v>
      </c>
      <c r="D109" s="265"/>
      <c r="E109" s="272">
        <v>2</v>
      </c>
      <c r="F109" s="272"/>
      <c r="G109" s="272" t="s">
        <v>68</v>
      </c>
      <c r="H109" s="272"/>
      <c r="I109" s="272" t="s">
        <v>309</v>
      </c>
      <c r="J109" s="272"/>
    </row>
    <row r="110" spans="1:10" ht="20.100000000000001" customHeight="1" x14ac:dyDescent="0.25">
      <c r="A110" s="271">
        <v>-8.09E-2</v>
      </c>
      <c r="B110" s="271"/>
      <c r="C110" s="265" t="s">
        <v>314</v>
      </c>
      <c r="D110" s="265"/>
      <c r="E110" s="272">
        <v>2.5</v>
      </c>
      <c r="F110" s="272"/>
      <c r="G110" s="272" t="s">
        <v>348</v>
      </c>
      <c r="H110" s="272"/>
      <c r="I110" s="272" t="s">
        <v>83</v>
      </c>
      <c r="J110" s="272"/>
    </row>
    <row r="111" spans="1:10" ht="20.100000000000001" customHeight="1" x14ac:dyDescent="0.25">
      <c r="A111" s="271">
        <v>-0.18099999999999999</v>
      </c>
      <c r="B111" s="271"/>
      <c r="C111" s="265" t="s">
        <v>317</v>
      </c>
      <c r="D111" s="265"/>
      <c r="E111" s="272">
        <v>3</v>
      </c>
      <c r="F111" s="272"/>
      <c r="G111" s="272" t="s">
        <v>7</v>
      </c>
      <c r="H111" s="272"/>
      <c r="I111" s="272" t="s">
        <v>349</v>
      </c>
      <c r="J111" s="272"/>
    </row>
    <row r="112" spans="1:10" ht="20.100000000000001" customHeight="1" x14ac:dyDescent="0.25">
      <c r="A112" s="271">
        <v>-0.33200000000000002</v>
      </c>
      <c r="B112" s="271"/>
      <c r="C112" s="265" t="s">
        <v>320</v>
      </c>
      <c r="D112" s="265"/>
      <c r="E112" s="272">
        <v>3.5</v>
      </c>
      <c r="F112" s="272"/>
      <c r="G112" s="272" t="s">
        <v>350</v>
      </c>
      <c r="H112" s="272"/>
      <c r="I112" s="272" t="s">
        <v>314</v>
      </c>
      <c r="J112" s="272"/>
    </row>
    <row r="113" spans="1:10" ht="20.100000000000001" customHeight="1" x14ac:dyDescent="0.25">
      <c r="A113" s="271">
        <v>-0.52600000000000002</v>
      </c>
      <c r="B113" s="271"/>
      <c r="C113" s="265" t="s">
        <v>323</v>
      </c>
      <c r="D113" s="265"/>
      <c r="E113" s="272">
        <v>4</v>
      </c>
      <c r="F113" s="272"/>
      <c r="G113" s="272" t="s">
        <v>351</v>
      </c>
      <c r="H113" s="272"/>
      <c r="I113" s="272" t="s">
        <v>352</v>
      </c>
      <c r="J113" s="272"/>
    </row>
    <row r="114" spans="1:10" ht="20.100000000000001" customHeight="1" x14ac:dyDescent="0.25">
      <c r="A114" s="271">
        <v>-0.752</v>
      </c>
      <c r="B114" s="271"/>
      <c r="C114" s="265" t="s">
        <v>326</v>
      </c>
      <c r="D114" s="265"/>
      <c r="E114" s="272">
        <v>4.5</v>
      </c>
      <c r="F114" s="272"/>
      <c r="G114" s="272" t="s">
        <v>353</v>
      </c>
      <c r="H114" s="272"/>
      <c r="I114" s="272" t="s">
        <v>354</v>
      </c>
      <c r="J114" s="272"/>
    </row>
    <row r="115" spans="1:10" ht="20.100000000000001" customHeight="1" x14ac:dyDescent="0.25">
      <c r="A115" s="271">
        <v>-1</v>
      </c>
      <c r="B115" s="271"/>
      <c r="C115" s="265" t="s">
        <v>83</v>
      </c>
      <c r="D115" s="265"/>
      <c r="E115" s="272">
        <v>5</v>
      </c>
      <c r="F115" s="272"/>
      <c r="G115" s="272" t="s">
        <v>355</v>
      </c>
      <c r="H115" s="272"/>
      <c r="I115" s="272" t="s">
        <v>356</v>
      </c>
      <c r="J115" s="272"/>
    </row>
    <row r="118" spans="1:10" ht="20.100000000000001" customHeight="1" x14ac:dyDescent="0.25">
      <c r="A118" s="267" t="s">
        <v>357</v>
      </c>
      <c r="B118" s="268" t="s">
        <v>358</v>
      </c>
      <c r="C118" s="269"/>
      <c r="D118" s="269"/>
      <c r="E118" s="269"/>
      <c r="F118" s="269"/>
      <c r="G118" s="269"/>
      <c r="H118" s="269"/>
      <c r="I118" s="269"/>
      <c r="J118" s="270"/>
    </row>
    <row r="119" spans="1:10" ht="20.100000000000001" customHeight="1" x14ac:dyDescent="0.25">
      <c r="A119" s="267"/>
      <c r="B119" s="265" t="s">
        <v>359</v>
      </c>
      <c r="C119" s="265"/>
      <c r="D119" s="265"/>
      <c r="E119" s="265"/>
      <c r="F119" s="265"/>
      <c r="G119" s="265"/>
      <c r="H119" s="265"/>
      <c r="I119" s="265"/>
      <c r="J119" s="265"/>
    </row>
    <row r="120" spans="1:10" ht="20.100000000000001" customHeight="1" x14ac:dyDescent="0.25">
      <c r="A120" s="267"/>
      <c r="B120" s="267" t="s">
        <v>360</v>
      </c>
      <c r="C120" s="267"/>
      <c r="D120" s="267"/>
      <c r="E120" s="267"/>
      <c r="F120" s="267"/>
      <c r="G120" s="267"/>
      <c r="H120" s="267"/>
      <c r="I120" s="267"/>
      <c r="J120" s="267"/>
    </row>
    <row r="121" spans="1:10" ht="20.100000000000001" customHeight="1" x14ac:dyDescent="0.25">
      <c r="A121" s="267"/>
      <c r="B121" s="47" t="s">
        <v>307</v>
      </c>
      <c r="C121" s="47" t="s">
        <v>309</v>
      </c>
      <c r="D121" s="47" t="s">
        <v>312</v>
      </c>
      <c r="E121" s="47" t="s">
        <v>314</v>
      </c>
      <c r="F121" s="47" t="s">
        <v>317</v>
      </c>
      <c r="G121" s="47" t="s">
        <v>320</v>
      </c>
      <c r="H121" s="47" t="s">
        <v>323</v>
      </c>
      <c r="I121" s="47" t="s">
        <v>326</v>
      </c>
      <c r="J121" s="47" t="s">
        <v>83</v>
      </c>
    </row>
    <row r="122" spans="1:10" ht="20.100000000000001" customHeight="1" x14ac:dyDescent="0.25">
      <c r="A122" s="48">
        <v>0</v>
      </c>
      <c r="B122" s="49">
        <v>0</v>
      </c>
      <c r="C122" s="49">
        <v>0.32</v>
      </c>
      <c r="D122" s="49">
        <v>2.52</v>
      </c>
      <c r="E122" s="49">
        <v>8.09</v>
      </c>
      <c r="F122" s="49">
        <v>18.100000000000001</v>
      </c>
      <c r="G122" s="49">
        <v>33.200000000000003</v>
      </c>
      <c r="H122" s="49">
        <v>52.6</v>
      </c>
      <c r="I122" s="49">
        <v>75.2</v>
      </c>
      <c r="J122" s="49">
        <v>100</v>
      </c>
    </row>
    <row r="123" spans="1:10" ht="20.100000000000001" customHeight="1" x14ac:dyDescent="0.25">
      <c r="A123" s="48">
        <f>A122+0.02</f>
        <v>0.02</v>
      </c>
      <c r="B123" s="49">
        <f>((1/2)*((A123)+(A123^2)))*100</f>
        <v>1.02</v>
      </c>
      <c r="C123" s="49">
        <f>$B123+((100-$B123)*C$122/100)</f>
        <v>1.3367360000000001</v>
      </c>
      <c r="D123" s="49">
        <f t="shared" ref="D123:J138" si="0">$B123+((100-$B123)*D$122/100)</f>
        <v>3.5142960000000003</v>
      </c>
      <c r="E123" s="49">
        <f t="shared" si="0"/>
        <v>9.0274819999999991</v>
      </c>
      <c r="F123" s="49">
        <f t="shared" si="0"/>
        <v>18.935380000000002</v>
      </c>
      <c r="G123" s="49">
        <f t="shared" si="0"/>
        <v>33.881360000000008</v>
      </c>
      <c r="H123" s="49">
        <f t="shared" si="0"/>
        <v>53.083480000000002</v>
      </c>
      <c r="I123" s="49">
        <f t="shared" si="0"/>
        <v>75.452960000000004</v>
      </c>
      <c r="J123" s="49">
        <f t="shared" si="0"/>
        <v>100</v>
      </c>
    </row>
    <row r="124" spans="1:10" ht="20.100000000000001" customHeight="1" x14ac:dyDescent="0.25">
      <c r="A124" s="48">
        <f t="shared" ref="A124:A172" si="1">A123+0.02</f>
        <v>0.04</v>
      </c>
      <c r="B124" s="49">
        <f t="shared" ref="B124:B172" si="2">((1/2)*((A124)+(A124^2)))*100</f>
        <v>2.08</v>
      </c>
      <c r="C124" s="49">
        <f t="shared" ref="C124:J155" si="3">$B124+((100-$B124)*C$122/100)</f>
        <v>2.3933439999999999</v>
      </c>
      <c r="D124" s="49">
        <f t="shared" si="0"/>
        <v>4.5475840000000005</v>
      </c>
      <c r="E124" s="49">
        <f t="shared" si="0"/>
        <v>10.001728</v>
      </c>
      <c r="F124" s="49">
        <f t="shared" si="0"/>
        <v>19.803519999999999</v>
      </c>
      <c r="G124" s="49">
        <f t="shared" si="0"/>
        <v>34.589440000000003</v>
      </c>
      <c r="H124" s="49">
        <f t="shared" si="0"/>
        <v>53.585920000000002</v>
      </c>
      <c r="I124" s="49">
        <f t="shared" si="0"/>
        <v>75.71584</v>
      </c>
      <c r="J124" s="49">
        <f t="shared" si="0"/>
        <v>100</v>
      </c>
    </row>
    <row r="125" spans="1:10" ht="20.100000000000001" customHeight="1" x14ac:dyDescent="0.25">
      <c r="A125" s="48">
        <f t="shared" si="1"/>
        <v>0.06</v>
      </c>
      <c r="B125" s="49">
        <f t="shared" si="2"/>
        <v>3.18</v>
      </c>
      <c r="C125" s="49">
        <f t="shared" si="3"/>
        <v>3.489824</v>
      </c>
      <c r="D125" s="49">
        <f t="shared" si="0"/>
        <v>5.6198639999999997</v>
      </c>
      <c r="E125" s="49">
        <f t="shared" si="0"/>
        <v>11.012737999999999</v>
      </c>
      <c r="F125" s="49">
        <f t="shared" si="0"/>
        <v>20.704419999999999</v>
      </c>
      <c r="G125" s="49">
        <f t="shared" si="0"/>
        <v>35.324239999999996</v>
      </c>
      <c r="H125" s="49">
        <f t="shared" si="0"/>
        <v>54.107320000000001</v>
      </c>
      <c r="I125" s="49">
        <f t="shared" si="0"/>
        <v>75.988640000000004</v>
      </c>
      <c r="J125" s="49">
        <f t="shared" si="0"/>
        <v>100</v>
      </c>
    </row>
    <row r="126" spans="1:10" ht="20.100000000000001" customHeight="1" x14ac:dyDescent="0.25">
      <c r="A126" s="48">
        <f t="shared" si="1"/>
        <v>0.08</v>
      </c>
      <c r="B126" s="49">
        <f t="shared" si="2"/>
        <v>4.32</v>
      </c>
      <c r="C126" s="49">
        <f t="shared" si="3"/>
        <v>4.6261760000000001</v>
      </c>
      <c r="D126" s="49">
        <f t="shared" si="0"/>
        <v>6.7311360000000011</v>
      </c>
      <c r="E126" s="49">
        <f t="shared" si="0"/>
        <v>12.060511999999999</v>
      </c>
      <c r="F126" s="49">
        <f t="shared" si="0"/>
        <v>21.638080000000002</v>
      </c>
      <c r="G126" s="49">
        <f t="shared" si="0"/>
        <v>36.085760000000008</v>
      </c>
      <c r="H126" s="49">
        <f t="shared" si="0"/>
        <v>54.647680000000008</v>
      </c>
      <c r="I126" s="49">
        <f t="shared" si="0"/>
        <v>76.271360000000016</v>
      </c>
      <c r="J126" s="49">
        <f t="shared" si="0"/>
        <v>100</v>
      </c>
    </row>
    <row r="127" spans="1:10" ht="20.100000000000001" customHeight="1" x14ac:dyDescent="0.25">
      <c r="A127" s="48">
        <f t="shared" si="1"/>
        <v>0.1</v>
      </c>
      <c r="B127" s="49">
        <f t="shared" si="2"/>
        <v>5.5000000000000009</v>
      </c>
      <c r="C127" s="49">
        <f t="shared" si="3"/>
        <v>5.8024000000000004</v>
      </c>
      <c r="D127" s="49">
        <f t="shared" si="0"/>
        <v>7.8814000000000011</v>
      </c>
      <c r="E127" s="49">
        <f t="shared" si="0"/>
        <v>13.145050000000001</v>
      </c>
      <c r="F127" s="49">
        <f t="shared" si="0"/>
        <v>22.604500000000002</v>
      </c>
      <c r="G127" s="49">
        <f t="shared" si="0"/>
        <v>36.874000000000002</v>
      </c>
      <c r="H127" s="49">
        <f t="shared" si="0"/>
        <v>55.207000000000001</v>
      </c>
      <c r="I127" s="49">
        <f t="shared" si="0"/>
        <v>76.564000000000007</v>
      </c>
      <c r="J127" s="49">
        <f t="shared" si="0"/>
        <v>100</v>
      </c>
    </row>
    <row r="128" spans="1:10" ht="20.100000000000001" customHeight="1" x14ac:dyDescent="0.25">
      <c r="A128" s="48">
        <f t="shared" si="1"/>
        <v>0.12000000000000001</v>
      </c>
      <c r="B128" s="49">
        <f t="shared" si="2"/>
        <v>6.7200000000000006</v>
      </c>
      <c r="C128" s="49">
        <f t="shared" si="3"/>
        <v>7.0184960000000007</v>
      </c>
      <c r="D128" s="49">
        <f t="shared" si="0"/>
        <v>9.0706560000000014</v>
      </c>
      <c r="E128" s="49">
        <f t="shared" si="0"/>
        <v>14.266352000000001</v>
      </c>
      <c r="F128" s="49">
        <f t="shared" si="0"/>
        <v>23.603680000000004</v>
      </c>
      <c r="G128" s="49">
        <f t="shared" si="0"/>
        <v>37.688960000000002</v>
      </c>
      <c r="H128" s="49">
        <f t="shared" si="0"/>
        <v>55.78528</v>
      </c>
      <c r="I128" s="49">
        <f t="shared" si="0"/>
        <v>76.866559999999993</v>
      </c>
      <c r="J128" s="49">
        <f t="shared" si="0"/>
        <v>100</v>
      </c>
    </row>
    <row r="129" spans="1:10" ht="20.100000000000001" customHeight="1" x14ac:dyDescent="0.25">
      <c r="A129" s="48">
        <f t="shared" si="1"/>
        <v>0.14000000000000001</v>
      </c>
      <c r="B129" s="49">
        <f t="shared" si="2"/>
        <v>7.9800000000000013</v>
      </c>
      <c r="C129" s="49">
        <f t="shared" si="3"/>
        <v>8.2744640000000018</v>
      </c>
      <c r="D129" s="49">
        <f t="shared" si="0"/>
        <v>10.298904</v>
      </c>
      <c r="E129" s="49">
        <f t="shared" si="0"/>
        <v>15.424418000000001</v>
      </c>
      <c r="F129" s="49">
        <f t="shared" si="0"/>
        <v>24.635620000000003</v>
      </c>
      <c r="G129" s="49">
        <f t="shared" si="0"/>
        <v>38.530640000000005</v>
      </c>
      <c r="H129" s="49">
        <f t="shared" si="0"/>
        <v>56.38252</v>
      </c>
      <c r="I129" s="49">
        <f t="shared" si="0"/>
        <v>77.179040000000001</v>
      </c>
      <c r="J129" s="49">
        <f t="shared" si="0"/>
        <v>100</v>
      </c>
    </row>
    <row r="130" spans="1:10" ht="20.100000000000001" customHeight="1" x14ac:dyDescent="0.25">
      <c r="A130" s="48">
        <f t="shared" si="1"/>
        <v>0.16</v>
      </c>
      <c r="B130" s="49">
        <f t="shared" si="2"/>
        <v>9.2800000000000011</v>
      </c>
      <c r="C130" s="49">
        <f t="shared" si="3"/>
        <v>9.5703040000000019</v>
      </c>
      <c r="D130" s="49">
        <f t="shared" si="0"/>
        <v>11.566144000000001</v>
      </c>
      <c r="E130" s="49">
        <f t="shared" si="0"/>
        <v>16.619248000000002</v>
      </c>
      <c r="F130" s="49">
        <f t="shared" si="0"/>
        <v>25.700320000000001</v>
      </c>
      <c r="G130" s="49">
        <f t="shared" si="0"/>
        <v>39.399039999999999</v>
      </c>
      <c r="H130" s="49">
        <f t="shared" si="0"/>
        <v>56.998720000000006</v>
      </c>
      <c r="I130" s="49">
        <f t="shared" si="0"/>
        <v>77.501440000000002</v>
      </c>
      <c r="J130" s="49">
        <f t="shared" si="0"/>
        <v>100</v>
      </c>
    </row>
    <row r="131" spans="1:10" ht="20.100000000000001" customHeight="1" x14ac:dyDescent="0.25">
      <c r="A131" s="48">
        <f t="shared" si="1"/>
        <v>0.18</v>
      </c>
      <c r="B131" s="49">
        <f t="shared" si="2"/>
        <v>10.62</v>
      </c>
      <c r="C131" s="49">
        <f t="shared" si="3"/>
        <v>10.906015999999999</v>
      </c>
      <c r="D131" s="49">
        <f t="shared" si="0"/>
        <v>12.872375999999999</v>
      </c>
      <c r="E131" s="49">
        <f t="shared" si="0"/>
        <v>17.850842</v>
      </c>
      <c r="F131" s="49">
        <f t="shared" si="0"/>
        <v>26.797779999999996</v>
      </c>
      <c r="G131" s="49">
        <f t="shared" si="0"/>
        <v>40.294159999999998</v>
      </c>
      <c r="H131" s="49">
        <f t="shared" si="0"/>
        <v>57.633879999999998</v>
      </c>
      <c r="I131" s="49">
        <f t="shared" si="0"/>
        <v>77.833760000000012</v>
      </c>
      <c r="J131" s="49">
        <f t="shared" si="0"/>
        <v>100</v>
      </c>
    </row>
    <row r="132" spans="1:10" ht="20.100000000000001" customHeight="1" x14ac:dyDescent="0.25">
      <c r="A132" s="48">
        <f t="shared" si="1"/>
        <v>0.19999999999999998</v>
      </c>
      <c r="B132" s="49">
        <f t="shared" si="2"/>
        <v>12</v>
      </c>
      <c r="C132" s="49">
        <f t="shared" si="3"/>
        <v>12.281599999999999</v>
      </c>
      <c r="D132" s="49">
        <f t="shared" si="0"/>
        <v>14.217600000000001</v>
      </c>
      <c r="E132" s="49">
        <f t="shared" si="0"/>
        <v>19.119199999999999</v>
      </c>
      <c r="F132" s="49">
        <f t="shared" si="0"/>
        <v>27.928000000000004</v>
      </c>
      <c r="G132" s="49">
        <f t="shared" si="0"/>
        <v>41.216000000000008</v>
      </c>
      <c r="H132" s="49">
        <f t="shared" si="0"/>
        <v>58.288000000000004</v>
      </c>
      <c r="I132" s="49">
        <f t="shared" si="0"/>
        <v>78.176000000000002</v>
      </c>
      <c r="J132" s="49">
        <f t="shared" si="0"/>
        <v>100</v>
      </c>
    </row>
    <row r="133" spans="1:10" ht="20.100000000000001" customHeight="1" x14ac:dyDescent="0.25">
      <c r="A133" s="48">
        <f t="shared" si="1"/>
        <v>0.21999999999999997</v>
      </c>
      <c r="B133" s="49">
        <f t="shared" si="2"/>
        <v>13.419999999999998</v>
      </c>
      <c r="C133" s="49">
        <f t="shared" si="3"/>
        <v>13.697055999999998</v>
      </c>
      <c r="D133" s="49">
        <f t="shared" si="0"/>
        <v>15.601815999999998</v>
      </c>
      <c r="E133" s="49">
        <f t="shared" si="0"/>
        <v>20.424321999999997</v>
      </c>
      <c r="F133" s="49">
        <f t="shared" si="0"/>
        <v>29.090980000000002</v>
      </c>
      <c r="G133" s="49">
        <f t="shared" si="0"/>
        <v>42.164559999999994</v>
      </c>
      <c r="H133" s="49">
        <f t="shared" si="0"/>
        <v>58.961079999999995</v>
      </c>
      <c r="I133" s="49">
        <f t="shared" si="0"/>
        <v>78.52816</v>
      </c>
      <c r="J133" s="49">
        <f t="shared" si="0"/>
        <v>100</v>
      </c>
    </row>
    <row r="134" spans="1:10" ht="20.100000000000001" customHeight="1" x14ac:dyDescent="0.25">
      <c r="A134" s="48">
        <f t="shared" si="1"/>
        <v>0.23999999999999996</v>
      </c>
      <c r="B134" s="49">
        <f t="shared" si="2"/>
        <v>14.879999999999999</v>
      </c>
      <c r="C134" s="49">
        <f t="shared" si="3"/>
        <v>15.152384</v>
      </c>
      <c r="D134" s="49">
        <f t="shared" si="0"/>
        <v>17.025023999999998</v>
      </c>
      <c r="E134" s="49">
        <f t="shared" si="0"/>
        <v>21.766207999999999</v>
      </c>
      <c r="F134" s="49">
        <f t="shared" si="0"/>
        <v>30.286720000000003</v>
      </c>
      <c r="G134" s="49">
        <f t="shared" si="0"/>
        <v>43.139840000000007</v>
      </c>
      <c r="H134" s="49">
        <f t="shared" si="0"/>
        <v>59.653120000000001</v>
      </c>
      <c r="I134" s="49">
        <f t="shared" si="0"/>
        <v>78.890240000000006</v>
      </c>
      <c r="J134" s="49">
        <f t="shared" si="0"/>
        <v>100</v>
      </c>
    </row>
    <row r="135" spans="1:10" ht="20.100000000000001" customHeight="1" x14ac:dyDescent="0.25">
      <c r="A135" s="48">
        <f t="shared" si="1"/>
        <v>0.25999999999999995</v>
      </c>
      <c r="B135" s="49">
        <f t="shared" si="2"/>
        <v>16.38</v>
      </c>
      <c r="C135" s="49">
        <f t="shared" si="3"/>
        <v>16.647583999999998</v>
      </c>
      <c r="D135" s="49">
        <f t="shared" si="0"/>
        <v>18.487223999999998</v>
      </c>
      <c r="E135" s="49">
        <f t="shared" si="0"/>
        <v>23.144857999999999</v>
      </c>
      <c r="F135" s="49">
        <f t="shared" si="0"/>
        <v>31.515219999999999</v>
      </c>
      <c r="G135" s="49">
        <f t="shared" si="0"/>
        <v>44.141840000000002</v>
      </c>
      <c r="H135" s="49">
        <f t="shared" si="0"/>
        <v>60.36412</v>
      </c>
      <c r="I135" s="49">
        <f t="shared" si="0"/>
        <v>79.262240000000006</v>
      </c>
      <c r="J135" s="49">
        <f t="shared" si="0"/>
        <v>100</v>
      </c>
    </row>
    <row r="136" spans="1:10" ht="20.100000000000001" customHeight="1" x14ac:dyDescent="0.25">
      <c r="A136" s="48">
        <f t="shared" si="1"/>
        <v>0.27999999999999997</v>
      </c>
      <c r="B136" s="49">
        <f t="shared" si="2"/>
        <v>17.919999999999998</v>
      </c>
      <c r="C136" s="49">
        <f t="shared" si="3"/>
        <v>18.182655999999998</v>
      </c>
      <c r="D136" s="49">
        <f t="shared" si="0"/>
        <v>19.988415999999997</v>
      </c>
      <c r="E136" s="49">
        <f t="shared" si="0"/>
        <v>24.560271999999998</v>
      </c>
      <c r="F136" s="49">
        <f t="shared" si="0"/>
        <v>32.776479999999999</v>
      </c>
      <c r="G136" s="49">
        <f t="shared" si="0"/>
        <v>45.170559999999995</v>
      </c>
      <c r="H136" s="49">
        <f t="shared" si="0"/>
        <v>61.094080000000005</v>
      </c>
      <c r="I136" s="49">
        <f t="shared" si="0"/>
        <v>79.644159999999999</v>
      </c>
      <c r="J136" s="49">
        <f t="shared" si="0"/>
        <v>100</v>
      </c>
    </row>
    <row r="137" spans="1:10" ht="20.100000000000001" customHeight="1" x14ac:dyDescent="0.25">
      <c r="A137" s="48">
        <f t="shared" si="1"/>
        <v>0.3</v>
      </c>
      <c r="B137" s="49">
        <f t="shared" si="2"/>
        <v>19.5</v>
      </c>
      <c r="C137" s="49">
        <f t="shared" si="3"/>
        <v>19.7576</v>
      </c>
      <c r="D137" s="49">
        <f t="shared" si="0"/>
        <v>21.528600000000001</v>
      </c>
      <c r="E137" s="49">
        <f t="shared" si="0"/>
        <v>26.012450000000001</v>
      </c>
      <c r="F137" s="49">
        <f t="shared" si="0"/>
        <v>34.070500000000003</v>
      </c>
      <c r="G137" s="49">
        <f t="shared" si="0"/>
        <v>46.225999999999999</v>
      </c>
      <c r="H137" s="49">
        <f t="shared" si="0"/>
        <v>61.843000000000004</v>
      </c>
      <c r="I137" s="49">
        <f t="shared" si="0"/>
        <v>80.036000000000001</v>
      </c>
      <c r="J137" s="49">
        <f t="shared" si="0"/>
        <v>100</v>
      </c>
    </row>
    <row r="138" spans="1:10" ht="20.100000000000001" customHeight="1" x14ac:dyDescent="0.25">
      <c r="A138" s="48">
        <f t="shared" si="1"/>
        <v>0.32</v>
      </c>
      <c r="B138" s="49">
        <f t="shared" si="2"/>
        <v>21.12</v>
      </c>
      <c r="C138" s="49">
        <f t="shared" si="3"/>
        <v>21.372416000000001</v>
      </c>
      <c r="D138" s="49">
        <f t="shared" si="0"/>
        <v>23.107776000000001</v>
      </c>
      <c r="E138" s="49">
        <f t="shared" si="0"/>
        <v>27.501392000000003</v>
      </c>
      <c r="F138" s="49">
        <f t="shared" si="0"/>
        <v>35.397280000000002</v>
      </c>
      <c r="G138" s="49">
        <f t="shared" si="0"/>
        <v>47.308160000000001</v>
      </c>
      <c r="H138" s="49">
        <f t="shared" si="0"/>
        <v>62.610879999999995</v>
      </c>
      <c r="I138" s="49">
        <f t="shared" si="0"/>
        <v>80.437759999999997</v>
      </c>
      <c r="J138" s="49">
        <f t="shared" si="0"/>
        <v>100</v>
      </c>
    </row>
    <row r="139" spans="1:10" ht="20.100000000000001" customHeight="1" x14ac:dyDescent="0.25">
      <c r="A139" s="48">
        <f t="shared" si="1"/>
        <v>0.34</v>
      </c>
      <c r="B139" s="49">
        <f t="shared" si="2"/>
        <v>22.780000000000005</v>
      </c>
      <c r="C139" s="49">
        <f t="shared" si="3"/>
        <v>23.027104000000005</v>
      </c>
      <c r="D139" s="49">
        <f t="shared" si="3"/>
        <v>24.725944000000005</v>
      </c>
      <c r="E139" s="49">
        <f t="shared" si="3"/>
        <v>29.027098000000002</v>
      </c>
      <c r="F139" s="49">
        <f t="shared" si="3"/>
        <v>36.756820000000005</v>
      </c>
      <c r="G139" s="49">
        <f t="shared" si="3"/>
        <v>48.417040000000007</v>
      </c>
      <c r="H139" s="49">
        <f t="shared" si="3"/>
        <v>63.397720000000007</v>
      </c>
      <c r="I139" s="49">
        <f t="shared" si="3"/>
        <v>80.849440000000016</v>
      </c>
      <c r="J139" s="49">
        <f t="shared" si="3"/>
        <v>100</v>
      </c>
    </row>
    <row r="140" spans="1:10" ht="20.100000000000001" customHeight="1" x14ac:dyDescent="0.25">
      <c r="A140" s="48">
        <f t="shared" si="1"/>
        <v>0.36000000000000004</v>
      </c>
      <c r="B140" s="49">
        <f t="shared" si="2"/>
        <v>24.48</v>
      </c>
      <c r="C140" s="49">
        <f t="shared" si="3"/>
        <v>24.721664000000001</v>
      </c>
      <c r="D140" s="49">
        <f t="shared" si="3"/>
        <v>26.383103999999999</v>
      </c>
      <c r="E140" s="49">
        <f t="shared" si="3"/>
        <v>30.589568</v>
      </c>
      <c r="F140" s="49">
        <f t="shared" si="3"/>
        <v>38.149119999999996</v>
      </c>
      <c r="G140" s="49">
        <f t="shared" si="3"/>
        <v>49.552639999999997</v>
      </c>
      <c r="H140" s="49">
        <f t="shared" si="3"/>
        <v>64.203519999999997</v>
      </c>
      <c r="I140" s="49">
        <f t="shared" si="3"/>
        <v>81.271039999999999</v>
      </c>
      <c r="J140" s="49">
        <f t="shared" si="3"/>
        <v>100</v>
      </c>
    </row>
    <row r="141" spans="1:10" ht="20.100000000000001" customHeight="1" x14ac:dyDescent="0.25">
      <c r="A141" s="48">
        <f t="shared" si="1"/>
        <v>0.38000000000000006</v>
      </c>
      <c r="B141" s="49">
        <f t="shared" si="2"/>
        <v>26.220000000000006</v>
      </c>
      <c r="C141" s="49">
        <f t="shared" si="3"/>
        <v>26.456096000000006</v>
      </c>
      <c r="D141" s="49">
        <f t="shared" si="3"/>
        <v>28.079256000000004</v>
      </c>
      <c r="E141" s="49">
        <f t="shared" si="3"/>
        <v>32.188802000000003</v>
      </c>
      <c r="F141" s="49">
        <f t="shared" si="3"/>
        <v>39.574180000000005</v>
      </c>
      <c r="G141" s="49">
        <f t="shared" si="3"/>
        <v>50.714960000000005</v>
      </c>
      <c r="H141" s="49">
        <f t="shared" si="3"/>
        <v>65.028279999999995</v>
      </c>
      <c r="I141" s="49">
        <f t="shared" si="3"/>
        <v>81.702560000000005</v>
      </c>
      <c r="J141" s="49">
        <f t="shared" si="3"/>
        <v>100</v>
      </c>
    </row>
    <row r="142" spans="1:10" ht="20.100000000000001" customHeight="1" x14ac:dyDescent="0.25">
      <c r="A142" s="48">
        <f t="shared" si="1"/>
        <v>0.40000000000000008</v>
      </c>
      <c r="B142" s="49">
        <f t="shared" si="2"/>
        <v>28.000000000000007</v>
      </c>
      <c r="C142" s="49">
        <f t="shared" si="3"/>
        <v>28.230400000000007</v>
      </c>
      <c r="D142" s="49">
        <f t="shared" si="3"/>
        <v>29.814400000000006</v>
      </c>
      <c r="E142" s="49">
        <f t="shared" si="3"/>
        <v>33.82480000000001</v>
      </c>
      <c r="F142" s="49">
        <f t="shared" si="3"/>
        <v>41.032000000000011</v>
      </c>
      <c r="G142" s="49">
        <f t="shared" si="3"/>
        <v>51.904000000000011</v>
      </c>
      <c r="H142" s="49">
        <f t="shared" si="3"/>
        <v>65.872000000000014</v>
      </c>
      <c r="I142" s="49">
        <f t="shared" si="3"/>
        <v>82.144000000000005</v>
      </c>
      <c r="J142" s="49">
        <f t="shared" si="3"/>
        <v>100</v>
      </c>
    </row>
    <row r="143" spans="1:10" ht="20.100000000000001" customHeight="1" x14ac:dyDescent="0.25">
      <c r="A143" s="48">
        <f t="shared" si="1"/>
        <v>0.4200000000000001</v>
      </c>
      <c r="B143" s="49">
        <f t="shared" si="2"/>
        <v>29.820000000000007</v>
      </c>
      <c r="C143" s="49">
        <f t="shared" si="3"/>
        <v>30.044576000000006</v>
      </c>
      <c r="D143" s="49">
        <f t="shared" si="3"/>
        <v>31.588536000000008</v>
      </c>
      <c r="E143" s="49">
        <f t="shared" si="3"/>
        <v>35.497562000000009</v>
      </c>
      <c r="F143" s="49">
        <f t="shared" si="3"/>
        <v>42.522580000000005</v>
      </c>
      <c r="G143" s="49">
        <f t="shared" si="3"/>
        <v>53.119760000000014</v>
      </c>
      <c r="H143" s="49">
        <f t="shared" si="3"/>
        <v>66.734679999999997</v>
      </c>
      <c r="I143" s="49">
        <f t="shared" si="3"/>
        <v>82.595359999999999</v>
      </c>
      <c r="J143" s="49">
        <f t="shared" si="3"/>
        <v>100</v>
      </c>
    </row>
    <row r="144" spans="1:10" ht="20.100000000000001" customHeight="1" x14ac:dyDescent="0.25">
      <c r="A144" s="48">
        <f t="shared" si="1"/>
        <v>0.44000000000000011</v>
      </c>
      <c r="B144" s="49">
        <f t="shared" si="2"/>
        <v>31.680000000000007</v>
      </c>
      <c r="C144" s="49">
        <f t="shared" si="3"/>
        <v>31.898624000000005</v>
      </c>
      <c r="D144" s="49">
        <f t="shared" si="3"/>
        <v>33.401664000000004</v>
      </c>
      <c r="E144" s="49">
        <f t="shared" si="3"/>
        <v>37.207088000000006</v>
      </c>
      <c r="F144" s="49">
        <f t="shared" si="3"/>
        <v>44.04592000000001</v>
      </c>
      <c r="G144" s="49">
        <f t="shared" si="3"/>
        <v>54.362240000000007</v>
      </c>
      <c r="H144" s="49">
        <f t="shared" si="3"/>
        <v>67.616320000000002</v>
      </c>
      <c r="I144" s="49">
        <f t="shared" si="3"/>
        <v>83.056640000000002</v>
      </c>
      <c r="J144" s="49">
        <f t="shared" si="3"/>
        <v>100</v>
      </c>
    </row>
    <row r="145" spans="1:10" ht="20.100000000000001" customHeight="1" x14ac:dyDescent="0.25">
      <c r="A145" s="48">
        <f t="shared" si="1"/>
        <v>0.46000000000000013</v>
      </c>
      <c r="B145" s="49">
        <f t="shared" si="2"/>
        <v>33.580000000000013</v>
      </c>
      <c r="C145" s="49">
        <f t="shared" si="3"/>
        <v>33.792544000000014</v>
      </c>
      <c r="D145" s="49">
        <f t="shared" si="3"/>
        <v>35.25378400000001</v>
      </c>
      <c r="E145" s="49">
        <f t="shared" si="3"/>
        <v>38.953378000000015</v>
      </c>
      <c r="F145" s="49">
        <f t="shared" si="3"/>
        <v>45.60202000000001</v>
      </c>
      <c r="G145" s="49">
        <f t="shared" si="3"/>
        <v>55.631440000000012</v>
      </c>
      <c r="H145" s="49">
        <f t="shared" si="3"/>
        <v>68.516919999999999</v>
      </c>
      <c r="I145" s="49">
        <f t="shared" si="3"/>
        <v>83.527840000000012</v>
      </c>
      <c r="J145" s="49">
        <f t="shared" si="3"/>
        <v>100</v>
      </c>
    </row>
    <row r="146" spans="1:10" ht="20.100000000000001" customHeight="1" x14ac:dyDescent="0.25">
      <c r="A146" s="48">
        <f t="shared" si="1"/>
        <v>0.48000000000000015</v>
      </c>
      <c r="B146" s="49">
        <f t="shared" si="2"/>
        <v>35.52000000000001</v>
      </c>
      <c r="C146" s="49">
        <f t="shared" si="3"/>
        <v>35.726336000000011</v>
      </c>
      <c r="D146" s="49">
        <f t="shared" si="3"/>
        <v>37.14489600000001</v>
      </c>
      <c r="E146" s="49">
        <f t="shared" si="3"/>
        <v>40.736432000000008</v>
      </c>
      <c r="F146" s="49">
        <f t="shared" si="3"/>
        <v>47.190880000000007</v>
      </c>
      <c r="G146" s="49">
        <f t="shared" si="3"/>
        <v>56.927360000000007</v>
      </c>
      <c r="H146" s="49">
        <f t="shared" si="3"/>
        <v>69.436480000000017</v>
      </c>
      <c r="I146" s="49">
        <f t="shared" si="3"/>
        <v>84.008960000000002</v>
      </c>
      <c r="J146" s="49">
        <f t="shared" si="3"/>
        <v>100</v>
      </c>
    </row>
    <row r="147" spans="1:10" ht="20.100000000000001" customHeight="1" x14ac:dyDescent="0.25">
      <c r="A147" s="48">
        <f t="shared" si="1"/>
        <v>0.50000000000000011</v>
      </c>
      <c r="B147" s="49">
        <f t="shared" si="2"/>
        <v>37.500000000000014</v>
      </c>
      <c r="C147" s="49">
        <f t="shared" si="3"/>
        <v>37.700000000000017</v>
      </c>
      <c r="D147" s="49">
        <f t="shared" si="3"/>
        <v>39.075000000000017</v>
      </c>
      <c r="E147" s="49">
        <f t="shared" si="3"/>
        <v>42.556250000000013</v>
      </c>
      <c r="F147" s="49">
        <f t="shared" si="3"/>
        <v>48.812500000000014</v>
      </c>
      <c r="G147" s="49">
        <f t="shared" si="3"/>
        <v>58.250000000000014</v>
      </c>
      <c r="H147" s="49">
        <f t="shared" si="3"/>
        <v>70.375</v>
      </c>
      <c r="I147" s="49">
        <f t="shared" si="3"/>
        <v>84.5</v>
      </c>
      <c r="J147" s="49">
        <f t="shared" si="3"/>
        <v>100</v>
      </c>
    </row>
    <row r="148" spans="1:10" ht="20.100000000000001" customHeight="1" x14ac:dyDescent="0.25">
      <c r="A148" s="48">
        <f t="shared" si="1"/>
        <v>0.52000000000000013</v>
      </c>
      <c r="B148" s="49">
        <f t="shared" si="2"/>
        <v>39.52000000000001</v>
      </c>
      <c r="C148" s="49">
        <f t="shared" si="3"/>
        <v>39.713536000000012</v>
      </c>
      <c r="D148" s="49">
        <f t="shared" si="3"/>
        <v>41.04409600000001</v>
      </c>
      <c r="E148" s="49">
        <f t="shared" si="3"/>
        <v>44.412832000000009</v>
      </c>
      <c r="F148" s="49">
        <f t="shared" si="3"/>
        <v>50.46688000000001</v>
      </c>
      <c r="G148" s="49">
        <f t="shared" si="3"/>
        <v>59.599360000000004</v>
      </c>
      <c r="H148" s="49">
        <f t="shared" si="3"/>
        <v>71.332480000000004</v>
      </c>
      <c r="I148" s="49">
        <f t="shared" si="3"/>
        <v>85.000960000000006</v>
      </c>
      <c r="J148" s="49">
        <f t="shared" si="3"/>
        <v>100</v>
      </c>
    </row>
    <row r="149" spans="1:10" ht="20.100000000000001" customHeight="1" x14ac:dyDescent="0.25">
      <c r="A149" s="48">
        <f t="shared" si="1"/>
        <v>0.54000000000000015</v>
      </c>
      <c r="B149" s="49">
        <f t="shared" si="2"/>
        <v>41.58000000000002</v>
      </c>
      <c r="C149" s="49">
        <f t="shared" si="3"/>
        <v>41.766944000000017</v>
      </c>
      <c r="D149" s="49">
        <f t="shared" si="3"/>
        <v>43.052184000000018</v>
      </c>
      <c r="E149" s="49">
        <f t="shared" si="3"/>
        <v>46.306178000000017</v>
      </c>
      <c r="F149" s="49">
        <f t="shared" si="3"/>
        <v>52.154020000000017</v>
      </c>
      <c r="G149" s="49">
        <f t="shared" si="3"/>
        <v>60.975440000000013</v>
      </c>
      <c r="H149" s="49">
        <f t="shared" si="3"/>
        <v>72.308920000000001</v>
      </c>
      <c r="I149" s="49">
        <f t="shared" si="3"/>
        <v>85.511840000000007</v>
      </c>
      <c r="J149" s="49">
        <f t="shared" si="3"/>
        <v>100</v>
      </c>
    </row>
    <row r="150" spans="1:10" ht="20.100000000000001" customHeight="1" x14ac:dyDescent="0.25">
      <c r="A150" s="48">
        <f t="shared" si="1"/>
        <v>0.56000000000000016</v>
      </c>
      <c r="B150" s="49">
        <f t="shared" si="2"/>
        <v>43.680000000000021</v>
      </c>
      <c r="C150" s="49">
        <f t="shared" si="3"/>
        <v>43.860224000000024</v>
      </c>
      <c r="D150" s="49">
        <f t="shared" si="3"/>
        <v>45.099264000000019</v>
      </c>
      <c r="E150" s="49">
        <f t="shared" si="3"/>
        <v>48.236288000000016</v>
      </c>
      <c r="F150" s="49">
        <f t="shared" si="3"/>
        <v>53.87392000000002</v>
      </c>
      <c r="G150" s="49">
        <f t="shared" si="3"/>
        <v>62.378240000000019</v>
      </c>
      <c r="H150" s="49">
        <f t="shared" si="3"/>
        <v>73.304320000000018</v>
      </c>
      <c r="I150" s="49">
        <f t="shared" si="3"/>
        <v>86.032640000000001</v>
      </c>
      <c r="J150" s="49">
        <f t="shared" si="3"/>
        <v>100</v>
      </c>
    </row>
    <row r="151" spans="1:10" ht="20.100000000000001" customHeight="1" x14ac:dyDescent="0.25">
      <c r="A151" s="48">
        <f t="shared" si="1"/>
        <v>0.58000000000000018</v>
      </c>
      <c r="B151" s="49">
        <f t="shared" si="2"/>
        <v>45.820000000000014</v>
      </c>
      <c r="C151" s="49">
        <f t="shared" si="3"/>
        <v>45.993376000000012</v>
      </c>
      <c r="D151" s="49">
        <f t="shared" si="3"/>
        <v>47.185336000000014</v>
      </c>
      <c r="E151" s="49">
        <f t="shared" si="3"/>
        <v>50.203162000000013</v>
      </c>
      <c r="F151" s="49">
        <f t="shared" si="3"/>
        <v>55.626580000000011</v>
      </c>
      <c r="G151" s="49">
        <f t="shared" si="3"/>
        <v>63.807760000000009</v>
      </c>
      <c r="H151" s="49">
        <f t="shared" si="3"/>
        <v>74.318680000000001</v>
      </c>
      <c r="I151" s="49">
        <f t="shared" si="3"/>
        <v>86.563360000000003</v>
      </c>
      <c r="J151" s="49">
        <f t="shared" si="3"/>
        <v>100</v>
      </c>
    </row>
    <row r="152" spans="1:10" ht="20.100000000000001" customHeight="1" x14ac:dyDescent="0.25">
      <c r="A152" s="48">
        <f t="shared" si="1"/>
        <v>0.6000000000000002</v>
      </c>
      <c r="B152" s="49">
        <f t="shared" si="2"/>
        <v>48.000000000000021</v>
      </c>
      <c r="C152" s="49">
        <f t="shared" si="3"/>
        <v>48.166400000000024</v>
      </c>
      <c r="D152" s="49">
        <f t="shared" si="3"/>
        <v>49.310400000000023</v>
      </c>
      <c r="E152" s="49">
        <f t="shared" si="3"/>
        <v>52.206800000000023</v>
      </c>
      <c r="F152" s="49">
        <f t="shared" si="3"/>
        <v>57.41200000000002</v>
      </c>
      <c r="G152" s="49">
        <f t="shared" si="3"/>
        <v>65.26400000000001</v>
      </c>
      <c r="H152" s="49">
        <f t="shared" si="3"/>
        <v>75.352000000000004</v>
      </c>
      <c r="I152" s="49">
        <f t="shared" si="3"/>
        <v>87.104000000000013</v>
      </c>
      <c r="J152" s="49">
        <f t="shared" si="3"/>
        <v>100</v>
      </c>
    </row>
    <row r="153" spans="1:10" ht="20.100000000000001" customHeight="1" x14ac:dyDescent="0.25">
      <c r="A153" s="48">
        <f t="shared" si="1"/>
        <v>0.62000000000000022</v>
      </c>
      <c r="B153" s="49">
        <f t="shared" si="2"/>
        <v>50.22000000000002</v>
      </c>
      <c r="C153" s="49">
        <f t="shared" si="3"/>
        <v>50.379296000000018</v>
      </c>
      <c r="D153" s="49">
        <f t="shared" si="3"/>
        <v>51.474456000000018</v>
      </c>
      <c r="E153" s="49">
        <f t="shared" si="3"/>
        <v>54.247202000000016</v>
      </c>
      <c r="F153" s="49">
        <f t="shared" si="3"/>
        <v>59.230180000000018</v>
      </c>
      <c r="G153" s="49">
        <f t="shared" si="3"/>
        <v>66.746960000000016</v>
      </c>
      <c r="H153" s="49">
        <f t="shared" si="3"/>
        <v>76.404280000000014</v>
      </c>
      <c r="I153" s="49">
        <f t="shared" si="3"/>
        <v>87.654560000000004</v>
      </c>
      <c r="J153" s="49">
        <f t="shared" si="3"/>
        <v>100</v>
      </c>
    </row>
    <row r="154" spans="1:10" ht="20.100000000000001" customHeight="1" x14ac:dyDescent="0.25">
      <c r="A154" s="48">
        <f t="shared" si="1"/>
        <v>0.64000000000000024</v>
      </c>
      <c r="B154" s="49">
        <f t="shared" si="2"/>
        <v>52.480000000000025</v>
      </c>
      <c r="C154" s="49">
        <f t="shared" si="3"/>
        <v>52.632064000000028</v>
      </c>
      <c r="D154" s="49">
        <f t="shared" si="3"/>
        <v>53.677504000000027</v>
      </c>
      <c r="E154" s="49">
        <f t="shared" si="3"/>
        <v>56.324368000000021</v>
      </c>
      <c r="F154" s="49">
        <f t="shared" si="3"/>
        <v>61.08112000000002</v>
      </c>
      <c r="G154" s="49">
        <f t="shared" si="3"/>
        <v>68.256640000000019</v>
      </c>
      <c r="H154" s="49">
        <f t="shared" si="3"/>
        <v>77.475520000000017</v>
      </c>
      <c r="I154" s="49">
        <f t="shared" si="3"/>
        <v>88.215040000000016</v>
      </c>
      <c r="J154" s="49">
        <f t="shared" si="3"/>
        <v>100</v>
      </c>
    </row>
    <row r="155" spans="1:10" ht="20.100000000000001" customHeight="1" x14ac:dyDescent="0.25">
      <c r="A155" s="48">
        <f t="shared" si="1"/>
        <v>0.66000000000000025</v>
      </c>
      <c r="B155" s="49">
        <f t="shared" si="2"/>
        <v>54.78000000000003</v>
      </c>
      <c r="C155" s="49">
        <f t="shared" si="3"/>
        <v>54.924704000000027</v>
      </c>
      <c r="D155" s="49">
        <f t="shared" si="3"/>
        <v>55.91954400000003</v>
      </c>
      <c r="E155" s="49">
        <f t="shared" si="3"/>
        <v>58.438298000000025</v>
      </c>
      <c r="F155" s="49">
        <f t="shared" si="3"/>
        <v>62.964820000000024</v>
      </c>
      <c r="G155" s="49">
        <f t="shared" si="3"/>
        <v>69.793040000000019</v>
      </c>
      <c r="H155" s="49">
        <f t="shared" si="3"/>
        <v>78.565720000000013</v>
      </c>
      <c r="I155" s="49">
        <f t="shared" si="3"/>
        <v>88.785440000000008</v>
      </c>
      <c r="J155" s="49">
        <f t="shared" si="3"/>
        <v>100</v>
      </c>
    </row>
    <row r="156" spans="1:10" ht="20.100000000000001" customHeight="1" x14ac:dyDescent="0.25">
      <c r="A156" s="48">
        <f t="shared" si="1"/>
        <v>0.68000000000000027</v>
      </c>
      <c r="B156" s="49">
        <f t="shared" si="2"/>
        <v>57.12000000000004</v>
      </c>
      <c r="C156" s="49">
        <f t="shared" ref="C156:J172" si="4">$B156+((100-$B156)*C$122/100)</f>
        <v>57.257216000000042</v>
      </c>
      <c r="D156" s="49">
        <f t="shared" si="4"/>
        <v>58.200576000000041</v>
      </c>
      <c r="E156" s="49">
        <f t="shared" si="4"/>
        <v>60.588992000000033</v>
      </c>
      <c r="F156" s="49">
        <f t="shared" si="4"/>
        <v>64.881280000000032</v>
      </c>
      <c r="G156" s="49">
        <f t="shared" si="4"/>
        <v>71.356160000000031</v>
      </c>
      <c r="H156" s="49">
        <f t="shared" si="4"/>
        <v>79.674880000000016</v>
      </c>
      <c r="I156" s="49">
        <f t="shared" si="4"/>
        <v>89.365760000000023</v>
      </c>
      <c r="J156" s="49">
        <f t="shared" si="4"/>
        <v>100</v>
      </c>
    </row>
    <row r="157" spans="1:10" ht="20.100000000000001" customHeight="1" x14ac:dyDescent="0.25">
      <c r="A157" s="48">
        <f t="shared" si="1"/>
        <v>0.70000000000000029</v>
      </c>
      <c r="B157" s="49">
        <f t="shared" si="2"/>
        <v>59.500000000000028</v>
      </c>
      <c r="C157" s="49">
        <f t="shared" si="4"/>
        <v>59.629600000000025</v>
      </c>
      <c r="D157" s="49">
        <f t="shared" si="4"/>
        <v>60.52060000000003</v>
      </c>
      <c r="E157" s="49">
        <f t="shared" si="4"/>
        <v>62.776450000000025</v>
      </c>
      <c r="F157" s="49">
        <f t="shared" si="4"/>
        <v>66.830500000000029</v>
      </c>
      <c r="G157" s="49">
        <f t="shared" si="4"/>
        <v>72.946000000000026</v>
      </c>
      <c r="H157" s="49">
        <f t="shared" si="4"/>
        <v>80.803000000000011</v>
      </c>
      <c r="I157" s="49">
        <f t="shared" si="4"/>
        <v>89.956000000000017</v>
      </c>
      <c r="J157" s="49">
        <f t="shared" si="4"/>
        <v>100</v>
      </c>
    </row>
    <row r="158" spans="1:10" ht="20.100000000000001" customHeight="1" x14ac:dyDescent="0.25">
      <c r="A158" s="48">
        <f t="shared" si="1"/>
        <v>0.72000000000000031</v>
      </c>
      <c r="B158" s="49">
        <f t="shared" si="2"/>
        <v>61.920000000000044</v>
      </c>
      <c r="C158" s="49">
        <f t="shared" si="4"/>
        <v>62.041856000000045</v>
      </c>
      <c r="D158" s="49">
        <f t="shared" si="4"/>
        <v>62.879616000000041</v>
      </c>
      <c r="E158" s="49">
        <f t="shared" si="4"/>
        <v>65.000672000000037</v>
      </c>
      <c r="F158" s="49">
        <f t="shared" si="4"/>
        <v>68.812480000000036</v>
      </c>
      <c r="G158" s="49">
        <f t="shared" si="4"/>
        <v>74.562560000000033</v>
      </c>
      <c r="H158" s="49">
        <f t="shared" si="4"/>
        <v>81.950080000000014</v>
      </c>
      <c r="I158" s="49">
        <f t="shared" si="4"/>
        <v>90.556160000000006</v>
      </c>
      <c r="J158" s="49">
        <f t="shared" si="4"/>
        <v>100</v>
      </c>
    </row>
    <row r="159" spans="1:10" ht="20.100000000000001" customHeight="1" x14ac:dyDescent="0.25">
      <c r="A159" s="48">
        <f t="shared" si="1"/>
        <v>0.74000000000000032</v>
      </c>
      <c r="B159" s="49">
        <f t="shared" si="2"/>
        <v>64.380000000000038</v>
      </c>
      <c r="C159" s="49">
        <f t="shared" si="4"/>
        <v>64.49398400000004</v>
      </c>
      <c r="D159" s="49">
        <f t="shared" si="4"/>
        <v>65.277624000000031</v>
      </c>
      <c r="E159" s="49">
        <f t="shared" si="4"/>
        <v>67.26165800000004</v>
      </c>
      <c r="F159" s="49">
        <f t="shared" si="4"/>
        <v>70.82722000000004</v>
      </c>
      <c r="G159" s="49">
        <f t="shared" si="4"/>
        <v>76.205840000000023</v>
      </c>
      <c r="H159" s="49">
        <f t="shared" si="4"/>
        <v>83.116120000000024</v>
      </c>
      <c r="I159" s="49">
        <f t="shared" si="4"/>
        <v>91.166240000000016</v>
      </c>
      <c r="J159" s="49">
        <f t="shared" si="4"/>
        <v>100</v>
      </c>
    </row>
    <row r="160" spans="1:10" ht="20.100000000000001" customHeight="1" x14ac:dyDescent="0.25">
      <c r="A160" s="48">
        <f t="shared" si="1"/>
        <v>0.76000000000000034</v>
      </c>
      <c r="B160" s="49">
        <f t="shared" si="2"/>
        <v>66.880000000000052</v>
      </c>
      <c r="C160" s="49">
        <f t="shared" si="4"/>
        <v>66.985984000000059</v>
      </c>
      <c r="D160" s="49">
        <f t="shared" si="4"/>
        <v>67.714624000000057</v>
      </c>
      <c r="E160" s="49">
        <f t="shared" si="4"/>
        <v>69.559408000000047</v>
      </c>
      <c r="F160" s="49">
        <f t="shared" si="4"/>
        <v>72.874720000000039</v>
      </c>
      <c r="G160" s="49">
        <f t="shared" si="4"/>
        <v>77.875840000000039</v>
      </c>
      <c r="H160" s="49">
        <f t="shared" si="4"/>
        <v>84.301120000000026</v>
      </c>
      <c r="I160" s="49">
        <f t="shared" si="4"/>
        <v>91.786240000000021</v>
      </c>
      <c r="J160" s="49">
        <f t="shared" si="4"/>
        <v>100</v>
      </c>
    </row>
    <row r="161" spans="1:10" ht="20.100000000000001" customHeight="1" x14ac:dyDescent="0.25">
      <c r="A161" s="48">
        <f t="shared" si="1"/>
        <v>0.78000000000000036</v>
      </c>
      <c r="B161" s="49">
        <f t="shared" si="2"/>
        <v>69.420000000000044</v>
      </c>
      <c r="C161" s="49">
        <f t="shared" si="4"/>
        <v>69.517856000000037</v>
      </c>
      <c r="D161" s="49">
        <f t="shared" si="4"/>
        <v>70.190616000000048</v>
      </c>
      <c r="E161" s="49">
        <f t="shared" si="4"/>
        <v>71.893922000000046</v>
      </c>
      <c r="F161" s="49">
        <f t="shared" si="4"/>
        <v>74.954980000000035</v>
      </c>
      <c r="G161" s="49">
        <f t="shared" si="4"/>
        <v>79.572560000000038</v>
      </c>
      <c r="H161" s="49">
        <f t="shared" si="4"/>
        <v>85.505080000000021</v>
      </c>
      <c r="I161" s="49">
        <f t="shared" si="4"/>
        <v>92.416160000000019</v>
      </c>
      <c r="J161" s="49">
        <f t="shared" si="4"/>
        <v>100</v>
      </c>
    </row>
    <row r="162" spans="1:10" ht="20.100000000000001" customHeight="1" x14ac:dyDescent="0.25">
      <c r="A162" s="48">
        <f t="shared" si="1"/>
        <v>0.80000000000000038</v>
      </c>
      <c r="B162" s="49">
        <f t="shared" si="2"/>
        <v>72.000000000000043</v>
      </c>
      <c r="C162" s="49">
        <f t="shared" si="4"/>
        <v>72.089600000000047</v>
      </c>
      <c r="D162" s="49">
        <f t="shared" si="4"/>
        <v>72.705600000000047</v>
      </c>
      <c r="E162" s="49">
        <f t="shared" si="4"/>
        <v>74.265200000000036</v>
      </c>
      <c r="F162" s="49">
        <f t="shared" si="4"/>
        <v>77.06800000000004</v>
      </c>
      <c r="G162" s="49">
        <f t="shared" si="4"/>
        <v>81.296000000000035</v>
      </c>
      <c r="H162" s="49">
        <f t="shared" si="4"/>
        <v>86.728000000000023</v>
      </c>
      <c r="I162" s="49">
        <f t="shared" si="4"/>
        <v>93.056000000000012</v>
      </c>
      <c r="J162" s="49">
        <f t="shared" si="4"/>
        <v>100</v>
      </c>
    </row>
    <row r="163" spans="1:10" ht="20.100000000000001" customHeight="1" x14ac:dyDescent="0.25">
      <c r="A163" s="48">
        <f t="shared" si="1"/>
        <v>0.8200000000000004</v>
      </c>
      <c r="B163" s="49">
        <f t="shared" si="2"/>
        <v>74.620000000000047</v>
      </c>
      <c r="C163" s="49">
        <f t="shared" si="4"/>
        <v>74.701216000000045</v>
      </c>
      <c r="D163" s="49">
        <f t="shared" si="4"/>
        <v>75.259576000000052</v>
      </c>
      <c r="E163" s="49">
        <f t="shared" si="4"/>
        <v>76.673242000000045</v>
      </c>
      <c r="F163" s="49">
        <f t="shared" si="4"/>
        <v>79.213780000000042</v>
      </c>
      <c r="G163" s="49">
        <f t="shared" si="4"/>
        <v>83.046160000000029</v>
      </c>
      <c r="H163" s="49">
        <f t="shared" si="4"/>
        <v>87.969880000000018</v>
      </c>
      <c r="I163" s="49">
        <f t="shared" si="4"/>
        <v>93.705760000000012</v>
      </c>
      <c r="J163" s="49">
        <f t="shared" si="4"/>
        <v>100</v>
      </c>
    </row>
    <row r="164" spans="1:10" ht="20.100000000000001" customHeight="1" x14ac:dyDescent="0.25">
      <c r="A164" s="48">
        <f t="shared" si="1"/>
        <v>0.84000000000000041</v>
      </c>
      <c r="B164" s="49">
        <f t="shared" si="2"/>
        <v>77.280000000000058</v>
      </c>
      <c r="C164" s="49">
        <f t="shared" si="4"/>
        <v>77.35270400000006</v>
      </c>
      <c r="D164" s="49">
        <f t="shared" si="4"/>
        <v>77.852544000000051</v>
      </c>
      <c r="E164" s="49">
        <f t="shared" si="4"/>
        <v>79.118048000000059</v>
      </c>
      <c r="F164" s="49">
        <f t="shared" si="4"/>
        <v>81.392320000000041</v>
      </c>
      <c r="G164" s="49">
        <f t="shared" si="4"/>
        <v>84.823040000000034</v>
      </c>
      <c r="H164" s="49">
        <f t="shared" si="4"/>
        <v>89.230720000000019</v>
      </c>
      <c r="I164" s="49">
        <f t="shared" si="4"/>
        <v>94.365440000000021</v>
      </c>
      <c r="J164" s="49">
        <f t="shared" si="4"/>
        <v>100</v>
      </c>
    </row>
    <row r="165" spans="1:10" ht="20.100000000000001" customHeight="1" x14ac:dyDescent="0.25">
      <c r="A165" s="48">
        <f t="shared" si="1"/>
        <v>0.86000000000000043</v>
      </c>
      <c r="B165" s="49">
        <f t="shared" si="2"/>
        <v>79.980000000000047</v>
      </c>
      <c r="C165" s="49">
        <f t="shared" si="4"/>
        <v>80.044064000000049</v>
      </c>
      <c r="D165" s="49">
        <f t="shared" si="4"/>
        <v>80.484504000000044</v>
      </c>
      <c r="E165" s="49">
        <f t="shared" si="4"/>
        <v>81.599618000000049</v>
      </c>
      <c r="F165" s="49">
        <f t="shared" si="4"/>
        <v>83.603620000000035</v>
      </c>
      <c r="G165" s="49">
        <f t="shared" si="4"/>
        <v>86.626640000000037</v>
      </c>
      <c r="H165" s="49">
        <f t="shared" si="4"/>
        <v>90.510520000000028</v>
      </c>
      <c r="I165" s="49">
        <f t="shared" si="4"/>
        <v>95.035040000000009</v>
      </c>
      <c r="J165" s="49">
        <f t="shared" si="4"/>
        <v>100</v>
      </c>
    </row>
    <row r="166" spans="1:10" ht="20.100000000000001" customHeight="1" x14ac:dyDescent="0.25">
      <c r="A166" s="48">
        <f t="shared" si="1"/>
        <v>0.88000000000000045</v>
      </c>
      <c r="B166" s="49">
        <f t="shared" si="2"/>
        <v>82.720000000000056</v>
      </c>
      <c r="C166" s="49">
        <f t="shared" si="4"/>
        <v>82.775296000000054</v>
      </c>
      <c r="D166" s="49">
        <f t="shared" si="4"/>
        <v>83.155456000000058</v>
      </c>
      <c r="E166" s="49">
        <f t="shared" si="4"/>
        <v>84.117952000000045</v>
      </c>
      <c r="F166" s="49">
        <f t="shared" si="4"/>
        <v>85.84768000000004</v>
      </c>
      <c r="G166" s="49">
        <f t="shared" si="4"/>
        <v>88.456960000000038</v>
      </c>
      <c r="H166" s="49">
        <f t="shared" si="4"/>
        <v>91.80928000000003</v>
      </c>
      <c r="I166" s="49">
        <f t="shared" si="4"/>
        <v>95.714560000000006</v>
      </c>
      <c r="J166" s="49">
        <f t="shared" si="4"/>
        <v>100</v>
      </c>
    </row>
    <row r="167" spans="1:10" ht="20.100000000000001" customHeight="1" x14ac:dyDescent="0.25">
      <c r="A167" s="48">
        <f t="shared" si="1"/>
        <v>0.90000000000000047</v>
      </c>
      <c r="B167" s="49">
        <f t="shared" si="2"/>
        <v>85.500000000000071</v>
      </c>
      <c r="C167" s="49">
        <f t="shared" si="4"/>
        <v>85.546400000000077</v>
      </c>
      <c r="D167" s="49">
        <f t="shared" si="4"/>
        <v>85.865400000000065</v>
      </c>
      <c r="E167" s="49">
        <f t="shared" si="4"/>
        <v>86.67305000000006</v>
      </c>
      <c r="F167" s="49">
        <f t="shared" si="4"/>
        <v>88.124500000000054</v>
      </c>
      <c r="G167" s="49">
        <f t="shared" si="4"/>
        <v>90.31400000000005</v>
      </c>
      <c r="H167" s="49">
        <f t="shared" si="4"/>
        <v>93.127000000000038</v>
      </c>
      <c r="I167" s="49">
        <f t="shared" si="4"/>
        <v>96.404000000000025</v>
      </c>
      <c r="J167" s="49">
        <f t="shared" si="4"/>
        <v>100</v>
      </c>
    </row>
    <row r="168" spans="1:10" ht="20.100000000000001" customHeight="1" x14ac:dyDescent="0.25">
      <c r="A168" s="48">
        <f t="shared" si="1"/>
        <v>0.92000000000000048</v>
      </c>
      <c r="B168" s="49">
        <f t="shared" si="2"/>
        <v>88.320000000000064</v>
      </c>
      <c r="C168" s="49">
        <f t="shared" si="4"/>
        <v>88.357376000000059</v>
      </c>
      <c r="D168" s="49">
        <f t="shared" si="4"/>
        <v>88.614336000000065</v>
      </c>
      <c r="E168" s="49">
        <f t="shared" si="4"/>
        <v>89.264912000000052</v>
      </c>
      <c r="F168" s="49">
        <f t="shared" si="4"/>
        <v>90.434080000000051</v>
      </c>
      <c r="G168" s="49">
        <f t="shared" si="4"/>
        <v>92.197760000000045</v>
      </c>
      <c r="H168" s="49">
        <f t="shared" si="4"/>
        <v>94.463680000000025</v>
      </c>
      <c r="I168" s="49">
        <f t="shared" si="4"/>
        <v>97.103360000000009</v>
      </c>
      <c r="J168" s="49">
        <f t="shared" si="4"/>
        <v>100</v>
      </c>
    </row>
    <row r="169" spans="1:10" ht="20.100000000000001" customHeight="1" x14ac:dyDescent="0.25">
      <c r="A169" s="48">
        <f t="shared" si="1"/>
        <v>0.9400000000000005</v>
      </c>
      <c r="B169" s="49">
        <f t="shared" si="2"/>
        <v>91.180000000000078</v>
      </c>
      <c r="C169" s="49">
        <f t="shared" si="4"/>
        <v>91.208224000000072</v>
      </c>
      <c r="D169" s="49">
        <f t="shared" si="4"/>
        <v>91.402264000000073</v>
      </c>
      <c r="E169" s="49">
        <f t="shared" si="4"/>
        <v>91.893538000000078</v>
      </c>
      <c r="F169" s="49">
        <f t="shared" si="4"/>
        <v>92.776420000000059</v>
      </c>
      <c r="G169" s="49">
        <f t="shared" si="4"/>
        <v>94.108240000000052</v>
      </c>
      <c r="H169" s="49">
        <f t="shared" si="4"/>
        <v>95.819320000000033</v>
      </c>
      <c r="I169" s="49">
        <f t="shared" si="4"/>
        <v>97.812640000000016</v>
      </c>
      <c r="J169" s="49">
        <f t="shared" si="4"/>
        <v>100</v>
      </c>
    </row>
    <row r="170" spans="1:10" ht="20.100000000000001" customHeight="1" x14ac:dyDescent="0.25">
      <c r="A170" s="48">
        <f t="shared" si="1"/>
        <v>0.96000000000000052</v>
      </c>
      <c r="B170" s="49">
        <f t="shared" si="2"/>
        <v>94.080000000000069</v>
      </c>
      <c r="C170" s="49">
        <f t="shared" si="4"/>
        <v>94.098944000000074</v>
      </c>
      <c r="D170" s="49">
        <f t="shared" si="4"/>
        <v>94.229184000000075</v>
      </c>
      <c r="E170" s="49">
        <f t="shared" si="4"/>
        <v>94.558928000000066</v>
      </c>
      <c r="F170" s="49">
        <f t="shared" si="4"/>
        <v>95.151520000000062</v>
      </c>
      <c r="G170" s="49">
        <f t="shared" si="4"/>
        <v>96.045440000000042</v>
      </c>
      <c r="H170" s="49">
        <f t="shared" si="4"/>
        <v>97.193920000000034</v>
      </c>
      <c r="I170" s="49">
        <f t="shared" si="4"/>
        <v>98.531840000000017</v>
      </c>
      <c r="J170" s="49">
        <f t="shared" si="4"/>
        <v>100</v>
      </c>
    </row>
    <row r="171" spans="1:10" ht="20.100000000000001" customHeight="1" x14ac:dyDescent="0.25">
      <c r="A171" s="48">
        <f t="shared" si="1"/>
        <v>0.98000000000000054</v>
      </c>
      <c r="B171" s="49">
        <f t="shared" si="2"/>
        <v>97.020000000000081</v>
      </c>
      <c r="C171" s="49">
        <f t="shared" si="4"/>
        <v>97.029536000000078</v>
      </c>
      <c r="D171" s="49">
        <f t="shared" si="4"/>
        <v>97.095096000000083</v>
      </c>
      <c r="E171" s="49">
        <f t="shared" si="4"/>
        <v>97.261082000000073</v>
      </c>
      <c r="F171" s="49">
        <f t="shared" si="4"/>
        <v>97.559380000000061</v>
      </c>
      <c r="G171" s="49">
        <f t="shared" si="4"/>
        <v>98.009360000000058</v>
      </c>
      <c r="H171" s="49">
        <f t="shared" si="4"/>
        <v>98.587480000000042</v>
      </c>
      <c r="I171" s="49">
        <f t="shared" si="4"/>
        <v>99.260960000000026</v>
      </c>
      <c r="J171" s="49">
        <f t="shared" si="4"/>
        <v>100</v>
      </c>
    </row>
    <row r="172" spans="1:10" ht="20.100000000000001" customHeight="1" x14ac:dyDescent="0.25">
      <c r="A172" s="48">
        <f t="shared" si="1"/>
        <v>1.0000000000000004</v>
      </c>
      <c r="B172" s="49">
        <f t="shared" si="2"/>
        <v>100.00000000000007</v>
      </c>
      <c r="C172" s="49">
        <f t="shared" si="4"/>
        <v>100.00000000000007</v>
      </c>
      <c r="D172" s="49">
        <f t="shared" si="4"/>
        <v>100.00000000000007</v>
      </c>
      <c r="E172" s="49">
        <f t="shared" si="4"/>
        <v>100.00000000000007</v>
      </c>
      <c r="F172" s="49">
        <f t="shared" si="4"/>
        <v>100.00000000000006</v>
      </c>
      <c r="G172" s="49">
        <f t="shared" si="4"/>
        <v>100.00000000000004</v>
      </c>
      <c r="H172" s="49">
        <f t="shared" si="4"/>
        <v>100.00000000000003</v>
      </c>
      <c r="I172" s="49">
        <f t="shared" si="4"/>
        <v>100.00000000000001</v>
      </c>
      <c r="J172" s="49">
        <f t="shared" si="4"/>
        <v>100</v>
      </c>
    </row>
    <row r="174" spans="1:10" ht="20.100000000000001" customHeight="1" x14ac:dyDescent="0.25">
      <c r="A174" s="260" t="s">
        <v>361</v>
      </c>
      <c r="B174" s="260"/>
      <c r="C174" s="260"/>
      <c r="D174" s="260"/>
      <c r="E174" s="260"/>
      <c r="F174" s="260"/>
      <c r="G174" s="260"/>
      <c r="H174" s="260"/>
      <c r="I174" s="260"/>
      <c r="J174" s="260"/>
    </row>
    <row r="176" spans="1:10" ht="20.100000000000001" customHeight="1" x14ac:dyDescent="0.25">
      <c r="E176" s="50"/>
      <c r="F176" s="50"/>
      <c r="G176" s="50"/>
      <c r="H176" s="50"/>
      <c r="I176" s="50"/>
      <c r="J176" s="50"/>
    </row>
    <row r="177" spans="1:10" ht="20.100000000000001" customHeight="1" x14ac:dyDescent="0.25">
      <c r="A177" s="36"/>
      <c r="B177" s="36"/>
      <c r="C177" s="51"/>
      <c r="D177" s="52"/>
      <c r="E177" s="50"/>
      <c r="F177" s="50"/>
      <c r="G177" s="50"/>
      <c r="H177" s="50"/>
      <c r="I177" s="50"/>
      <c r="J177" s="50"/>
    </row>
    <row r="178" spans="1:10" ht="20.100000000000001" customHeight="1" x14ac:dyDescent="0.25">
      <c r="A178" s="36"/>
      <c r="B178" s="36"/>
      <c r="C178" s="51"/>
      <c r="D178" s="52"/>
      <c r="E178" s="50"/>
      <c r="F178" s="50"/>
      <c r="G178" s="50"/>
      <c r="H178" s="50"/>
      <c r="I178" s="50"/>
      <c r="J178" s="50"/>
    </row>
    <row r="179" spans="1:10" ht="20.100000000000001" customHeight="1" x14ac:dyDescent="0.25">
      <c r="A179" s="36"/>
      <c r="B179" s="36"/>
      <c r="C179" s="51"/>
      <c r="D179" s="52"/>
      <c r="E179" s="50"/>
      <c r="F179" s="50"/>
      <c r="G179" s="50"/>
      <c r="H179" s="50"/>
      <c r="I179" s="50"/>
      <c r="J179" s="50"/>
    </row>
    <row r="180" spans="1:10" ht="20.100000000000001" customHeight="1" x14ac:dyDescent="0.25">
      <c r="C180" s="51"/>
      <c r="D180" s="52"/>
      <c r="E180" s="50"/>
      <c r="F180" s="50"/>
      <c r="G180" s="50"/>
      <c r="H180" s="50"/>
      <c r="I180" s="50"/>
      <c r="J180" s="50"/>
    </row>
    <row r="181" spans="1:10" ht="20.100000000000001" customHeight="1" x14ac:dyDescent="0.25">
      <c r="C181" s="51"/>
      <c r="D181" s="52"/>
      <c r="E181" s="50"/>
      <c r="F181" s="50"/>
      <c r="G181" s="50"/>
      <c r="H181" s="50"/>
      <c r="I181" s="50"/>
      <c r="J181" s="50"/>
    </row>
    <row r="182" spans="1:10" ht="20.100000000000001" customHeight="1" x14ac:dyDescent="0.25">
      <c r="C182" s="51"/>
      <c r="D182" s="52"/>
      <c r="E182" s="50"/>
      <c r="F182" s="50"/>
      <c r="G182" s="50"/>
      <c r="H182" s="50"/>
      <c r="I182" s="50"/>
      <c r="J182" s="50"/>
    </row>
    <row r="183" spans="1:10" ht="20.100000000000001" customHeight="1" x14ac:dyDescent="0.25">
      <c r="C183" s="51"/>
      <c r="D183" s="52"/>
      <c r="E183" s="50"/>
      <c r="F183" s="50"/>
      <c r="G183" s="50"/>
      <c r="H183" s="50"/>
      <c r="I183" s="50"/>
      <c r="J183" s="50"/>
    </row>
    <row r="184" spans="1:10" ht="20.100000000000001" customHeight="1" x14ac:dyDescent="0.25">
      <c r="C184" s="51"/>
      <c r="D184" s="52"/>
      <c r="E184" s="50"/>
      <c r="F184" s="50"/>
      <c r="G184" s="50"/>
      <c r="H184" s="50"/>
      <c r="I184" s="50"/>
      <c r="J184" s="50"/>
    </row>
    <row r="185" spans="1:10" ht="20.100000000000001" customHeight="1" x14ac:dyDescent="0.25">
      <c r="C185" s="51"/>
      <c r="D185" s="52"/>
      <c r="E185" s="50"/>
      <c r="F185" s="50"/>
      <c r="G185" s="50"/>
      <c r="H185" s="50"/>
      <c r="I185" s="50"/>
      <c r="J185" s="50"/>
    </row>
    <row r="186" spans="1:10" ht="20.100000000000001" customHeight="1" x14ac:dyDescent="0.25">
      <c r="C186" s="51"/>
      <c r="D186" s="52"/>
      <c r="E186" s="50"/>
      <c r="F186" s="50"/>
      <c r="G186" s="50"/>
      <c r="H186" s="50"/>
      <c r="I186" s="50"/>
      <c r="J186" s="50"/>
    </row>
    <row r="189" spans="1:10" ht="20.100000000000001" customHeight="1" x14ac:dyDescent="0.25">
      <c r="A189" s="267" t="str">
        <f>A118</f>
        <v>IDADE EM % DA VIDA ÚTIL</v>
      </c>
      <c r="B189" s="268" t="str">
        <f t="shared" ref="B189:J189" si="5">B118</f>
        <v>ESTADO DE CONSERVAÇÃO</v>
      </c>
      <c r="C189" s="269">
        <f t="shared" si="5"/>
        <v>0</v>
      </c>
      <c r="D189" s="269">
        <f t="shared" si="5"/>
        <v>0</v>
      </c>
      <c r="E189" s="269">
        <f t="shared" si="5"/>
        <v>0</v>
      </c>
      <c r="F189" s="269">
        <f t="shared" si="5"/>
        <v>0</v>
      </c>
      <c r="G189" s="269">
        <f t="shared" si="5"/>
        <v>0</v>
      </c>
      <c r="H189" s="269">
        <f t="shared" si="5"/>
        <v>0</v>
      </c>
      <c r="I189" s="269">
        <f t="shared" si="5"/>
        <v>0</v>
      </c>
      <c r="J189" s="270">
        <f t="shared" si="5"/>
        <v>0</v>
      </c>
    </row>
    <row r="190" spans="1:10" ht="20.100000000000001" customHeight="1" x14ac:dyDescent="0.25">
      <c r="A190" s="267">
        <f t="shared" ref="A190:J205" si="6">A119</f>
        <v>0</v>
      </c>
      <c r="B190" s="265" t="s">
        <v>362</v>
      </c>
      <c r="C190" s="265">
        <f t="shared" si="6"/>
        <v>0</v>
      </c>
      <c r="D190" s="265">
        <f t="shared" si="6"/>
        <v>0</v>
      </c>
      <c r="E190" s="265">
        <f t="shared" si="6"/>
        <v>0</v>
      </c>
      <c r="F190" s="265">
        <f t="shared" si="6"/>
        <v>0</v>
      </c>
      <c r="G190" s="265">
        <f t="shared" si="6"/>
        <v>0</v>
      </c>
      <c r="H190" s="265">
        <f t="shared" si="6"/>
        <v>0</v>
      </c>
      <c r="I190" s="265">
        <f t="shared" si="6"/>
        <v>0</v>
      </c>
      <c r="J190" s="265">
        <f t="shared" si="6"/>
        <v>0</v>
      </c>
    </row>
    <row r="191" spans="1:10" ht="20.100000000000001" customHeight="1" x14ac:dyDescent="0.25">
      <c r="A191" s="267">
        <f t="shared" si="6"/>
        <v>0</v>
      </c>
      <c r="B191" s="267" t="str">
        <f t="shared" si="6"/>
        <v>Classificação do estado de conservação de acordo com a tabela de Heidecke</v>
      </c>
      <c r="C191" s="267">
        <f t="shared" si="6"/>
        <v>0</v>
      </c>
      <c r="D191" s="267">
        <f t="shared" si="6"/>
        <v>0</v>
      </c>
      <c r="E191" s="267">
        <f t="shared" si="6"/>
        <v>0</v>
      </c>
      <c r="F191" s="267">
        <f t="shared" si="6"/>
        <v>0</v>
      </c>
      <c r="G191" s="267">
        <f t="shared" si="6"/>
        <v>0</v>
      </c>
      <c r="H191" s="267">
        <f t="shared" si="6"/>
        <v>0</v>
      </c>
      <c r="I191" s="267">
        <f t="shared" si="6"/>
        <v>0</v>
      </c>
      <c r="J191" s="267">
        <f t="shared" si="6"/>
        <v>0</v>
      </c>
    </row>
    <row r="192" spans="1:10" ht="20.100000000000001" customHeight="1" x14ac:dyDescent="0.25">
      <c r="A192" s="267">
        <f t="shared" si="6"/>
        <v>0</v>
      </c>
      <c r="B192" s="47" t="str">
        <f t="shared" si="6"/>
        <v>A</v>
      </c>
      <c r="C192" s="47" t="str">
        <f t="shared" si="6"/>
        <v>B</v>
      </c>
      <c r="D192" s="47" t="str">
        <f t="shared" si="6"/>
        <v>C</v>
      </c>
      <c r="E192" s="47" t="str">
        <f t="shared" si="6"/>
        <v>D</v>
      </c>
      <c r="F192" s="47" t="str">
        <f t="shared" si="6"/>
        <v>E</v>
      </c>
      <c r="G192" s="47" t="str">
        <f t="shared" si="6"/>
        <v>F</v>
      </c>
      <c r="H192" s="47" t="str">
        <f t="shared" si="6"/>
        <v>G</v>
      </c>
      <c r="I192" s="47" t="str">
        <f t="shared" si="6"/>
        <v>H</v>
      </c>
      <c r="J192" s="47" t="str">
        <f t="shared" si="6"/>
        <v>I</v>
      </c>
    </row>
    <row r="193" spans="1:10" ht="20.100000000000001" customHeight="1" x14ac:dyDescent="0.25">
      <c r="A193" s="53">
        <f t="shared" si="6"/>
        <v>0</v>
      </c>
      <c r="B193" s="54">
        <f>-(B122/100)</f>
        <v>0</v>
      </c>
      <c r="C193" s="54">
        <f t="shared" ref="C193:J193" si="7">-(C122/100)</f>
        <v>-3.2000000000000002E-3</v>
      </c>
      <c r="D193" s="54">
        <f t="shared" si="7"/>
        <v>-2.52E-2</v>
      </c>
      <c r="E193" s="54">
        <f t="shared" si="7"/>
        <v>-8.09E-2</v>
      </c>
      <c r="F193" s="54">
        <f t="shared" si="7"/>
        <v>-0.18100000000000002</v>
      </c>
      <c r="G193" s="54">
        <f t="shared" si="7"/>
        <v>-0.33200000000000002</v>
      </c>
      <c r="H193" s="54">
        <f t="shared" si="7"/>
        <v>-0.52600000000000002</v>
      </c>
      <c r="I193" s="54">
        <f t="shared" si="7"/>
        <v>-0.752</v>
      </c>
      <c r="J193" s="54">
        <f t="shared" si="7"/>
        <v>-1</v>
      </c>
    </row>
    <row r="194" spans="1:10" ht="20.100000000000001" customHeight="1" x14ac:dyDescent="0.25">
      <c r="A194" s="53">
        <f t="shared" si="6"/>
        <v>0.02</v>
      </c>
      <c r="B194" s="54">
        <f t="shared" ref="B194:J209" si="8">-(B123/100)</f>
        <v>-1.0200000000000001E-2</v>
      </c>
      <c r="C194" s="54">
        <f t="shared" si="8"/>
        <v>-1.3367360000000002E-2</v>
      </c>
      <c r="D194" s="54">
        <f t="shared" si="8"/>
        <v>-3.5142960000000001E-2</v>
      </c>
      <c r="E194" s="54">
        <f t="shared" si="8"/>
        <v>-9.0274819999999992E-2</v>
      </c>
      <c r="F194" s="54">
        <f t="shared" si="8"/>
        <v>-0.18935380000000002</v>
      </c>
      <c r="G194" s="54">
        <f t="shared" si="8"/>
        <v>-0.3388136000000001</v>
      </c>
      <c r="H194" s="54">
        <f t="shared" si="8"/>
        <v>-0.53083480000000005</v>
      </c>
      <c r="I194" s="54">
        <f t="shared" si="8"/>
        <v>-0.75452960000000002</v>
      </c>
      <c r="J194" s="54">
        <f t="shared" si="8"/>
        <v>-1</v>
      </c>
    </row>
    <row r="195" spans="1:10" ht="20.100000000000001" customHeight="1" x14ac:dyDescent="0.25">
      <c r="A195" s="53">
        <f t="shared" si="6"/>
        <v>0.04</v>
      </c>
      <c r="B195" s="54">
        <f t="shared" si="8"/>
        <v>-2.0799999999999999E-2</v>
      </c>
      <c r="C195" s="54">
        <f t="shared" si="8"/>
        <v>-2.393344E-2</v>
      </c>
      <c r="D195" s="54">
        <f t="shared" si="8"/>
        <v>-4.5475840000000003E-2</v>
      </c>
      <c r="E195" s="54">
        <f t="shared" si="8"/>
        <v>-0.10001728</v>
      </c>
      <c r="F195" s="54">
        <f t="shared" si="8"/>
        <v>-0.19803519999999999</v>
      </c>
      <c r="G195" s="54">
        <f t="shared" si="8"/>
        <v>-0.34589440000000005</v>
      </c>
      <c r="H195" s="54">
        <f t="shared" si="8"/>
        <v>-0.53585919999999998</v>
      </c>
      <c r="I195" s="54">
        <f t="shared" si="8"/>
        <v>-0.75715840000000001</v>
      </c>
      <c r="J195" s="54">
        <f t="shared" si="8"/>
        <v>-1</v>
      </c>
    </row>
    <row r="196" spans="1:10" ht="20.100000000000001" customHeight="1" x14ac:dyDescent="0.25">
      <c r="A196" s="53">
        <f t="shared" si="6"/>
        <v>0.06</v>
      </c>
      <c r="B196" s="54">
        <f t="shared" si="8"/>
        <v>-3.1800000000000002E-2</v>
      </c>
      <c r="C196" s="54">
        <f t="shared" si="8"/>
        <v>-3.4898239999999997E-2</v>
      </c>
      <c r="D196" s="54">
        <f t="shared" si="8"/>
        <v>-5.6198639999999994E-2</v>
      </c>
      <c r="E196" s="54">
        <f t="shared" si="8"/>
        <v>-0.11012737999999998</v>
      </c>
      <c r="F196" s="54">
        <f t="shared" si="8"/>
        <v>-0.20704419999999998</v>
      </c>
      <c r="G196" s="54">
        <f t="shared" si="8"/>
        <v>-0.35324239999999996</v>
      </c>
      <c r="H196" s="54">
        <f t="shared" si="8"/>
        <v>-0.54107320000000003</v>
      </c>
      <c r="I196" s="54">
        <f t="shared" si="8"/>
        <v>-0.75988640000000007</v>
      </c>
      <c r="J196" s="54">
        <f t="shared" si="8"/>
        <v>-1</v>
      </c>
    </row>
    <row r="197" spans="1:10" ht="20.100000000000001" customHeight="1" x14ac:dyDescent="0.25">
      <c r="A197" s="53">
        <f t="shared" si="6"/>
        <v>0.08</v>
      </c>
      <c r="B197" s="54">
        <f t="shared" si="8"/>
        <v>-4.3200000000000002E-2</v>
      </c>
      <c r="C197" s="54">
        <f t="shared" si="8"/>
        <v>-4.6261759999999999E-2</v>
      </c>
      <c r="D197" s="54">
        <f t="shared" si="8"/>
        <v>-6.7311360000000015E-2</v>
      </c>
      <c r="E197" s="54">
        <f t="shared" si="8"/>
        <v>-0.12060512</v>
      </c>
      <c r="F197" s="54">
        <f t="shared" si="8"/>
        <v>-0.21638080000000001</v>
      </c>
      <c r="G197" s="54">
        <f t="shared" si="8"/>
        <v>-0.36085760000000006</v>
      </c>
      <c r="H197" s="54">
        <f t="shared" si="8"/>
        <v>-0.5464768000000001</v>
      </c>
      <c r="I197" s="54">
        <f t="shared" si="8"/>
        <v>-0.7627136000000001</v>
      </c>
      <c r="J197" s="54">
        <f t="shared" si="8"/>
        <v>-1</v>
      </c>
    </row>
    <row r="198" spans="1:10" ht="20.100000000000001" customHeight="1" x14ac:dyDescent="0.25">
      <c r="A198" s="53">
        <f t="shared" si="6"/>
        <v>0.1</v>
      </c>
      <c r="B198" s="54">
        <f t="shared" si="8"/>
        <v>-5.5000000000000007E-2</v>
      </c>
      <c r="C198" s="54">
        <f t="shared" si="8"/>
        <v>-5.8024000000000006E-2</v>
      </c>
      <c r="D198" s="54">
        <f t="shared" si="8"/>
        <v>-7.8814000000000009E-2</v>
      </c>
      <c r="E198" s="54">
        <f t="shared" si="8"/>
        <v>-0.13145050000000003</v>
      </c>
      <c r="F198" s="54">
        <f t="shared" si="8"/>
        <v>-0.22604500000000002</v>
      </c>
      <c r="G198" s="54">
        <f t="shared" si="8"/>
        <v>-0.36874000000000001</v>
      </c>
      <c r="H198" s="54">
        <f t="shared" si="8"/>
        <v>-0.55207000000000006</v>
      </c>
      <c r="I198" s="54">
        <f t="shared" si="8"/>
        <v>-0.7656400000000001</v>
      </c>
      <c r="J198" s="54">
        <f t="shared" si="8"/>
        <v>-1</v>
      </c>
    </row>
    <row r="199" spans="1:10" ht="20.100000000000001" customHeight="1" x14ac:dyDescent="0.25">
      <c r="A199" s="53">
        <f t="shared" si="6"/>
        <v>0.12000000000000001</v>
      </c>
      <c r="B199" s="54">
        <f t="shared" si="8"/>
        <v>-6.720000000000001E-2</v>
      </c>
      <c r="C199" s="54">
        <f t="shared" si="8"/>
        <v>-7.0184960000000005E-2</v>
      </c>
      <c r="D199" s="54">
        <f t="shared" si="8"/>
        <v>-9.0706560000000019E-2</v>
      </c>
      <c r="E199" s="54">
        <f t="shared" si="8"/>
        <v>-0.14266352000000002</v>
      </c>
      <c r="F199" s="54">
        <f t="shared" si="8"/>
        <v>-0.23603680000000005</v>
      </c>
      <c r="G199" s="54">
        <f t="shared" si="8"/>
        <v>-0.37688959999999999</v>
      </c>
      <c r="H199" s="54">
        <f t="shared" si="8"/>
        <v>-0.55785280000000004</v>
      </c>
      <c r="I199" s="54">
        <f t="shared" si="8"/>
        <v>-0.76866559999999995</v>
      </c>
      <c r="J199" s="54">
        <f t="shared" si="8"/>
        <v>-1</v>
      </c>
    </row>
    <row r="200" spans="1:10" ht="20.100000000000001" customHeight="1" x14ac:dyDescent="0.25">
      <c r="A200" s="53">
        <f t="shared" si="6"/>
        <v>0.14000000000000001</v>
      </c>
      <c r="B200" s="54">
        <f t="shared" si="8"/>
        <v>-7.980000000000001E-2</v>
      </c>
      <c r="C200" s="54">
        <f t="shared" si="8"/>
        <v>-8.2744640000000022E-2</v>
      </c>
      <c r="D200" s="54">
        <f t="shared" si="8"/>
        <v>-0.10298904</v>
      </c>
      <c r="E200" s="54">
        <f t="shared" si="8"/>
        <v>-0.15424418000000001</v>
      </c>
      <c r="F200" s="54">
        <f t="shared" si="8"/>
        <v>-0.24635620000000003</v>
      </c>
      <c r="G200" s="54">
        <f t="shared" si="8"/>
        <v>-0.38530640000000005</v>
      </c>
      <c r="H200" s="54">
        <f t="shared" si="8"/>
        <v>-0.56382520000000003</v>
      </c>
      <c r="I200" s="54">
        <f t="shared" si="8"/>
        <v>-0.77179039999999999</v>
      </c>
      <c r="J200" s="54">
        <f t="shared" si="8"/>
        <v>-1</v>
      </c>
    </row>
    <row r="201" spans="1:10" ht="20.100000000000001" customHeight="1" x14ac:dyDescent="0.25">
      <c r="A201" s="53">
        <f t="shared" si="6"/>
        <v>0.16</v>
      </c>
      <c r="B201" s="54">
        <f t="shared" si="8"/>
        <v>-9.2800000000000007E-2</v>
      </c>
      <c r="C201" s="54">
        <f t="shared" si="8"/>
        <v>-9.5703040000000017E-2</v>
      </c>
      <c r="D201" s="54">
        <f t="shared" si="8"/>
        <v>-0.11566144000000002</v>
      </c>
      <c r="E201" s="54">
        <f t="shared" si="8"/>
        <v>-0.16619248000000003</v>
      </c>
      <c r="F201" s="54">
        <f t="shared" si="8"/>
        <v>-0.25700319999999999</v>
      </c>
      <c r="G201" s="54">
        <f t="shared" si="8"/>
        <v>-0.39399040000000002</v>
      </c>
      <c r="H201" s="54">
        <f t="shared" si="8"/>
        <v>-0.56998720000000003</v>
      </c>
      <c r="I201" s="54">
        <f t="shared" si="8"/>
        <v>-0.77501439999999999</v>
      </c>
      <c r="J201" s="54">
        <f t="shared" si="8"/>
        <v>-1</v>
      </c>
    </row>
    <row r="202" spans="1:10" ht="20.100000000000001" customHeight="1" x14ac:dyDescent="0.25">
      <c r="A202" s="53">
        <f t="shared" si="6"/>
        <v>0.18</v>
      </c>
      <c r="B202" s="54">
        <f t="shared" si="8"/>
        <v>-0.10619999999999999</v>
      </c>
      <c r="C202" s="54">
        <f t="shared" si="8"/>
        <v>-0.10906015999999999</v>
      </c>
      <c r="D202" s="54">
        <f t="shared" si="8"/>
        <v>-0.12872375999999999</v>
      </c>
      <c r="E202" s="54">
        <f t="shared" si="8"/>
        <v>-0.17850842</v>
      </c>
      <c r="F202" s="54">
        <f t="shared" si="8"/>
        <v>-0.26797779999999993</v>
      </c>
      <c r="G202" s="54">
        <f t="shared" si="8"/>
        <v>-0.40294159999999996</v>
      </c>
      <c r="H202" s="54">
        <f t="shared" si="8"/>
        <v>-0.57633879999999993</v>
      </c>
      <c r="I202" s="54">
        <f t="shared" si="8"/>
        <v>-0.77833760000000007</v>
      </c>
      <c r="J202" s="54">
        <f t="shared" si="8"/>
        <v>-1</v>
      </c>
    </row>
    <row r="203" spans="1:10" ht="20.100000000000001" customHeight="1" x14ac:dyDescent="0.25">
      <c r="A203" s="53">
        <f t="shared" si="6"/>
        <v>0.19999999999999998</v>
      </c>
      <c r="B203" s="54">
        <f t="shared" si="8"/>
        <v>-0.12</v>
      </c>
      <c r="C203" s="54">
        <f t="shared" si="8"/>
        <v>-0.12281599999999999</v>
      </c>
      <c r="D203" s="54">
        <f t="shared" si="8"/>
        <v>-0.142176</v>
      </c>
      <c r="E203" s="54">
        <f t="shared" si="8"/>
        <v>-0.191192</v>
      </c>
      <c r="F203" s="54">
        <f t="shared" si="8"/>
        <v>-0.27928000000000003</v>
      </c>
      <c r="G203" s="54">
        <f t="shared" si="8"/>
        <v>-0.41216000000000008</v>
      </c>
      <c r="H203" s="54">
        <f t="shared" si="8"/>
        <v>-0.58288000000000006</v>
      </c>
      <c r="I203" s="54">
        <f t="shared" si="8"/>
        <v>-0.78176000000000001</v>
      </c>
      <c r="J203" s="54">
        <f t="shared" si="8"/>
        <v>-1</v>
      </c>
    </row>
    <row r="204" spans="1:10" ht="20.100000000000001" customHeight="1" x14ac:dyDescent="0.25">
      <c r="A204" s="53">
        <f t="shared" si="6"/>
        <v>0.21999999999999997</v>
      </c>
      <c r="B204" s="54">
        <f t="shared" si="8"/>
        <v>-0.13419999999999999</v>
      </c>
      <c r="C204" s="54">
        <f t="shared" si="8"/>
        <v>-0.13697055999999999</v>
      </c>
      <c r="D204" s="54">
        <f t="shared" si="8"/>
        <v>-0.15601815999999999</v>
      </c>
      <c r="E204" s="54">
        <f t="shared" si="8"/>
        <v>-0.20424321999999998</v>
      </c>
      <c r="F204" s="54">
        <f t="shared" si="8"/>
        <v>-0.2909098</v>
      </c>
      <c r="G204" s="54">
        <f t="shared" si="8"/>
        <v>-0.42164559999999995</v>
      </c>
      <c r="H204" s="54">
        <f t="shared" si="8"/>
        <v>-0.58961079999999999</v>
      </c>
      <c r="I204" s="54">
        <f t="shared" si="8"/>
        <v>-0.78528160000000002</v>
      </c>
      <c r="J204" s="54">
        <f t="shared" si="8"/>
        <v>-1</v>
      </c>
    </row>
    <row r="205" spans="1:10" ht="20.100000000000001" customHeight="1" x14ac:dyDescent="0.25">
      <c r="A205" s="53">
        <f t="shared" si="6"/>
        <v>0.23999999999999996</v>
      </c>
      <c r="B205" s="54">
        <f t="shared" si="8"/>
        <v>-0.14879999999999999</v>
      </c>
      <c r="C205" s="54">
        <f t="shared" si="8"/>
        <v>-0.15152383999999999</v>
      </c>
      <c r="D205" s="54">
        <f t="shared" si="8"/>
        <v>-0.17025024</v>
      </c>
      <c r="E205" s="54">
        <f t="shared" si="8"/>
        <v>-0.21766207999999998</v>
      </c>
      <c r="F205" s="54">
        <f t="shared" si="8"/>
        <v>-0.3028672</v>
      </c>
      <c r="G205" s="54">
        <f t="shared" si="8"/>
        <v>-0.43139840000000007</v>
      </c>
      <c r="H205" s="54">
        <f t="shared" si="8"/>
        <v>-0.59653120000000004</v>
      </c>
      <c r="I205" s="54">
        <f t="shared" si="8"/>
        <v>-0.7889024</v>
      </c>
      <c r="J205" s="54">
        <f t="shared" si="8"/>
        <v>-1</v>
      </c>
    </row>
    <row r="206" spans="1:10" ht="20.100000000000001" customHeight="1" x14ac:dyDescent="0.25">
      <c r="A206" s="53">
        <f t="shared" ref="A206:A209" si="9">A135</f>
        <v>0.25999999999999995</v>
      </c>
      <c r="B206" s="54">
        <f t="shared" si="8"/>
        <v>-0.1638</v>
      </c>
      <c r="C206" s="54">
        <f t="shared" si="8"/>
        <v>-0.16647583999999999</v>
      </c>
      <c r="D206" s="54">
        <f t="shared" si="8"/>
        <v>-0.18487223999999997</v>
      </c>
      <c r="E206" s="54">
        <f t="shared" si="8"/>
        <v>-0.23144857999999999</v>
      </c>
      <c r="F206" s="54">
        <f t="shared" si="8"/>
        <v>-0.31515219999999999</v>
      </c>
      <c r="G206" s="54">
        <f t="shared" si="8"/>
        <v>-0.44141840000000004</v>
      </c>
      <c r="H206" s="54">
        <f t="shared" si="8"/>
        <v>-0.60364119999999999</v>
      </c>
      <c r="I206" s="54">
        <f t="shared" si="8"/>
        <v>-0.79262240000000006</v>
      </c>
      <c r="J206" s="54">
        <f t="shared" si="8"/>
        <v>-1</v>
      </c>
    </row>
    <row r="207" spans="1:10" ht="20.100000000000001" customHeight="1" x14ac:dyDescent="0.25">
      <c r="A207" s="53">
        <f t="shared" si="9"/>
        <v>0.27999999999999997</v>
      </c>
      <c r="B207" s="54">
        <f t="shared" si="8"/>
        <v>-0.17919999999999997</v>
      </c>
      <c r="C207" s="54">
        <f t="shared" si="8"/>
        <v>-0.18182655999999997</v>
      </c>
      <c r="D207" s="54">
        <f t="shared" si="8"/>
        <v>-0.19988415999999998</v>
      </c>
      <c r="E207" s="54">
        <f t="shared" si="8"/>
        <v>-0.24560271999999997</v>
      </c>
      <c r="F207" s="54">
        <f t="shared" si="8"/>
        <v>-0.32776479999999997</v>
      </c>
      <c r="G207" s="54">
        <f t="shared" si="8"/>
        <v>-0.45170559999999993</v>
      </c>
      <c r="H207" s="54">
        <f t="shared" si="8"/>
        <v>-0.61094080000000006</v>
      </c>
      <c r="I207" s="54">
        <f t="shared" si="8"/>
        <v>-0.79644159999999997</v>
      </c>
      <c r="J207" s="54">
        <f t="shared" si="8"/>
        <v>-1</v>
      </c>
    </row>
    <row r="208" spans="1:10" ht="20.100000000000001" customHeight="1" x14ac:dyDescent="0.25">
      <c r="A208" s="53">
        <f t="shared" si="9"/>
        <v>0.3</v>
      </c>
      <c r="B208" s="54">
        <f t="shared" si="8"/>
        <v>-0.19500000000000001</v>
      </c>
      <c r="C208" s="54">
        <f t="shared" si="8"/>
        <v>-0.197576</v>
      </c>
      <c r="D208" s="54">
        <f t="shared" si="8"/>
        <v>-0.21528600000000001</v>
      </c>
      <c r="E208" s="54">
        <f t="shared" si="8"/>
        <v>-0.26012450000000004</v>
      </c>
      <c r="F208" s="54">
        <f t="shared" si="8"/>
        <v>-0.34070500000000004</v>
      </c>
      <c r="G208" s="54">
        <f t="shared" si="8"/>
        <v>-0.46226</v>
      </c>
      <c r="H208" s="54">
        <f t="shared" si="8"/>
        <v>-0.61843000000000004</v>
      </c>
      <c r="I208" s="54">
        <f t="shared" si="8"/>
        <v>-0.80035999999999996</v>
      </c>
      <c r="J208" s="54">
        <f t="shared" si="8"/>
        <v>-1</v>
      </c>
    </row>
    <row r="209" spans="1:10" ht="20.100000000000001" customHeight="1" x14ac:dyDescent="0.25">
      <c r="A209" s="53">
        <f t="shared" si="9"/>
        <v>0.32</v>
      </c>
      <c r="B209" s="54">
        <f t="shared" si="8"/>
        <v>-0.2112</v>
      </c>
      <c r="C209" s="54">
        <f t="shared" si="8"/>
        <v>-0.21372416000000002</v>
      </c>
      <c r="D209" s="54">
        <f t="shared" si="8"/>
        <v>-0.23107776000000002</v>
      </c>
      <c r="E209" s="54">
        <f t="shared" si="8"/>
        <v>-0.27501392000000002</v>
      </c>
      <c r="F209" s="54">
        <f t="shared" si="8"/>
        <v>-0.35397280000000003</v>
      </c>
      <c r="G209" s="54">
        <f t="shared" si="8"/>
        <v>-0.47308159999999999</v>
      </c>
      <c r="H209" s="54">
        <f t="shared" si="8"/>
        <v>-0.62610879999999991</v>
      </c>
      <c r="I209" s="54">
        <f t="shared" si="8"/>
        <v>-0.80437760000000003</v>
      </c>
      <c r="J209" s="54">
        <f t="shared" si="8"/>
        <v>-1</v>
      </c>
    </row>
    <row r="210" spans="1:10" ht="20.100000000000001" customHeight="1" x14ac:dyDescent="0.25">
      <c r="A210" s="53">
        <f>A139</f>
        <v>0.34</v>
      </c>
      <c r="B210" s="54">
        <f t="shared" ref="B210:J225" si="10">-(B139/100)</f>
        <v>-0.22780000000000006</v>
      </c>
      <c r="C210" s="54">
        <f t="shared" si="10"/>
        <v>-0.23027104000000004</v>
      </c>
      <c r="D210" s="54">
        <f t="shared" si="10"/>
        <v>-0.24725944000000005</v>
      </c>
      <c r="E210" s="54">
        <f t="shared" si="10"/>
        <v>-0.29027098000000001</v>
      </c>
      <c r="F210" s="54">
        <f t="shared" si="10"/>
        <v>-0.36756820000000007</v>
      </c>
      <c r="G210" s="54">
        <f t="shared" si="10"/>
        <v>-0.48417040000000006</v>
      </c>
      <c r="H210" s="54">
        <f t="shared" si="10"/>
        <v>-0.63397720000000002</v>
      </c>
      <c r="I210" s="54">
        <f t="shared" si="10"/>
        <v>-0.80849440000000017</v>
      </c>
      <c r="J210" s="54">
        <f t="shared" si="10"/>
        <v>-1</v>
      </c>
    </row>
    <row r="211" spans="1:10" ht="20.100000000000001" customHeight="1" x14ac:dyDescent="0.25">
      <c r="A211" s="53">
        <f t="shared" ref="A211:A225" si="11">A140</f>
        <v>0.36000000000000004</v>
      </c>
      <c r="B211" s="54">
        <f t="shared" si="10"/>
        <v>-0.24480000000000002</v>
      </c>
      <c r="C211" s="54">
        <f t="shared" si="10"/>
        <v>-0.24721664000000002</v>
      </c>
      <c r="D211" s="54">
        <f t="shared" si="10"/>
        <v>-0.26383104000000002</v>
      </c>
      <c r="E211" s="54">
        <f t="shared" si="10"/>
        <v>-0.30589568</v>
      </c>
      <c r="F211" s="54">
        <f t="shared" si="10"/>
        <v>-0.38149119999999997</v>
      </c>
      <c r="G211" s="54">
        <f t="shared" si="10"/>
        <v>-0.49552639999999998</v>
      </c>
      <c r="H211" s="54">
        <f t="shared" si="10"/>
        <v>-0.64203520000000003</v>
      </c>
      <c r="I211" s="54">
        <f t="shared" si="10"/>
        <v>-0.81271039999999994</v>
      </c>
      <c r="J211" s="54">
        <f t="shared" si="10"/>
        <v>-1</v>
      </c>
    </row>
    <row r="212" spans="1:10" ht="20.100000000000001" customHeight="1" x14ac:dyDescent="0.25">
      <c r="A212" s="53">
        <f t="shared" si="11"/>
        <v>0.38000000000000006</v>
      </c>
      <c r="B212" s="54">
        <f t="shared" si="10"/>
        <v>-0.26220000000000004</v>
      </c>
      <c r="C212" s="54">
        <f t="shared" si="10"/>
        <v>-0.26456096000000007</v>
      </c>
      <c r="D212" s="54">
        <f t="shared" si="10"/>
        <v>-0.28079256000000002</v>
      </c>
      <c r="E212" s="54">
        <f t="shared" si="10"/>
        <v>-0.32188802000000005</v>
      </c>
      <c r="F212" s="54">
        <f t="shared" si="10"/>
        <v>-0.39574180000000003</v>
      </c>
      <c r="G212" s="54">
        <f t="shared" si="10"/>
        <v>-0.50714960000000009</v>
      </c>
      <c r="H212" s="54">
        <f t="shared" si="10"/>
        <v>-0.65028279999999994</v>
      </c>
      <c r="I212" s="54">
        <f t="shared" si="10"/>
        <v>-0.81702560000000002</v>
      </c>
      <c r="J212" s="54">
        <f t="shared" si="10"/>
        <v>-1</v>
      </c>
    </row>
    <row r="213" spans="1:10" ht="20.100000000000001" customHeight="1" x14ac:dyDescent="0.25">
      <c r="A213" s="53">
        <f t="shared" si="11"/>
        <v>0.40000000000000008</v>
      </c>
      <c r="B213" s="54">
        <f t="shared" si="10"/>
        <v>-0.28000000000000008</v>
      </c>
      <c r="C213" s="54">
        <f t="shared" si="10"/>
        <v>-0.28230400000000005</v>
      </c>
      <c r="D213" s="54">
        <f t="shared" si="10"/>
        <v>-0.29814400000000008</v>
      </c>
      <c r="E213" s="54">
        <f t="shared" si="10"/>
        <v>-0.3382480000000001</v>
      </c>
      <c r="F213" s="54">
        <f t="shared" si="10"/>
        <v>-0.41032000000000013</v>
      </c>
      <c r="G213" s="54">
        <f t="shared" si="10"/>
        <v>-0.51904000000000006</v>
      </c>
      <c r="H213" s="54">
        <f t="shared" si="10"/>
        <v>-0.65872000000000019</v>
      </c>
      <c r="I213" s="54">
        <f t="shared" si="10"/>
        <v>-0.82144000000000006</v>
      </c>
      <c r="J213" s="54">
        <f t="shared" si="10"/>
        <v>-1</v>
      </c>
    </row>
    <row r="214" spans="1:10" ht="20.100000000000001" customHeight="1" x14ac:dyDescent="0.25">
      <c r="A214" s="53">
        <f t="shared" si="11"/>
        <v>0.4200000000000001</v>
      </c>
      <c r="B214" s="54">
        <f t="shared" si="10"/>
        <v>-0.29820000000000008</v>
      </c>
      <c r="C214" s="54">
        <f t="shared" si="10"/>
        <v>-0.30044576000000006</v>
      </c>
      <c r="D214" s="54">
        <f t="shared" si="10"/>
        <v>-0.31588536000000006</v>
      </c>
      <c r="E214" s="54">
        <f t="shared" si="10"/>
        <v>-0.3549756200000001</v>
      </c>
      <c r="F214" s="54">
        <f t="shared" si="10"/>
        <v>-0.42522580000000004</v>
      </c>
      <c r="G214" s="54">
        <f t="shared" si="10"/>
        <v>-0.53119760000000016</v>
      </c>
      <c r="H214" s="54">
        <f t="shared" si="10"/>
        <v>-0.66734680000000002</v>
      </c>
      <c r="I214" s="54">
        <f t="shared" si="10"/>
        <v>-0.82595359999999995</v>
      </c>
      <c r="J214" s="54">
        <f t="shared" si="10"/>
        <v>-1</v>
      </c>
    </row>
    <row r="215" spans="1:10" ht="20.100000000000001" customHeight="1" x14ac:dyDescent="0.25">
      <c r="A215" s="53">
        <f t="shared" si="11"/>
        <v>0.44000000000000011</v>
      </c>
      <c r="B215" s="54">
        <f t="shared" si="10"/>
        <v>-0.31680000000000008</v>
      </c>
      <c r="C215" s="54">
        <f t="shared" si="10"/>
        <v>-0.31898624000000003</v>
      </c>
      <c r="D215" s="54">
        <f t="shared" si="10"/>
        <v>-0.33401664000000003</v>
      </c>
      <c r="E215" s="54">
        <f t="shared" si="10"/>
        <v>-0.37207088000000005</v>
      </c>
      <c r="F215" s="54">
        <f t="shared" si="10"/>
        <v>-0.44045920000000011</v>
      </c>
      <c r="G215" s="54">
        <f t="shared" si="10"/>
        <v>-0.54362240000000006</v>
      </c>
      <c r="H215" s="54">
        <f t="shared" si="10"/>
        <v>-0.67616319999999996</v>
      </c>
      <c r="I215" s="54">
        <f t="shared" si="10"/>
        <v>-0.83056640000000004</v>
      </c>
      <c r="J215" s="54">
        <f t="shared" si="10"/>
        <v>-1</v>
      </c>
    </row>
    <row r="216" spans="1:10" ht="20.100000000000001" customHeight="1" x14ac:dyDescent="0.25">
      <c r="A216" s="53">
        <f t="shared" si="11"/>
        <v>0.46000000000000013</v>
      </c>
      <c r="B216" s="54">
        <f t="shared" si="10"/>
        <v>-0.3358000000000001</v>
      </c>
      <c r="C216" s="54">
        <f t="shared" si="10"/>
        <v>-0.33792544000000013</v>
      </c>
      <c r="D216" s="54">
        <f t="shared" si="10"/>
        <v>-0.3525378400000001</v>
      </c>
      <c r="E216" s="54">
        <f t="shared" si="10"/>
        <v>-0.38953378000000016</v>
      </c>
      <c r="F216" s="54">
        <f t="shared" si="10"/>
        <v>-0.4560202000000001</v>
      </c>
      <c r="G216" s="54">
        <f t="shared" si="10"/>
        <v>-0.5563144000000001</v>
      </c>
      <c r="H216" s="54">
        <f t="shared" si="10"/>
        <v>-0.68516920000000003</v>
      </c>
      <c r="I216" s="54">
        <f t="shared" si="10"/>
        <v>-0.83527840000000009</v>
      </c>
      <c r="J216" s="54">
        <f t="shared" si="10"/>
        <v>-1</v>
      </c>
    </row>
    <row r="217" spans="1:10" ht="20.100000000000001" customHeight="1" x14ac:dyDescent="0.25">
      <c r="A217" s="53">
        <f t="shared" si="11"/>
        <v>0.48000000000000015</v>
      </c>
      <c r="B217" s="54">
        <f t="shared" si="10"/>
        <v>-0.35520000000000013</v>
      </c>
      <c r="C217" s="54">
        <f t="shared" si="10"/>
        <v>-0.35726336000000009</v>
      </c>
      <c r="D217" s="54">
        <f t="shared" si="10"/>
        <v>-0.37144896000000011</v>
      </c>
      <c r="E217" s="54">
        <f t="shared" si="10"/>
        <v>-0.40736432000000006</v>
      </c>
      <c r="F217" s="54">
        <f t="shared" si="10"/>
        <v>-0.47190880000000007</v>
      </c>
      <c r="G217" s="54">
        <f t="shared" si="10"/>
        <v>-0.56927360000000005</v>
      </c>
      <c r="H217" s="54">
        <f t="shared" si="10"/>
        <v>-0.69436480000000023</v>
      </c>
      <c r="I217" s="54">
        <f t="shared" si="10"/>
        <v>-0.84008959999999999</v>
      </c>
      <c r="J217" s="54">
        <f t="shared" si="10"/>
        <v>-1</v>
      </c>
    </row>
    <row r="218" spans="1:10" ht="20.100000000000001" customHeight="1" x14ac:dyDescent="0.25">
      <c r="A218" s="53">
        <f t="shared" si="11"/>
        <v>0.50000000000000011</v>
      </c>
      <c r="B218" s="54">
        <f t="shared" si="10"/>
        <v>-0.37500000000000017</v>
      </c>
      <c r="C218" s="54">
        <f t="shared" si="10"/>
        <v>-0.37700000000000017</v>
      </c>
      <c r="D218" s="54">
        <f t="shared" si="10"/>
        <v>-0.39075000000000015</v>
      </c>
      <c r="E218" s="54">
        <f t="shared" si="10"/>
        <v>-0.42556250000000012</v>
      </c>
      <c r="F218" s="54">
        <f t="shared" si="10"/>
        <v>-0.48812500000000014</v>
      </c>
      <c r="G218" s="54">
        <f t="shared" si="10"/>
        <v>-0.58250000000000013</v>
      </c>
      <c r="H218" s="54">
        <f t="shared" si="10"/>
        <v>-0.70374999999999999</v>
      </c>
      <c r="I218" s="54">
        <f t="shared" si="10"/>
        <v>-0.84499999999999997</v>
      </c>
      <c r="J218" s="54">
        <f t="shared" si="10"/>
        <v>-1</v>
      </c>
    </row>
    <row r="219" spans="1:10" ht="20.100000000000001" customHeight="1" x14ac:dyDescent="0.25">
      <c r="A219" s="53">
        <f t="shared" si="11"/>
        <v>0.52000000000000013</v>
      </c>
      <c r="B219" s="54">
        <f t="shared" si="10"/>
        <v>-0.39520000000000011</v>
      </c>
      <c r="C219" s="54">
        <f t="shared" si="10"/>
        <v>-0.3971353600000001</v>
      </c>
      <c r="D219" s="54">
        <f t="shared" si="10"/>
        <v>-0.41044096000000008</v>
      </c>
      <c r="E219" s="54">
        <f t="shared" si="10"/>
        <v>-0.44412832000000008</v>
      </c>
      <c r="F219" s="54">
        <f t="shared" si="10"/>
        <v>-0.50466880000000014</v>
      </c>
      <c r="G219" s="54">
        <f t="shared" si="10"/>
        <v>-0.59599360000000001</v>
      </c>
      <c r="H219" s="54">
        <f t="shared" si="10"/>
        <v>-0.71332480000000009</v>
      </c>
      <c r="I219" s="54">
        <f t="shared" si="10"/>
        <v>-0.85000960000000003</v>
      </c>
      <c r="J219" s="54">
        <f t="shared" si="10"/>
        <v>-1</v>
      </c>
    </row>
    <row r="220" spans="1:10" ht="20.100000000000001" customHeight="1" x14ac:dyDescent="0.25">
      <c r="A220" s="53">
        <f t="shared" si="11"/>
        <v>0.54000000000000015</v>
      </c>
      <c r="B220" s="54">
        <f t="shared" si="10"/>
        <v>-0.41580000000000017</v>
      </c>
      <c r="C220" s="54">
        <f t="shared" si="10"/>
        <v>-0.41766944000000017</v>
      </c>
      <c r="D220" s="54">
        <f t="shared" si="10"/>
        <v>-0.43052184000000016</v>
      </c>
      <c r="E220" s="54">
        <f t="shared" si="10"/>
        <v>-0.46306178000000014</v>
      </c>
      <c r="F220" s="54">
        <f t="shared" si="10"/>
        <v>-0.52154020000000012</v>
      </c>
      <c r="G220" s="54">
        <f t="shared" si="10"/>
        <v>-0.60975440000000014</v>
      </c>
      <c r="H220" s="54">
        <f t="shared" si="10"/>
        <v>-0.72308919999999999</v>
      </c>
      <c r="I220" s="54">
        <f t="shared" si="10"/>
        <v>-0.85511840000000006</v>
      </c>
      <c r="J220" s="54">
        <f t="shared" si="10"/>
        <v>-1</v>
      </c>
    </row>
    <row r="221" spans="1:10" ht="20.100000000000001" customHeight="1" x14ac:dyDescent="0.25">
      <c r="A221" s="53">
        <f t="shared" si="11"/>
        <v>0.56000000000000016</v>
      </c>
      <c r="B221" s="54">
        <f t="shared" si="10"/>
        <v>-0.43680000000000019</v>
      </c>
      <c r="C221" s="54">
        <f t="shared" si="10"/>
        <v>-0.43860224000000025</v>
      </c>
      <c r="D221" s="54">
        <f t="shared" si="10"/>
        <v>-0.45099264000000017</v>
      </c>
      <c r="E221" s="54">
        <f t="shared" si="10"/>
        <v>-0.48236288000000016</v>
      </c>
      <c r="F221" s="54">
        <f t="shared" si="10"/>
        <v>-0.5387392000000002</v>
      </c>
      <c r="G221" s="54">
        <f t="shared" si="10"/>
        <v>-0.62378240000000018</v>
      </c>
      <c r="H221" s="54">
        <f t="shared" si="10"/>
        <v>-0.73304320000000023</v>
      </c>
      <c r="I221" s="54">
        <f t="shared" si="10"/>
        <v>-0.86032640000000005</v>
      </c>
      <c r="J221" s="54">
        <f t="shared" si="10"/>
        <v>-1</v>
      </c>
    </row>
    <row r="222" spans="1:10" ht="20.100000000000001" customHeight="1" x14ac:dyDescent="0.25">
      <c r="A222" s="53">
        <f t="shared" si="11"/>
        <v>0.58000000000000018</v>
      </c>
      <c r="B222" s="54">
        <f t="shared" si="10"/>
        <v>-0.45820000000000016</v>
      </c>
      <c r="C222" s="54">
        <f t="shared" si="10"/>
        <v>-0.45993376000000014</v>
      </c>
      <c r="D222" s="54">
        <f t="shared" si="10"/>
        <v>-0.47185336000000011</v>
      </c>
      <c r="E222" s="54">
        <f t="shared" si="10"/>
        <v>-0.50203162000000012</v>
      </c>
      <c r="F222" s="54">
        <f t="shared" si="10"/>
        <v>-0.55626580000000014</v>
      </c>
      <c r="G222" s="54">
        <f t="shared" si="10"/>
        <v>-0.63807760000000013</v>
      </c>
      <c r="H222" s="54">
        <f t="shared" si="10"/>
        <v>-0.74318680000000004</v>
      </c>
      <c r="I222" s="54">
        <f t="shared" si="10"/>
        <v>-0.8656336</v>
      </c>
      <c r="J222" s="54">
        <f t="shared" si="10"/>
        <v>-1</v>
      </c>
    </row>
    <row r="223" spans="1:10" ht="20.100000000000001" customHeight="1" x14ac:dyDescent="0.25">
      <c r="A223" s="53">
        <f t="shared" si="11"/>
        <v>0.6000000000000002</v>
      </c>
      <c r="B223" s="54">
        <f t="shared" si="10"/>
        <v>-0.4800000000000002</v>
      </c>
      <c r="C223" s="54">
        <f t="shared" si="10"/>
        <v>-0.48166400000000026</v>
      </c>
      <c r="D223" s="54">
        <f t="shared" si="10"/>
        <v>-0.49310400000000021</v>
      </c>
      <c r="E223" s="54">
        <f t="shared" si="10"/>
        <v>-0.5220680000000002</v>
      </c>
      <c r="F223" s="54">
        <f t="shared" si="10"/>
        <v>-0.57412000000000019</v>
      </c>
      <c r="G223" s="54">
        <f t="shared" si="10"/>
        <v>-0.65264000000000011</v>
      </c>
      <c r="H223" s="54">
        <f t="shared" si="10"/>
        <v>-0.75352000000000008</v>
      </c>
      <c r="I223" s="54">
        <f t="shared" si="10"/>
        <v>-0.87104000000000015</v>
      </c>
      <c r="J223" s="54">
        <f t="shared" si="10"/>
        <v>-1</v>
      </c>
    </row>
    <row r="224" spans="1:10" ht="20.100000000000001" customHeight="1" x14ac:dyDescent="0.25">
      <c r="A224" s="53">
        <f t="shared" si="11"/>
        <v>0.62000000000000022</v>
      </c>
      <c r="B224" s="54">
        <f t="shared" si="10"/>
        <v>-0.5022000000000002</v>
      </c>
      <c r="C224" s="54">
        <f t="shared" si="10"/>
        <v>-0.50379296000000018</v>
      </c>
      <c r="D224" s="54">
        <f t="shared" si="10"/>
        <v>-0.51474456000000013</v>
      </c>
      <c r="E224" s="54">
        <f t="shared" si="10"/>
        <v>-0.54247202000000017</v>
      </c>
      <c r="F224" s="54">
        <f t="shared" si="10"/>
        <v>-0.59230180000000021</v>
      </c>
      <c r="G224" s="54">
        <f t="shared" si="10"/>
        <v>-0.66746960000000011</v>
      </c>
      <c r="H224" s="54">
        <f t="shared" si="10"/>
        <v>-0.76404280000000013</v>
      </c>
      <c r="I224" s="54">
        <f t="shared" si="10"/>
        <v>-0.87654560000000004</v>
      </c>
      <c r="J224" s="54">
        <f t="shared" si="10"/>
        <v>-1</v>
      </c>
    </row>
    <row r="225" spans="1:10" ht="20.100000000000001" customHeight="1" x14ac:dyDescent="0.25">
      <c r="A225" s="53">
        <f t="shared" si="11"/>
        <v>0.64000000000000024</v>
      </c>
      <c r="B225" s="54">
        <f t="shared" si="10"/>
        <v>-0.52480000000000027</v>
      </c>
      <c r="C225" s="54">
        <f t="shared" si="10"/>
        <v>-0.52632064000000023</v>
      </c>
      <c r="D225" s="54">
        <f t="shared" si="10"/>
        <v>-0.53677504000000031</v>
      </c>
      <c r="E225" s="54">
        <f t="shared" si="10"/>
        <v>-0.56324368000000025</v>
      </c>
      <c r="F225" s="54">
        <f t="shared" si="10"/>
        <v>-0.61081120000000022</v>
      </c>
      <c r="G225" s="54">
        <f t="shared" si="10"/>
        <v>-0.68256640000000024</v>
      </c>
      <c r="H225" s="54">
        <f t="shared" si="10"/>
        <v>-0.7747552000000002</v>
      </c>
      <c r="I225" s="54">
        <f t="shared" si="10"/>
        <v>-0.88215040000000011</v>
      </c>
      <c r="J225" s="54">
        <f t="shared" si="10"/>
        <v>-1</v>
      </c>
    </row>
    <row r="226" spans="1:10" ht="20.100000000000001" customHeight="1" x14ac:dyDescent="0.25">
      <c r="A226" s="53">
        <f>A155</f>
        <v>0.66000000000000025</v>
      </c>
      <c r="B226" s="54">
        <f t="shared" ref="B226:J241" si="12">-(B155/100)</f>
        <v>-0.54780000000000029</v>
      </c>
      <c r="C226" s="54">
        <f t="shared" si="12"/>
        <v>-0.54924704000000024</v>
      </c>
      <c r="D226" s="54">
        <f t="shared" si="12"/>
        <v>-0.55919544000000032</v>
      </c>
      <c r="E226" s="54">
        <f t="shared" si="12"/>
        <v>-0.58438298000000022</v>
      </c>
      <c r="F226" s="54">
        <f t="shared" si="12"/>
        <v>-0.62964820000000021</v>
      </c>
      <c r="G226" s="54">
        <f t="shared" si="12"/>
        <v>-0.69793040000000017</v>
      </c>
      <c r="H226" s="54">
        <f t="shared" si="12"/>
        <v>-0.78565720000000017</v>
      </c>
      <c r="I226" s="54">
        <f t="shared" si="12"/>
        <v>-0.88785440000000004</v>
      </c>
      <c r="J226" s="54">
        <f t="shared" si="12"/>
        <v>-1</v>
      </c>
    </row>
    <row r="227" spans="1:10" ht="20.100000000000001" customHeight="1" x14ac:dyDescent="0.25">
      <c r="A227" s="53">
        <f t="shared" ref="A227:A243" si="13">A156</f>
        <v>0.68000000000000027</v>
      </c>
      <c r="B227" s="54">
        <f t="shared" si="12"/>
        <v>-0.57120000000000037</v>
      </c>
      <c r="C227" s="54">
        <f t="shared" si="12"/>
        <v>-0.57257216000000044</v>
      </c>
      <c r="D227" s="54">
        <f t="shared" si="12"/>
        <v>-0.58200576000000037</v>
      </c>
      <c r="E227" s="54">
        <f t="shared" si="12"/>
        <v>-0.6058899200000003</v>
      </c>
      <c r="F227" s="54">
        <f t="shared" si="12"/>
        <v>-0.6488128000000003</v>
      </c>
      <c r="G227" s="54">
        <f t="shared" si="12"/>
        <v>-0.71356160000000035</v>
      </c>
      <c r="H227" s="54">
        <f t="shared" si="12"/>
        <v>-0.79674880000000015</v>
      </c>
      <c r="I227" s="54">
        <f t="shared" si="12"/>
        <v>-0.89365760000000027</v>
      </c>
      <c r="J227" s="54">
        <f t="shared" si="12"/>
        <v>-1</v>
      </c>
    </row>
    <row r="228" spans="1:10" ht="20.100000000000001" customHeight="1" x14ac:dyDescent="0.25">
      <c r="A228" s="53">
        <f t="shared" si="13"/>
        <v>0.70000000000000029</v>
      </c>
      <c r="B228" s="54">
        <f t="shared" si="12"/>
        <v>-0.59500000000000031</v>
      </c>
      <c r="C228" s="54">
        <f t="shared" si="12"/>
        <v>-0.59629600000000027</v>
      </c>
      <c r="D228" s="54">
        <f t="shared" si="12"/>
        <v>-0.60520600000000035</v>
      </c>
      <c r="E228" s="54">
        <f t="shared" si="12"/>
        <v>-0.62776450000000028</v>
      </c>
      <c r="F228" s="54">
        <f t="shared" si="12"/>
        <v>-0.66830500000000026</v>
      </c>
      <c r="G228" s="54">
        <f t="shared" si="12"/>
        <v>-0.72946000000000022</v>
      </c>
      <c r="H228" s="54">
        <f t="shared" si="12"/>
        <v>-0.80803000000000014</v>
      </c>
      <c r="I228" s="54">
        <f t="shared" si="12"/>
        <v>-0.89956000000000014</v>
      </c>
      <c r="J228" s="54">
        <f t="shared" si="12"/>
        <v>-1</v>
      </c>
    </row>
    <row r="229" spans="1:10" ht="20.100000000000001" customHeight="1" x14ac:dyDescent="0.25">
      <c r="A229" s="53">
        <f t="shared" si="13"/>
        <v>0.72000000000000031</v>
      </c>
      <c r="B229" s="54">
        <f t="shared" si="12"/>
        <v>-0.61920000000000042</v>
      </c>
      <c r="C229" s="54">
        <f t="shared" si="12"/>
        <v>-0.62041856000000051</v>
      </c>
      <c r="D229" s="54">
        <f t="shared" si="12"/>
        <v>-0.62879616000000038</v>
      </c>
      <c r="E229" s="54">
        <f t="shared" si="12"/>
        <v>-0.65000672000000037</v>
      </c>
      <c r="F229" s="54">
        <f t="shared" si="12"/>
        <v>-0.68812480000000031</v>
      </c>
      <c r="G229" s="54">
        <f t="shared" si="12"/>
        <v>-0.74562560000000033</v>
      </c>
      <c r="H229" s="54">
        <f t="shared" si="12"/>
        <v>-0.81950080000000014</v>
      </c>
      <c r="I229" s="54">
        <f t="shared" si="12"/>
        <v>-0.90556160000000008</v>
      </c>
      <c r="J229" s="54">
        <f t="shared" si="12"/>
        <v>-1</v>
      </c>
    </row>
    <row r="230" spans="1:10" ht="20.100000000000001" customHeight="1" x14ac:dyDescent="0.25">
      <c r="A230" s="53">
        <f t="shared" si="13"/>
        <v>0.74000000000000032</v>
      </c>
      <c r="B230" s="54">
        <f t="shared" si="12"/>
        <v>-0.64380000000000037</v>
      </c>
      <c r="C230" s="54">
        <f t="shared" si="12"/>
        <v>-0.64493984000000038</v>
      </c>
      <c r="D230" s="54">
        <f t="shared" si="12"/>
        <v>-0.65277624000000034</v>
      </c>
      <c r="E230" s="54">
        <f t="shared" si="12"/>
        <v>-0.67261658000000035</v>
      </c>
      <c r="F230" s="54">
        <f t="shared" si="12"/>
        <v>-0.70827220000000035</v>
      </c>
      <c r="G230" s="54">
        <f t="shared" si="12"/>
        <v>-0.76205840000000025</v>
      </c>
      <c r="H230" s="54">
        <f t="shared" si="12"/>
        <v>-0.83116120000000027</v>
      </c>
      <c r="I230" s="54">
        <f t="shared" si="12"/>
        <v>-0.91166240000000021</v>
      </c>
      <c r="J230" s="54">
        <f t="shared" si="12"/>
        <v>-1</v>
      </c>
    </row>
    <row r="231" spans="1:10" ht="20.100000000000001" customHeight="1" x14ac:dyDescent="0.25">
      <c r="A231" s="53">
        <f t="shared" si="13"/>
        <v>0.76000000000000034</v>
      </c>
      <c r="B231" s="54">
        <f t="shared" si="12"/>
        <v>-0.66880000000000051</v>
      </c>
      <c r="C231" s="54">
        <f t="shared" si="12"/>
        <v>-0.66985984000000054</v>
      </c>
      <c r="D231" s="54">
        <f t="shared" si="12"/>
        <v>-0.67714624000000057</v>
      </c>
      <c r="E231" s="54">
        <f t="shared" si="12"/>
        <v>-0.69559408000000045</v>
      </c>
      <c r="F231" s="54">
        <f t="shared" si="12"/>
        <v>-0.72874720000000037</v>
      </c>
      <c r="G231" s="54">
        <f t="shared" si="12"/>
        <v>-0.77875840000000041</v>
      </c>
      <c r="H231" s="54">
        <f t="shared" si="12"/>
        <v>-0.84301120000000029</v>
      </c>
      <c r="I231" s="54">
        <f t="shared" si="12"/>
        <v>-0.91786240000000019</v>
      </c>
      <c r="J231" s="54">
        <f t="shared" si="12"/>
        <v>-1</v>
      </c>
    </row>
    <row r="232" spans="1:10" ht="20.100000000000001" customHeight="1" x14ac:dyDescent="0.25">
      <c r="A232" s="53">
        <f t="shared" si="13"/>
        <v>0.78000000000000036</v>
      </c>
      <c r="B232" s="54">
        <f t="shared" si="12"/>
        <v>-0.69420000000000048</v>
      </c>
      <c r="C232" s="54">
        <f t="shared" si="12"/>
        <v>-0.69517856000000033</v>
      </c>
      <c r="D232" s="54">
        <f t="shared" si="12"/>
        <v>-0.7019061600000005</v>
      </c>
      <c r="E232" s="54">
        <f t="shared" si="12"/>
        <v>-0.71893922000000043</v>
      </c>
      <c r="F232" s="54">
        <f t="shared" si="12"/>
        <v>-0.74954980000000038</v>
      </c>
      <c r="G232" s="54">
        <f t="shared" si="12"/>
        <v>-0.79572560000000037</v>
      </c>
      <c r="H232" s="54">
        <f t="shared" si="12"/>
        <v>-0.85505080000000022</v>
      </c>
      <c r="I232" s="54">
        <f t="shared" si="12"/>
        <v>-0.92416160000000014</v>
      </c>
      <c r="J232" s="54">
        <f t="shared" si="12"/>
        <v>-1</v>
      </c>
    </row>
    <row r="233" spans="1:10" ht="20.100000000000001" customHeight="1" x14ac:dyDescent="0.25">
      <c r="A233" s="53">
        <f t="shared" si="13"/>
        <v>0.80000000000000038</v>
      </c>
      <c r="B233" s="54">
        <f t="shared" si="12"/>
        <v>-0.72000000000000042</v>
      </c>
      <c r="C233" s="54">
        <f t="shared" si="12"/>
        <v>-0.72089600000000043</v>
      </c>
      <c r="D233" s="54">
        <f t="shared" si="12"/>
        <v>-0.72705600000000048</v>
      </c>
      <c r="E233" s="54">
        <f t="shared" si="12"/>
        <v>-0.74265200000000031</v>
      </c>
      <c r="F233" s="54">
        <f t="shared" si="12"/>
        <v>-0.77068000000000036</v>
      </c>
      <c r="G233" s="54">
        <f t="shared" si="12"/>
        <v>-0.81296000000000035</v>
      </c>
      <c r="H233" s="54">
        <f t="shared" si="12"/>
        <v>-0.86728000000000027</v>
      </c>
      <c r="I233" s="54">
        <f t="shared" si="12"/>
        <v>-0.93056000000000016</v>
      </c>
      <c r="J233" s="54">
        <f t="shared" si="12"/>
        <v>-1</v>
      </c>
    </row>
    <row r="234" spans="1:10" ht="20.100000000000001" customHeight="1" x14ac:dyDescent="0.25">
      <c r="A234" s="53">
        <f t="shared" si="13"/>
        <v>0.8200000000000004</v>
      </c>
      <c r="B234" s="54">
        <f t="shared" si="12"/>
        <v>-0.74620000000000042</v>
      </c>
      <c r="C234" s="54">
        <f t="shared" si="12"/>
        <v>-0.74701216000000048</v>
      </c>
      <c r="D234" s="54">
        <f t="shared" si="12"/>
        <v>-0.7525957600000005</v>
      </c>
      <c r="E234" s="54">
        <f t="shared" si="12"/>
        <v>-0.76673242000000041</v>
      </c>
      <c r="F234" s="54">
        <f t="shared" si="12"/>
        <v>-0.79213780000000045</v>
      </c>
      <c r="G234" s="54">
        <f t="shared" si="12"/>
        <v>-0.83046160000000024</v>
      </c>
      <c r="H234" s="54">
        <f t="shared" si="12"/>
        <v>-0.87969880000000023</v>
      </c>
      <c r="I234" s="54">
        <f t="shared" si="12"/>
        <v>-0.93705760000000016</v>
      </c>
      <c r="J234" s="54">
        <f t="shared" si="12"/>
        <v>-1</v>
      </c>
    </row>
    <row r="235" spans="1:10" ht="20.100000000000001" customHeight="1" x14ac:dyDescent="0.25">
      <c r="A235" s="53">
        <f t="shared" si="13"/>
        <v>0.84000000000000041</v>
      </c>
      <c r="B235" s="54">
        <f t="shared" si="12"/>
        <v>-0.7728000000000006</v>
      </c>
      <c r="C235" s="54">
        <f t="shared" si="12"/>
        <v>-0.77352704000000061</v>
      </c>
      <c r="D235" s="54">
        <f t="shared" si="12"/>
        <v>-0.77852544000000057</v>
      </c>
      <c r="E235" s="54">
        <f t="shared" si="12"/>
        <v>-0.79118048000000063</v>
      </c>
      <c r="F235" s="54">
        <f t="shared" si="12"/>
        <v>-0.8139232000000004</v>
      </c>
      <c r="G235" s="54">
        <f t="shared" si="12"/>
        <v>-0.84823040000000038</v>
      </c>
      <c r="H235" s="54">
        <f t="shared" si="12"/>
        <v>-0.89230720000000019</v>
      </c>
      <c r="I235" s="54">
        <f t="shared" si="12"/>
        <v>-0.94365440000000023</v>
      </c>
      <c r="J235" s="54">
        <f t="shared" si="12"/>
        <v>-1</v>
      </c>
    </row>
    <row r="236" spans="1:10" ht="20.100000000000001" customHeight="1" x14ac:dyDescent="0.25">
      <c r="A236" s="53">
        <f t="shared" si="13"/>
        <v>0.86000000000000043</v>
      </c>
      <c r="B236" s="54">
        <f t="shared" si="12"/>
        <v>-0.79980000000000051</v>
      </c>
      <c r="C236" s="54">
        <f t="shared" si="12"/>
        <v>-0.80044064000000048</v>
      </c>
      <c r="D236" s="54">
        <f t="shared" si="12"/>
        <v>-0.80484504000000046</v>
      </c>
      <c r="E236" s="54">
        <f t="shared" si="12"/>
        <v>-0.81599618000000051</v>
      </c>
      <c r="F236" s="54">
        <f t="shared" si="12"/>
        <v>-0.83603620000000034</v>
      </c>
      <c r="G236" s="54">
        <f t="shared" si="12"/>
        <v>-0.86626640000000033</v>
      </c>
      <c r="H236" s="54">
        <f t="shared" si="12"/>
        <v>-0.90510520000000028</v>
      </c>
      <c r="I236" s="54">
        <f t="shared" si="12"/>
        <v>-0.95035040000000004</v>
      </c>
      <c r="J236" s="54">
        <f t="shared" si="12"/>
        <v>-1</v>
      </c>
    </row>
    <row r="237" spans="1:10" ht="20.100000000000001" customHeight="1" x14ac:dyDescent="0.25">
      <c r="A237" s="53">
        <f t="shared" si="13"/>
        <v>0.88000000000000045</v>
      </c>
      <c r="B237" s="54">
        <f t="shared" si="12"/>
        <v>-0.8272000000000006</v>
      </c>
      <c r="C237" s="54">
        <f t="shared" si="12"/>
        <v>-0.82775296000000054</v>
      </c>
      <c r="D237" s="54">
        <f t="shared" si="12"/>
        <v>-0.83155456000000061</v>
      </c>
      <c r="E237" s="54">
        <f t="shared" si="12"/>
        <v>-0.8411795200000004</v>
      </c>
      <c r="F237" s="54">
        <f t="shared" si="12"/>
        <v>-0.85847680000000037</v>
      </c>
      <c r="G237" s="54">
        <f t="shared" si="12"/>
        <v>-0.8845696000000004</v>
      </c>
      <c r="H237" s="54">
        <f t="shared" si="12"/>
        <v>-0.91809280000000026</v>
      </c>
      <c r="I237" s="54">
        <f t="shared" si="12"/>
        <v>-0.95714560000000004</v>
      </c>
      <c r="J237" s="54">
        <f t="shared" si="12"/>
        <v>-1</v>
      </c>
    </row>
    <row r="238" spans="1:10" ht="20.100000000000001" customHeight="1" x14ac:dyDescent="0.25">
      <c r="A238" s="53">
        <f t="shared" si="13"/>
        <v>0.90000000000000047</v>
      </c>
      <c r="B238" s="54">
        <f t="shared" si="12"/>
        <v>-0.85500000000000076</v>
      </c>
      <c r="C238" s="54">
        <f t="shared" si="12"/>
        <v>-0.85546400000000078</v>
      </c>
      <c r="D238" s="54">
        <f t="shared" si="12"/>
        <v>-0.85865400000000069</v>
      </c>
      <c r="E238" s="54">
        <f t="shared" si="12"/>
        <v>-0.86673050000000063</v>
      </c>
      <c r="F238" s="54">
        <f t="shared" si="12"/>
        <v>-0.8812450000000005</v>
      </c>
      <c r="G238" s="54">
        <f t="shared" si="12"/>
        <v>-0.9031400000000005</v>
      </c>
      <c r="H238" s="54">
        <f t="shared" si="12"/>
        <v>-0.93127000000000038</v>
      </c>
      <c r="I238" s="54">
        <f t="shared" si="12"/>
        <v>-0.96404000000000023</v>
      </c>
      <c r="J238" s="54">
        <f t="shared" si="12"/>
        <v>-1</v>
      </c>
    </row>
    <row r="239" spans="1:10" ht="20.100000000000001" customHeight="1" x14ac:dyDescent="0.25">
      <c r="A239" s="53">
        <f t="shared" si="13"/>
        <v>0.92000000000000048</v>
      </c>
      <c r="B239" s="54">
        <f t="shared" si="12"/>
        <v>-0.88320000000000065</v>
      </c>
      <c r="C239" s="54">
        <f t="shared" si="12"/>
        <v>-0.88357376000000054</v>
      </c>
      <c r="D239" s="54">
        <f t="shared" si="12"/>
        <v>-0.8861433600000006</v>
      </c>
      <c r="E239" s="54">
        <f t="shared" si="12"/>
        <v>-0.89264912000000052</v>
      </c>
      <c r="F239" s="54">
        <f t="shared" si="12"/>
        <v>-0.9043408000000005</v>
      </c>
      <c r="G239" s="54">
        <f t="shared" si="12"/>
        <v>-0.9219776000000004</v>
      </c>
      <c r="H239" s="54">
        <f t="shared" si="12"/>
        <v>-0.94463680000000028</v>
      </c>
      <c r="I239" s="54">
        <f t="shared" si="12"/>
        <v>-0.97103360000000005</v>
      </c>
      <c r="J239" s="54">
        <f t="shared" si="12"/>
        <v>-1</v>
      </c>
    </row>
    <row r="240" spans="1:10" ht="20.100000000000001" customHeight="1" x14ac:dyDescent="0.25">
      <c r="A240" s="53">
        <f t="shared" si="13"/>
        <v>0.9400000000000005</v>
      </c>
      <c r="B240" s="54">
        <f t="shared" si="12"/>
        <v>-0.91180000000000083</v>
      </c>
      <c r="C240" s="54">
        <f t="shared" si="12"/>
        <v>-0.91208224000000071</v>
      </c>
      <c r="D240" s="54">
        <f t="shared" si="12"/>
        <v>-0.91402264000000077</v>
      </c>
      <c r="E240" s="54">
        <f t="shared" si="12"/>
        <v>-0.91893538000000075</v>
      </c>
      <c r="F240" s="54">
        <f t="shared" si="12"/>
        <v>-0.92776420000000059</v>
      </c>
      <c r="G240" s="54">
        <f t="shared" si="12"/>
        <v>-0.94108240000000054</v>
      </c>
      <c r="H240" s="54">
        <f t="shared" si="12"/>
        <v>-0.9581932000000003</v>
      </c>
      <c r="I240" s="54">
        <f t="shared" si="12"/>
        <v>-0.97812640000000017</v>
      </c>
      <c r="J240" s="54">
        <f t="shared" si="12"/>
        <v>-1</v>
      </c>
    </row>
    <row r="241" spans="1:10" ht="20.100000000000001" customHeight="1" x14ac:dyDescent="0.25">
      <c r="A241" s="53">
        <f t="shared" si="13"/>
        <v>0.96000000000000052</v>
      </c>
      <c r="B241" s="54">
        <f t="shared" si="12"/>
        <v>-0.94080000000000075</v>
      </c>
      <c r="C241" s="54">
        <f t="shared" si="12"/>
        <v>-0.94098944000000073</v>
      </c>
      <c r="D241" s="54">
        <f t="shared" si="12"/>
        <v>-0.94229184000000077</v>
      </c>
      <c r="E241" s="54">
        <f t="shared" si="12"/>
        <v>-0.94558928000000064</v>
      </c>
      <c r="F241" s="54">
        <f t="shared" si="12"/>
        <v>-0.95151520000000067</v>
      </c>
      <c r="G241" s="54">
        <f t="shared" si="12"/>
        <v>-0.96045440000000037</v>
      </c>
      <c r="H241" s="54">
        <f t="shared" si="12"/>
        <v>-0.97193920000000034</v>
      </c>
      <c r="I241" s="54">
        <f t="shared" si="12"/>
        <v>-0.98531840000000015</v>
      </c>
      <c r="J241" s="54">
        <f t="shared" si="12"/>
        <v>-1</v>
      </c>
    </row>
    <row r="242" spans="1:10" ht="20.100000000000001" customHeight="1" x14ac:dyDescent="0.25">
      <c r="A242" s="53">
        <f t="shared" si="13"/>
        <v>0.98000000000000054</v>
      </c>
      <c r="B242" s="54">
        <f t="shared" ref="B242:J243" si="14">-(B171/100)</f>
        <v>-0.97020000000000084</v>
      </c>
      <c r="C242" s="54">
        <f t="shared" si="14"/>
        <v>-0.97029536000000083</v>
      </c>
      <c r="D242" s="54">
        <f t="shared" si="14"/>
        <v>-0.97095096000000081</v>
      </c>
      <c r="E242" s="54">
        <f t="shared" si="14"/>
        <v>-0.97261082000000076</v>
      </c>
      <c r="F242" s="54">
        <f t="shared" si="14"/>
        <v>-0.97559380000000062</v>
      </c>
      <c r="G242" s="54">
        <f t="shared" si="14"/>
        <v>-0.98009360000000056</v>
      </c>
      <c r="H242" s="54">
        <f t="shared" si="14"/>
        <v>-0.98587480000000038</v>
      </c>
      <c r="I242" s="54">
        <f t="shared" si="14"/>
        <v>-0.9926096000000002</v>
      </c>
      <c r="J242" s="54">
        <f t="shared" si="14"/>
        <v>-1</v>
      </c>
    </row>
    <row r="243" spans="1:10" ht="20.100000000000001" customHeight="1" x14ac:dyDescent="0.25">
      <c r="A243" s="53">
        <f t="shared" si="13"/>
        <v>1.0000000000000004</v>
      </c>
      <c r="B243" s="54">
        <f t="shared" si="14"/>
        <v>-1.0000000000000007</v>
      </c>
      <c r="C243" s="54">
        <f t="shared" si="14"/>
        <v>-1.0000000000000007</v>
      </c>
      <c r="D243" s="54">
        <f t="shared" si="14"/>
        <v>-1.0000000000000007</v>
      </c>
      <c r="E243" s="54">
        <f t="shared" si="14"/>
        <v>-1.0000000000000007</v>
      </c>
      <c r="F243" s="54">
        <f t="shared" si="14"/>
        <v>-1.0000000000000007</v>
      </c>
      <c r="G243" s="54">
        <f t="shared" si="14"/>
        <v>-1.0000000000000004</v>
      </c>
      <c r="H243" s="54">
        <f t="shared" si="14"/>
        <v>-1.0000000000000002</v>
      </c>
      <c r="I243" s="54">
        <f t="shared" si="14"/>
        <v>-1.0000000000000002</v>
      </c>
      <c r="J243" s="54">
        <f t="shared" si="14"/>
        <v>-1</v>
      </c>
    </row>
    <row r="245" spans="1:10" ht="20.100000000000001" customHeight="1" x14ac:dyDescent="0.25">
      <c r="A245" s="260" t="s">
        <v>363</v>
      </c>
      <c r="B245" s="260"/>
      <c r="C245" s="260"/>
      <c r="D245" s="260"/>
      <c r="E245" s="260"/>
      <c r="F245" s="260"/>
      <c r="G245" s="260"/>
      <c r="H245" s="260"/>
      <c r="I245" s="260"/>
      <c r="J245" s="260"/>
    </row>
    <row r="246" spans="1:10" ht="20.100000000000001" customHeight="1" x14ac:dyDescent="0.25">
      <c r="A246" s="260"/>
      <c r="B246" s="260"/>
      <c r="C246" s="260"/>
      <c r="D246" s="260"/>
      <c r="E246" s="260"/>
      <c r="F246" s="260"/>
      <c r="G246" s="260"/>
      <c r="H246" s="260"/>
      <c r="I246" s="260"/>
      <c r="J246" s="260"/>
    </row>
    <row r="247" spans="1:10" ht="20.100000000000001" customHeight="1" x14ac:dyDescent="0.25">
      <c r="A247" s="260"/>
      <c r="B247" s="260"/>
      <c r="C247" s="260"/>
      <c r="D247" s="260"/>
      <c r="E247" s="260"/>
      <c r="F247" s="260"/>
      <c r="G247" s="260"/>
      <c r="H247" s="260"/>
      <c r="I247" s="260"/>
      <c r="J247" s="260"/>
    </row>
    <row r="249" spans="1:10" ht="20.100000000000001" customHeight="1" x14ac:dyDescent="0.25">
      <c r="C249" s="55"/>
    </row>
    <row r="256" spans="1:10" ht="20.100000000000001" customHeight="1" x14ac:dyDescent="0.25">
      <c r="A256" s="261" t="s">
        <v>357</v>
      </c>
      <c r="B256" s="264" t="s">
        <v>358</v>
      </c>
      <c r="C256" s="264"/>
      <c r="D256" s="264"/>
      <c r="E256" s="264"/>
      <c r="F256" s="264"/>
      <c r="G256" s="264"/>
      <c r="H256" s="264"/>
      <c r="I256" s="264"/>
      <c r="J256" s="264"/>
    </row>
    <row r="257" spans="1:10" ht="20.100000000000001" customHeight="1" x14ac:dyDescent="0.25">
      <c r="A257" s="262"/>
      <c r="B257" s="265" t="s">
        <v>364</v>
      </c>
      <c r="C257" s="265"/>
      <c r="D257" s="265"/>
      <c r="E257" s="265"/>
      <c r="F257" s="265"/>
      <c r="G257" s="265"/>
      <c r="H257" s="265"/>
      <c r="I257" s="265"/>
      <c r="J257" s="265"/>
    </row>
    <row r="258" spans="1:10" ht="20.100000000000001" customHeight="1" x14ac:dyDescent="0.25">
      <c r="A258" s="262"/>
      <c r="B258" s="266" t="s">
        <v>360</v>
      </c>
      <c r="C258" s="266"/>
      <c r="D258" s="266"/>
      <c r="E258" s="266"/>
      <c r="F258" s="266"/>
      <c r="G258" s="266"/>
      <c r="H258" s="266"/>
      <c r="I258" s="266"/>
      <c r="J258" s="266"/>
    </row>
    <row r="259" spans="1:10" ht="20.100000000000001" customHeight="1" x14ac:dyDescent="0.25">
      <c r="A259" s="263"/>
      <c r="B259" s="47" t="str">
        <f t="shared" ref="B259:J259" si="15">B121</f>
        <v>A</v>
      </c>
      <c r="C259" s="47" t="str">
        <f t="shared" si="15"/>
        <v>B</v>
      </c>
      <c r="D259" s="47" t="str">
        <f t="shared" si="15"/>
        <v>C</v>
      </c>
      <c r="E259" s="47" t="str">
        <f t="shared" si="15"/>
        <v>D</v>
      </c>
      <c r="F259" s="47" t="str">
        <f t="shared" si="15"/>
        <v>E</v>
      </c>
      <c r="G259" s="47" t="str">
        <f t="shared" si="15"/>
        <v>F</v>
      </c>
      <c r="H259" s="47" t="str">
        <f t="shared" si="15"/>
        <v>G</v>
      </c>
      <c r="I259" s="47" t="str">
        <f t="shared" si="15"/>
        <v>H</v>
      </c>
      <c r="J259" s="47" t="str">
        <f t="shared" si="15"/>
        <v>I</v>
      </c>
    </row>
    <row r="260" spans="1:10" ht="20.100000000000001" customHeight="1" x14ac:dyDescent="0.25">
      <c r="A260" s="48">
        <v>0</v>
      </c>
      <c r="B260" s="56">
        <f t="shared" ref="B260:B276" si="16">1+B193</f>
        <v>1</v>
      </c>
      <c r="C260" s="56">
        <f t="shared" ref="C260:J260" si="17">1+C193</f>
        <v>0.99680000000000002</v>
      </c>
      <c r="D260" s="56">
        <f t="shared" si="17"/>
        <v>0.9748</v>
      </c>
      <c r="E260" s="56">
        <f t="shared" si="17"/>
        <v>0.91910000000000003</v>
      </c>
      <c r="F260" s="56">
        <f t="shared" si="17"/>
        <v>0.81899999999999995</v>
      </c>
      <c r="G260" s="56">
        <f t="shared" si="17"/>
        <v>0.66799999999999993</v>
      </c>
      <c r="H260" s="56">
        <f t="shared" si="17"/>
        <v>0.47399999999999998</v>
      </c>
      <c r="I260" s="56">
        <f t="shared" si="17"/>
        <v>0.248</v>
      </c>
      <c r="J260" s="56">
        <f t="shared" si="17"/>
        <v>0</v>
      </c>
    </row>
    <row r="261" spans="1:10" ht="20.100000000000001" customHeight="1" x14ac:dyDescent="0.25">
      <c r="A261" s="48">
        <f>A260+0.02</f>
        <v>0.02</v>
      </c>
      <c r="B261" s="56">
        <f t="shared" si="16"/>
        <v>0.98980000000000001</v>
      </c>
      <c r="C261" s="56">
        <f t="shared" ref="C261:J270" si="18">1+C194</f>
        <v>0.98663263999999995</v>
      </c>
      <c r="D261" s="56">
        <f t="shared" si="18"/>
        <v>0.96485704000000005</v>
      </c>
      <c r="E261" s="56">
        <f t="shared" si="18"/>
        <v>0.90972518000000002</v>
      </c>
      <c r="F261" s="56">
        <f t="shared" si="18"/>
        <v>0.81064619999999998</v>
      </c>
      <c r="G261" s="56">
        <f t="shared" si="18"/>
        <v>0.66118639999999984</v>
      </c>
      <c r="H261" s="56">
        <f t="shared" si="18"/>
        <v>0.46916519999999995</v>
      </c>
      <c r="I261" s="56">
        <f t="shared" si="18"/>
        <v>0.24547039999999998</v>
      </c>
      <c r="J261" s="56">
        <f t="shared" si="18"/>
        <v>0</v>
      </c>
    </row>
    <row r="262" spans="1:10" ht="20.100000000000001" customHeight="1" x14ac:dyDescent="0.25">
      <c r="A262" s="48">
        <f t="shared" ref="A262:A310" si="19">A261+0.02</f>
        <v>0.04</v>
      </c>
      <c r="B262" s="56">
        <f t="shared" si="16"/>
        <v>0.97919999999999996</v>
      </c>
      <c r="C262" s="56">
        <f t="shared" si="18"/>
        <v>0.97606656000000003</v>
      </c>
      <c r="D262" s="56">
        <f t="shared" si="18"/>
        <v>0.95452415999999995</v>
      </c>
      <c r="E262" s="56">
        <f t="shared" si="18"/>
        <v>0.89998272000000001</v>
      </c>
      <c r="F262" s="56">
        <f t="shared" si="18"/>
        <v>0.80196480000000003</v>
      </c>
      <c r="G262" s="56">
        <f t="shared" si="18"/>
        <v>0.65410559999999995</v>
      </c>
      <c r="H262" s="56">
        <f t="shared" si="18"/>
        <v>0.46414080000000002</v>
      </c>
      <c r="I262" s="56">
        <f t="shared" si="18"/>
        <v>0.24284159999999999</v>
      </c>
      <c r="J262" s="56">
        <f t="shared" si="18"/>
        <v>0</v>
      </c>
    </row>
    <row r="263" spans="1:10" ht="20.100000000000001" customHeight="1" x14ac:dyDescent="0.25">
      <c r="A263" s="48">
        <f t="shared" si="19"/>
        <v>0.06</v>
      </c>
      <c r="B263" s="56">
        <f t="shared" si="16"/>
        <v>0.96819999999999995</v>
      </c>
      <c r="C263" s="56">
        <f t="shared" si="18"/>
        <v>0.96510176000000003</v>
      </c>
      <c r="D263" s="56">
        <f t="shared" si="18"/>
        <v>0.94380136000000003</v>
      </c>
      <c r="E263" s="56">
        <f t="shared" si="18"/>
        <v>0.88987262</v>
      </c>
      <c r="F263" s="56">
        <f t="shared" si="18"/>
        <v>0.79295579999999999</v>
      </c>
      <c r="G263" s="56">
        <f t="shared" si="18"/>
        <v>0.64675760000000004</v>
      </c>
      <c r="H263" s="56">
        <f t="shared" si="18"/>
        <v>0.45892679999999997</v>
      </c>
      <c r="I263" s="56">
        <f t="shared" si="18"/>
        <v>0.24011359999999993</v>
      </c>
      <c r="J263" s="56">
        <f t="shared" si="18"/>
        <v>0</v>
      </c>
    </row>
    <row r="264" spans="1:10" ht="20.100000000000001" customHeight="1" x14ac:dyDescent="0.25">
      <c r="A264" s="48">
        <f t="shared" si="19"/>
        <v>0.08</v>
      </c>
      <c r="B264" s="56">
        <f t="shared" si="16"/>
        <v>0.95679999999999998</v>
      </c>
      <c r="C264" s="56">
        <f t="shared" si="18"/>
        <v>0.95373823999999996</v>
      </c>
      <c r="D264" s="56">
        <f t="shared" si="18"/>
        <v>0.93268863999999996</v>
      </c>
      <c r="E264" s="56">
        <f t="shared" si="18"/>
        <v>0.87939487999999999</v>
      </c>
      <c r="F264" s="56">
        <f t="shared" si="18"/>
        <v>0.78361919999999996</v>
      </c>
      <c r="G264" s="56">
        <f t="shared" si="18"/>
        <v>0.63914239999999989</v>
      </c>
      <c r="H264" s="56">
        <f t="shared" si="18"/>
        <v>0.4535231999999999</v>
      </c>
      <c r="I264" s="56">
        <f t="shared" si="18"/>
        <v>0.2372863999999999</v>
      </c>
      <c r="J264" s="56">
        <f t="shared" si="18"/>
        <v>0</v>
      </c>
    </row>
    <row r="265" spans="1:10" ht="20.100000000000001" customHeight="1" x14ac:dyDescent="0.25">
      <c r="A265" s="48">
        <f t="shared" si="19"/>
        <v>0.1</v>
      </c>
      <c r="B265" s="56">
        <f t="shared" si="16"/>
        <v>0.94499999999999995</v>
      </c>
      <c r="C265" s="56">
        <f t="shared" si="18"/>
        <v>0.94197600000000004</v>
      </c>
      <c r="D265" s="56">
        <f t="shared" si="18"/>
        <v>0.92118599999999995</v>
      </c>
      <c r="E265" s="56">
        <f t="shared" si="18"/>
        <v>0.86854949999999997</v>
      </c>
      <c r="F265" s="56">
        <f t="shared" si="18"/>
        <v>0.77395499999999995</v>
      </c>
      <c r="G265" s="56">
        <f t="shared" si="18"/>
        <v>0.63125999999999993</v>
      </c>
      <c r="H265" s="56">
        <f t="shared" si="18"/>
        <v>0.44792999999999994</v>
      </c>
      <c r="I265" s="56">
        <f t="shared" si="18"/>
        <v>0.2343599999999999</v>
      </c>
      <c r="J265" s="56">
        <f t="shared" si="18"/>
        <v>0</v>
      </c>
    </row>
    <row r="266" spans="1:10" ht="20.100000000000001" customHeight="1" x14ac:dyDescent="0.25">
      <c r="A266" s="48">
        <f t="shared" si="19"/>
        <v>0.12000000000000001</v>
      </c>
      <c r="B266" s="56">
        <f t="shared" si="16"/>
        <v>0.93279999999999996</v>
      </c>
      <c r="C266" s="56">
        <f t="shared" si="18"/>
        <v>0.92981504000000004</v>
      </c>
      <c r="D266" s="56">
        <f t="shared" si="18"/>
        <v>0.90929344000000001</v>
      </c>
      <c r="E266" s="56">
        <f t="shared" si="18"/>
        <v>0.85733647999999996</v>
      </c>
      <c r="F266" s="56">
        <f t="shared" si="18"/>
        <v>0.76396319999999995</v>
      </c>
      <c r="G266" s="56">
        <f t="shared" si="18"/>
        <v>0.62311040000000006</v>
      </c>
      <c r="H266" s="56">
        <f t="shared" si="18"/>
        <v>0.44214719999999996</v>
      </c>
      <c r="I266" s="56">
        <f t="shared" si="18"/>
        <v>0.23133440000000005</v>
      </c>
      <c r="J266" s="56">
        <f t="shared" si="18"/>
        <v>0</v>
      </c>
    </row>
    <row r="267" spans="1:10" ht="20.100000000000001" customHeight="1" x14ac:dyDescent="0.25">
      <c r="A267" s="48">
        <f t="shared" si="19"/>
        <v>0.14000000000000001</v>
      </c>
      <c r="B267" s="56">
        <f t="shared" si="16"/>
        <v>0.92020000000000002</v>
      </c>
      <c r="C267" s="56">
        <f t="shared" si="18"/>
        <v>0.91725535999999996</v>
      </c>
      <c r="D267" s="56">
        <f t="shared" si="18"/>
        <v>0.89701096000000002</v>
      </c>
      <c r="E267" s="56">
        <f t="shared" si="18"/>
        <v>0.84575581999999994</v>
      </c>
      <c r="F267" s="56">
        <f t="shared" si="18"/>
        <v>0.75364379999999997</v>
      </c>
      <c r="G267" s="56">
        <f t="shared" si="18"/>
        <v>0.61469359999999995</v>
      </c>
      <c r="H267" s="56">
        <f t="shared" si="18"/>
        <v>0.43617479999999997</v>
      </c>
      <c r="I267" s="56">
        <f t="shared" si="18"/>
        <v>0.22820960000000001</v>
      </c>
      <c r="J267" s="56">
        <f t="shared" si="18"/>
        <v>0</v>
      </c>
    </row>
    <row r="268" spans="1:10" ht="20.100000000000001" customHeight="1" x14ac:dyDescent="0.25">
      <c r="A268" s="48">
        <f t="shared" si="19"/>
        <v>0.16</v>
      </c>
      <c r="B268" s="56">
        <f t="shared" si="16"/>
        <v>0.90720000000000001</v>
      </c>
      <c r="C268" s="56">
        <f t="shared" si="18"/>
        <v>0.90429695999999993</v>
      </c>
      <c r="D268" s="56">
        <f t="shared" si="18"/>
        <v>0.88433856</v>
      </c>
      <c r="E268" s="56">
        <f t="shared" si="18"/>
        <v>0.83380751999999991</v>
      </c>
      <c r="F268" s="56">
        <f t="shared" si="18"/>
        <v>0.74299680000000001</v>
      </c>
      <c r="G268" s="56">
        <f t="shared" si="18"/>
        <v>0.60600959999999993</v>
      </c>
      <c r="H268" s="56">
        <f t="shared" si="18"/>
        <v>0.43001279999999997</v>
      </c>
      <c r="I268" s="56">
        <f t="shared" si="18"/>
        <v>0.22498560000000001</v>
      </c>
      <c r="J268" s="56">
        <f t="shared" si="18"/>
        <v>0</v>
      </c>
    </row>
    <row r="269" spans="1:10" ht="20.100000000000001" customHeight="1" x14ac:dyDescent="0.25">
      <c r="A269" s="48">
        <f t="shared" si="19"/>
        <v>0.18</v>
      </c>
      <c r="B269" s="56">
        <f t="shared" si="16"/>
        <v>0.89380000000000004</v>
      </c>
      <c r="C269" s="56">
        <f t="shared" si="18"/>
        <v>0.89093984000000004</v>
      </c>
      <c r="D269" s="56">
        <f t="shared" si="18"/>
        <v>0.87127624000000004</v>
      </c>
      <c r="E269" s="56">
        <f t="shared" si="18"/>
        <v>0.82149158</v>
      </c>
      <c r="F269" s="56">
        <f t="shared" si="18"/>
        <v>0.73202220000000007</v>
      </c>
      <c r="G269" s="56">
        <f t="shared" si="18"/>
        <v>0.5970584000000001</v>
      </c>
      <c r="H269" s="56">
        <f t="shared" si="18"/>
        <v>0.42366120000000007</v>
      </c>
      <c r="I269" s="56">
        <f t="shared" si="18"/>
        <v>0.22166239999999993</v>
      </c>
      <c r="J269" s="56">
        <f t="shared" si="18"/>
        <v>0</v>
      </c>
    </row>
    <row r="270" spans="1:10" ht="20.100000000000001" customHeight="1" x14ac:dyDescent="0.25">
      <c r="A270" s="48">
        <f t="shared" si="19"/>
        <v>0.19999999999999998</v>
      </c>
      <c r="B270" s="56">
        <f t="shared" si="16"/>
        <v>0.88</v>
      </c>
      <c r="C270" s="56">
        <f t="shared" si="18"/>
        <v>0.87718399999999996</v>
      </c>
      <c r="D270" s="56">
        <f t="shared" si="18"/>
        <v>0.85782400000000003</v>
      </c>
      <c r="E270" s="56">
        <f t="shared" si="18"/>
        <v>0.80880799999999997</v>
      </c>
      <c r="F270" s="56">
        <f t="shared" si="18"/>
        <v>0.72072000000000003</v>
      </c>
      <c r="G270" s="56">
        <f t="shared" si="18"/>
        <v>0.58783999999999992</v>
      </c>
      <c r="H270" s="56">
        <f t="shared" si="18"/>
        <v>0.41711999999999994</v>
      </c>
      <c r="I270" s="56">
        <f t="shared" si="18"/>
        <v>0.21823999999999999</v>
      </c>
      <c r="J270" s="56">
        <f t="shared" si="18"/>
        <v>0</v>
      </c>
    </row>
    <row r="271" spans="1:10" ht="20.100000000000001" customHeight="1" x14ac:dyDescent="0.25">
      <c r="A271" s="48">
        <f t="shared" si="19"/>
        <v>0.21999999999999997</v>
      </c>
      <c r="B271" s="56">
        <f t="shared" si="16"/>
        <v>0.86580000000000001</v>
      </c>
      <c r="C271" s="56">
        <f t="shared" ref="C271:J276" si="20">1+C204</f>
        <v>0.86302944000000004</v>
      </c>
      <c r="D271" s="56">
        <f t="shared" si="20"/>
        <v>0.84398183999999998</v>
      </c>
      <c r="E271" s="56">
        <f t="shared" si="20"/>
        <v>0.79575678000000005</v>
      </c>
      <c r="F271" s="56">
        <f t="shared" si="20"/>
        <v>0.7090902</v>
      </c>
      <c r="G271" s="56">
        <f t="shared" si="20"/>
        <v>0.57835440000000005</v>
      </c>
      <c r="H271" s="56">
        <f t="shared" si="20"/>
        <v>0.41038920000000001</v>
      </c>
      <c r="I271" s="56">
        <f t="shared" si="20"/>
        <v>0.21471839999999998</v>
      </c>
      <c r="J271" s="56">
        <f t="shared" si="20"/>
        <v>0</v>
      </c>
    </row>
    <row r="272" spans="1:10" ht="20.100000000000001" customHeight="1" x14ac:dyDescent="0.25">
      <c r="A272" s="48">
        <f t="shared" si="19"/>
        <v>0.23999999999999996</v>
      </c>
      <c r="B272" s="56">
        <f t="shared" si="16"/>
        <v>0.85119999999999996</v>
      </c>
      <c r="C272" s="56">
        <f t="shared" si="20"/>
        <v>0.84847616000000003</v>
      </c>
      <c r="D272" s="56">
        <f t="shared" si="20"/>
        <v>0.82974976</v>
      </c>
      <c r="E272" s="56">
        <f t="shared" si="20"/>
        <v>0.78233792000000002</v>
      </c>
      <c r="F272" s="56">
        <f t="shared" si="20"/>
        <v>0.6971328</v>
      </c>
      <c r="G272" s="56">
        <f t="shared" si="20"/>
        <v>0.56860159999999993</v>
      </c>
      <c r="H272" s="56">
        <f t="shared" si="20"/>
        <v>0.40346879999999996</v>
      </c>
      <c r="I272" s="56">
        <f t="shared" si="20"/>
        <v>0.2110976</v>
      </c>
      <c r="J272" s="56">
        <f t="shared" si="20"/>
        <v>0</v>
      </c>
    </row>
    <row r="273" spans="1:10" ht="20.100000000000001" customHeight="1" x14ac:dyDescent="0.25">
      <c r="A273" s="48">
        <f t="shared" si="19"/>
        <v>0.25999999999999995</v>
      </c>
      <c r="B273" s="56">
        <f t="shared" si="16"/>
        <v>0.83620000000000005</v>
      </c>
      <c r="C273" s="56">
        <f t="shared" si="20"/>
        <v>0.83352416000000007</v>
      </c>
      <c r="D273" s="56">
        <f t="shared" si="20"/>
        <v>0.81512775999999998</v>
      </c>
      <c r="E273" s="56">
        <f t="shared" si="20"/>
        <v>0.76855141999999999</v>
      </c>
      <c r="F273" s="56">
        <f t="shared" si="20"/>
        <v>0.68484780000000001</v>
      </c>
      <c r="G273" s="56">
        <f t="shared" si="20"/>
        <v>0.5585815999999999</v>
      </c>
      <c r="H273" s="56">
        <f t="shared" si="20"/>
        <v>0.39635880000000001</v>
      </c>
      <c r="I273" s="56">
        <f t="shared" si="20"/>
        <v>0.20737759999999994</v>
      </c>
      <c r="J273" s="56">
        <f t="shared" si="20"/>
        <v>0</v>
      </c>
    </row>
    <row r="274" spans="1:10" ht="20.100000000000001" customHeight="1" x14ac:dyDescent="0.25">
      <c r="A274" s="48">
        <f t="shared" si="19"/>
        <v>0.27999999999999997</v>
      </c>
      <c r="B274" s="56">
        <f t="shared" si="16"/>
        <v>0.82079999999999997</v>
      </c>
      <c r="C274" s="56">
        <f t="shared" si="20"/>
        <v>0.81817344000000003</v>
      </c>
      <c r="D274" s="56">
        <f t="shared" si="20"/>
        <v>0.80011584000000002</v>
      </c>
      <c r="E274" s="56">
        <f t="shared" si="20"/>
        <v>0.75439728000000006</v>
      </c>
      <c r="F274" s="56">
        <f t="shared" si="20"/>
        <v>0.67223520000000003</v>
      </c>
      <c r="G274" s="56">
        <f t="shared" si="20"/>
        <v>0.54829440000000007</v>
      </c>
      <c r="H274" s="56">
        <f t="shared" si="20"/>
        <v>0.38905919999999994</v>
      </c>
      <c r="I274" s="56">
        <f t="shared" si="20"/>
        <v>0.20355840000000003</v>
      </c>
      <c r="J274" s="56">
        <f t="shared" si="20"/>
        <v>0</v>
      </c>
    </row>
    <row r="275" spans="1:10" ht="20.100000000000001" customHeight="1" x14ac:dyDescent="0.25">
      <c r="A275" s="48">
        <f t="shared" si="19"/>
        <v>0.3</v>
      </c>
      <c r="B275" s="56">
        <f t="shared" si="16"/>
        <v>0.80499999999999994</v>
      </c>
      <c r="C275" s="56">
        <f t="shared" si="20"/>
        <v>0.80242400000000003</v>
      </c>
      <c r="D275" s="56">
        <f t="shared" si="20"/>
        <v>0.78471400000000002</v>
      </c>
      <c r="E275" s="56">
        <f t="shared" si="20"/>
        <v>0.73987549999999991</v>
      </c>
      <c r="F275" s="56">
        <f t="shared" si="20"/>
        <v>0.65929499999999996</v>
      </c>
      <c r="G275" s="56">
        <f t="shared" si="20"/>
        <v>0.53774</v>
      </c>
      <c r="H275" s="56">
        <f t="shared" si="20"/>
        <v>0.38156999999999996</v>
      </c>
      <c r="I275" s="56">
        <f t="shared" si="20"/>
        <v>0.19964000000000004</v>
      </c>
      <c r="J275" s="56">
        <f t="shared" si="20"/>
        <v>0</v>
      </c>
    </row>
    <row r="276" spans="1:10" ht="20.100000000000001" customHeight="1" x14ac:dyDescent="0.25">
      <c r="A276" s="48">
        <f t="shared" si="19"/>
        <v>0.32</v>
      </c>
      <c r="B276" s="56">
        <f t="shared" si="16"/>
        <v>0.78879999999999995</v>
      </c>
      <c r="C276" s="56">
        <f t="shared" si="20"/>
        <v>0.78627583999999995</v>
      </c>
      <c r="D276" s="56">
        <f t="shared" si="20"/>
        <v>0.76892223999999998</v>
      </c>
      <c r="E276" s="56">
        <f t="shared" si="20"/>
        <v>0.72498607999999998</v>
      </c>
      <c r="F276" s="56">
        <f t="shared" si="20"/>
        <v>0.64602720000000002</v>
      </c>
      <c r="G276" s="56">
        <f t="shared" si="20"/>
        <v>0.52691840000000001</v>
      </c>
      <c r="H276" s="56">
        <f t="shared" si="20"/>
        <v>0.37389120000000009</v>
      </c>
      <c r="I276" s="56">
        <f t="shared" si="20"/>
        <v>0.19562239999999997</v>
      </c>
      <c r="J276" s="56">
        <f t="shared" si="20"/>
        <v>0</v>
      </c>
    </row>
    <row r="277" spans="1:10" ht="20.100000000000001" customHeight="1" x14ac:dyDescent="0.25">
      <c r="A277" s="48">
        <f t="shared" si="19"/>
        <v>0.34</v>
      </c>
      <c r="B277" s="56">
        <f t="shared" ref="B277:J292" si="21">1+B210</f>
        <v>0.7722</v>
      </c>
      <c r="C277" s="56">
        <f t="shared" si="21"/>
        <v>0.76972895999999991</v>
      </c>
      <c r="D277" s="56">
        <f t="shared" si="21"/>
        <v>0.75274055999999989</v>
      </c>
      <c r="E277" s="56">
        <f t="shared" si="21"/>
        <v>0.70972901999999993</v>
      </c>
      <c r="F277" s="56">
        <f t="shared" si="21"/>
        <v>0.63243179999999999</v>
      </c>
      <c r="G277" s="56">
        <f t="shared" si="21"/>
        <v>0.5158296</v>
      </c>
      <c r="H277" s="56">
        <f t="shared" si="21"/>
        <v>0.36602279999999998</v>
      </c>
      <c r="I277" s="56">
        <f t="shared" si="21"/>
        <v>0.19150559999999983</v>
      </c>
      <c r="J277" s="56">
        <f t="shared" si="21"/>
        <v>0</v>
      </c>
    </row>
    <row r="278" spans="1:10" ht="20.100000000000001" customHeight="1" x14ac:dyDescent="0.25">
      <c r="A278" s="48">
        <f t="shared" si="19"/>
        <v>0.36000000000000004</v>
      </c>
      <c r="B278" s="56">
        <f t="shared" si="21"/>
        <v>0.75519999999999998</v>
      </c>
      <c r="C278" s="56">
        <f t="shared" si="21"/>
        <v>0.75278336000000001</v>
      </c>
      <c r="D278" s="56">
        <f t="shared" si="21"/>
        <v>0.73616895999999998</v>
      </c>
      <c r="E278" s="56">
        <f t="shared" si="21"/>
        <v>0.69410432</v>
      </c>
      <c r="F278" s="56">
        <f t="shared" si="21"/>
        <v>0.61850880000000008</v>
      </c>
      <c r="G278" s="56">
        <f t="shared" si="21"/>
        <v>0.50447360000000008</v>
      </c>
      <c r="H278" s="56">
        <f t="shared" si="21"/>
        <v>0.35796479999999997</v>
      </c>
      <c r="I278" s="56">
        <f t="shared" si="21"/>
        <v>0.18728960000000006</v>
      </c>
      <c r="J278" s="56">
        <f t="shared" si="21"/>
        <v>0</v>
      </c>
    </row>
    <row r="279" spans="1:10" ht="20.100000000000001" customHeight="1" x14ac:dyDescent="0.25">
      <c r="A279" s="48">
        <f t="shared" si="19"/>
        <v>0.38000000000000006</v>
      </c>
      <c r="B279" s="56">
        <f t="shared" si="21"/>
        <v>0.73780000000000001</v>
      </c>
      <c r="C279" s="56">
        <f t="shared" si="21"/>
        <v>0.73543903999999993</v>
      </c>
      <c r="D279" s="56">
        <f t="shared" si="21"/>
        <v>0.71920743999999992</v>
      </c>
      <c r="E279" s="56">
        <f t="shared" si="21"/>
        <v>0.67811197999999995</v>
      </c>
      <c r="F279" s="56">
        <f t="shared" si="21"/>
        <v>0.60425819999999997</v>
      </c>
      <c r="G279" s="56">
        <f t="shared" si="21"/>
        <v>0.49285039999999991</v>
      </c>
      <c r="H279" s="56">
        <f t="shared" si="21"/>
        <v>0.34971720000000006</v>
      </c>
      <c r="I279" s="56">
        <f t="shared" si="21"/>
        <v>0.18297439999999998</v>
      </c>
      <c r="J279" s="56">
        <f t="shared" si="21"/>
        <v>0</v>
      </c>
    </row>
    <row r="280" spans="1:10" ht="20.100000000000001" customHeight="1" x14ac:dyDescent="0.25">
      <c r="A280" s="48">
        <f t="shared" si="19"/>
        <v>0.40000000000000008</v>
      </c>
      <c r="B280" s="56">
        <f t="shared" si="21"/>
        <v>0.72</v>
      </c>
      <c r="C280" s="56">
        <f t="shared" si="21"/>
        <v>0.71769599999999989</v>
      </c>
      <c r="D280" s="56">
        <f t="shared" si="21"/>
        <v>0.70185599999999992</v>
      </c>
      <c r="E280" s="56">
        <f t="shared" si="21"/>
        <v>0.6617519999999999</v>
      </c>
      <c r="F280" s="56">
        <f t="shared" si="21"/>
        <v>0.58967999999999987</v>
      </c>
      <c r="G280" s="56">
        <f t="shared" si="21"/>
        <v>0.48095999999999994</v>
      </c>
      <c r="H280" s="56">
        <f t="shared" si="21"/>
        <v>0.34127999999999981</v>
      </c>
      <c r="I280" s="56">
        <f t="shared" si="21"/>
        <v>0.17855999999999994</v>
      </c>
      <c r="J280" s="56">
        <f t="shared" si="21"/>
        <v>0</v>
      </c>
    </row>
    <row r="281" spans="1:10" ht="20.100000000000001" customHeight="1" x14ac:dyDescent="0.25">
      <c r="A281" s="48">
        <f t="shared" si="19"/>
        <v>0.4200000000000001</v>
      </c>
      <c r="B281" s="56">
        <f t="shared" si="21"/>
        <v>0.70179999999999998</v>
      </c>
      <c r="C281" s="56">
        <f t="shared" si="21"/>
        <v>0.69955423999999988</v>
      </c>
      <c r="D281" s="56">
        <f t="shared" si="21"/>
        <v>0.68411464</v>
      </c>
      <c r="E281" s="56">
        <f t="shared" si="21"/>
        <v>0.64502437999999995</v>
      </c>
      <c r="F281" s="56">
        <f t="shared" si="21"/>
        <v>0.57477420000000001</v>
      </c>
      <c r="G281" s="56">
        <f t="shared" si="21"/>
        <v>0.46880239999999984</v>
      </c>
      <c r="H281" s="56">
        <f t="shared" si="21"/>
        <v>0.33265319999999998</v>
      </c>
      <c r="I281" s="56">
        <f t="shared" si="21"/>
        <v>0.17404640000000005</v>
      </c>
      <c r="J281" s="56">
        <f t="shared" si="21"/>
        <v>0</v>
      </c>
    </row>
    <row r="282" spans="1:10" ht="20.100000000000001" customHeight="1" x14ac:dyDescent="0.25">
      <c r="A282" s="48">
        <f t="shared" si="19"/>
        <v>0.44000000000000011</v>
      </c>
      <c r="B282" s="56">
        <f t="shared" si="21"/>
        <v>0.68319999999999992</v>
      </c>
      <c r="C282" s="56">
        <f t="shared" si="21"/>
        <v>0.68101375999999991</v>
      </c>
      <c r="D282" s="56">
        <f t="shared" si="21"/>
        <v>0.66598336000000002</v>
      </c>
      <c r="E282" s="56">
        <f t="shared" si="21"/>
        <v>0.6279291199999999</v>
      </c>
      <c r="F282" s="56">
        <f t="shared" si="21"/>
        <v>0.55954079999999995</v>
      </c>
      <c r="G282" s="56">
        <f t="shared" si="21"/>
        <v>0.45637759999999994</v>
      </c>
      <c r="H282" s="56">
        <f t="shared" si="21"/>
        <v>0.32383680000000004</v>
      </c>
      <c r="I282" s="56">
        <f t="shared" si="21"/>
        <v>0.16943359999999996</v>
      </c>
      <c r="J282" s="56">
        <f t="shared" si="21"/>
        <v>0</v>
      </c>
    </row>
    <row r="283" spans="1:10" ht="20.100000000000001" customHeight="1" x14ac:dyDescent="0.25">
      <c r="A283" s="48">
        <f t="shared" si="19"/>
        <v>0.46000000000000013</v>
      </c>
      <c r="B283" s="56">
        <f t="shared" si="21"/>
        <v>0.6641999999999999</v>
      </c>
      <c r="C283" s="56">
        <f t="shared" si="21"/>
        <v>0.66207455999999987</v>
      </c>
      <c r="D283" s="56">
        <f t="shared" si="21"/>
        <v>0.6474621599999999</v>
      </c>
      <c r="E283" s="56">
        <f t="shared" si="21"/>
        <v>0.61046621999999984</v>
      </c>
      <c r="F283" s="56">
        <f t="shared" si="21"/>
        <v>0.5439797999999999</v>
      </c>
      <c r="G283" s="56">
        <f t="shared" si="21"/>
        <v>0.4436855999999999</v>
      </c>
      <c r="H283" s="56">
        <f t="shared" si="21"/>
        <v>0.31483079999999997</v>
      </c>
      <c r="I283" s="56">
        <f t="shared" si="21"/>
        <v>0.16472159999999991</v>
      </c>
      <c r="J283" s="56">
        <f t="shared" si="21"/>
        <v>0</v>
      </c>
    </row>
    <row r="284" spans="1:10" ht="20.100000000000001" customHeight="1" x14ac:dyDescent="0.25">
      <c r="A284" s="48">
        <f t="shared" si="19"/>
        <v>0.48000000000000015</v>
      </c>
      <c r="B284" s="56">
        <f t="shared" si="21"/>
        <v>0.64479999999999982</v>
      </c>
      <c r="C284" s="56">
        <f t="shared" si="21"/>
        <v>0.64273663999999986</v>
      </c>
      <c r="D284" s="56">
        <f t="shared" si="21"/>
        <v>0.62855103999999984</v>
      </c>
      <c r="E284" s="56">
        <f t="shared" si="21"/>
        <v>0.59263567999999989</v>
      </c>
      <c r="F284" s="56">
        <f t="shared" si="21"/>
        <v>0.52809119999999998</v>
      </c>
      <c r="G284" s="56">
        <f t="shared" si="21"/>
        <v>0.43072639999999995</v>
      </c>
      <c r="H284" s="56">
        <f t="shared" si="21"/>
        <v>0.30563519999999977</v>
      </c>
      <c r="I284" s="56">
        <f t="shared" si="21"/>
        <v>0.15991040000000001</v>
      </c>
      <c r="J284" s="56">
        <f t="shared" si="21"/>
        <v>0</v>
      </c>
    </row>
    <row r="285" spans="1:10" ht="20.100000000000001" customHeight="1" x14ac:dyDescent="0.25">
      <c r="A285" s="48">
        <f t="shared" si="19"/>
        <v>0.50000000000000011</v>
      </c>
      <c r="B285" s="56">
        <f t="shared" si="21"/>
        <v>0.62499999999999978</v>
      </c>
      <c r="C285" s="56">
        <f t="shared" si="21"/>
        <v>0.62299999999999978</v>
      </c>
      <c r="D285" s="56">
        <f t="shared" si="21"/>
        <v>0.60924999999999985</v>
      </c>
      <c r="E285" s="56">
        <f t="shared" si="21"/>
        <v>0.57443749999999993</v>
      </c>
      <c r="F285" s="56">
        <f t="shared" si="21"/>
        <v>0.51187499999999986</v>
      </c>
      <c r="G285" s="56">
        <f t="shared" si="21"/>
        <v>0.41749999999999987</v>
      </c>
      <c r="H285" s="56">
        <f t="shared" si="21"/>
        <v>0.29625000000000001</v>
      </c>
      <c r="I285" s="56">
        <f t="shared" si="21"/>
        <v>0.15500000000000003</v>
      </c>
      <c r="J285" s="56">
        <f t="shared" si="21"/>
        <v>0</v>
      </c>
    </row>
    <row r="286" spans="1:10" ht="20.100000000000001" customHeight="1" x14ac:dyDescent="0.25">
      <c r="A286" s="48">
        <f t="shared" si="19"/>
        <v>0.52000000000000013</v>
      </c>
      <c r="B286" s="56">
        <f t="shared" si="21"/>
        <v>0.60479999999999989</v>
      </c>
      <c r="C286" s="56">
        <f t="shared" si="21"/>
        <v>0.60286463999999995</v>
      </c>
      <c r="D286" s="56">
        <f t="shared" si="21"/>
        <v>0.58955903999999992</v>
      </c>
      <c r="E286" s="56">
        <f t="shared" si="21"/>
        <v>0.55587167999999987</v>
      </c>
      <c r="F286" s="56">
        <f t="shared" si="21"/>
        <v>0.49533119999999986</v>
      </c>
      <c r="G286" s="56">
        <f t="shared" si="21"/>
        <v>0.40400639999999999</v>
      </c>
      <c r="H286" s="56">
        <f t="shared" si="21"/>
        <v>0.28667519999999991</v>
      </c>
      <c r="I286" s="56">
        <f t="shared" si="21"/>
        <v>0.14999039999999997</v>
      </c>
      <c r="J286" s="56">
        <f t="shared" si="21"/>
        <v>0</v>
      </c>
    </row>
    <row r="287" spans="1:10" ht="20.100000000000001" customHeight="1" x14ac:dyDescent="0.25">
      <c r="A287" s="48">
        <f t="shared" si="19"/>
        <v>0.54000000000000015</v>
      </c>
      <c r="B287" s="56">
        <f t="shared" si="21"/>
        <v>0.58419999999999983</v>
      </c>
      <c r="C287" s="56">
        <f t="shared" si="21"/>
        <v>0.58233055999999983</v>
      </c>
      <c r="D287" s="56">
        <f t="shared" si="21"/>
        <v>0.56947815999999984</v>
      </c>
      <c r="E287" s="56">
        <f t="shared" si="21"/>
        <v>0.53693821999999991</v>
      </c>
      <c r="F287" s="56">
        <f t="shared" si="21"/>
        <v>0.47845979999999988</v>
      </c>
      <c r="G287" s="56">
        <f t="shared" si="21"/>
        <v>0.39024559999999986</v>
      </c>
      <c r="H287" s="56">
        <f t="shared" si="21"/>
        <v>0.27691080000000001</v>
      </c>
      <c r="I287" s="56">
        <f t="shared" si="21"/>
        <v>0.14488159999999994</v>
      </c>
      <c r="J287" s="56">
        <f t="shared" si="21"/>
        <v>0</v>
      </c>
    </row>
    <row r="288" spans="1:10" ht="20.100000000000001" customHeight="1" x14ac:dyDescent="0.25">
      <c r="A288" s="48">
        <f t="shared" si="19"/>
        <v>0.56000000000000016</v>
      </c>
      <c r="B288" s="56">
        <f t="shared" si="21"/>
        <v>0.56319999999999981</v>
      </c>
      <c r="C288" s="56">
        <f t="shared" si="21"/>
        <v>0.56139775999999975</v>
      </c>
      <c r="D288" s="56">
        <f t="shared" si="21"/>
        <v>0.54900735999999983</v>
      </c>
      <c r="E288" s="56">
        <f t="shared" si="21"/>
        <v>0.51763711999999984</v>
      </c>
      <c r="F288" s="56">
        <f t="shared" si="21"/>
        <v>0.4612607999999998</v>
      </c>
      <c r="G288" s="56">
        <f t="shared" si="21"/>
        <v>0.37621759999999982</v>
      </c>
      <c r="H288" s="56">
        <f t="shared" si="21"/>
        <v>0.26695679999999977</v>
      </c>
      <c r="I288" s="56">
        <f t="shared" si="21"/>
        <v>0.13967359999999995</v>
      </c>
      <c r="J288" s="56">
        <f t="shared" si="21"/>
        <v>0</v>
      </c>
    </row>
    <row r="289" spans="1:10" ht="20.100000000000001" customHeight="1" x14ac:dyDescent="0.25">
      <c r="A289" s="48">
        <f t="shared" si="19"/>
        <v>0.58000000000000018</v>
      </c>
      <c r="B289" s="56">
        <f t="shared" si="21"/>
        <v>0.54179999999999984</v>
      </c>
      <c r="C289" s="56">
        <f t="shared" si="21"/>
        <v>0.54006623999999981</v>
      </c>
      <c r="D289" s="56">
        <f t="shared" si="21"/>
        <v>0.52814663999999989</v>
      </c>
      <c r="E289" s="56">
        <f t="shared" si="21"/>
        <v>0.49796837999999988</v>
      </c>
      <c r="F289" s="56">
        <f t="shared" si="21"/>
        <v>0.44373419999999986</v>
      </c>
      <c r="G289" s="56">
        <f t="shared" si="21"/>
        <v>0.36192239999999987</v>
      </c>
      <c r="H289" s="56">
        <f t="shared" si="21"/>
        <v>0.25681319999999996</v>
      </c>
      <c r="I289" s="56">
        <f t="shared" si="21"/>
        <v>0.1343664</v>
      </c>
      <c r="J289" s="56">
        <f t="shared" si="21"/>
        <v>0</v>
      </c>
    </row>
    <row r="290" spans="1:10" ht="20.100000000000001" customHeight="1" x14ac:dyDescent="0.25">
      <c r="A290" s="48">
        <f t="shared" si="19"/>
        <v>0.6000000000000002</v>
      </c>
      <c r="B290" s="56">
        <f t="shared" si="21"/>
        <v>0.5199999999999998</v>
      </c>
      <c r="C290" s="56">
        <f t="shared" si="21"/>
        <v>0.51833599999999969</v>
      </c>
      <c r="D290" s="56">
        <f t="shared" si="21"/>
        <v>0.50689599999999979</v>
      </c>
      <c r="E290" s="56">
        <f t="shared" si="21"/>
        <v>0.4779319999999998</v>
      </c>
      <c r="F290" s="56">
        <f t="shared" si="21"/>
        <v>0.42587999999999981</v>
      </c>
      <c r="G290" s="56">
        <f t="shared" si="21"/>
        <v>0.34735999999999989</v>
      </c>
      <c r="H290" s="56">
        <f t="shared" si="21"/>
        <v>0.24647999999999992</v>
      </c>
      <c r="I290" s="56">
        <f t="shared" si="21"/>
        <v>0.12895999999999985</v>
      </c>
      <c r="J290" s="56">
        <f t="shared" si="21"/>
        <v>0</v>
      </c>
    </row>
    <row r="291" spans="1:10" ht="20.100000000000001" customHeight="1" x14ac:dyDescent="0.25">
      <c r="A291" s="48">
        <f t="shared" si="19"/>
        <v>0.62000000000000022</v>
      </c>
      <c r="B291" s="56">
        <f t="shared" si="21"/>
        <v>0.4977999999999998</v>
      </c>
      <c r="C291" s="56">
        <f t="shared" si="21"/>
        <v>0.49620703999999982</v>
      </c>
      <c r="D291" s="56">
        <f t="shared" si="21"/>
        <v>0.48525543999999987</v>
      </c>
      <c r="E291" s="56">
        <f t="shared" si="21"/>
        <v>0.45752797999999983</v>
      </c>
      <c r="F291" s="56">
        <f t="shared" si="21"/>
        <v>0.40769819999999979</v>
      </c>
      <c r="G291" s="56">
        <f t="shared" si="21"/>
        <v>0.33253039999999989</v>
      </c>
      <c r="H291" s="56">
        <f t="shared" si="21"/>
        <v>0.23595719999999987</v>
      </c>
      <c r="I291" s="56">
        <f t="shared" si="21"/>
        <v>0.12345439999999996</v>
      </c>
      <c r="J291" s="56">
        <f t="shared" si="21"/>
        <v>0</v>
      </c>
    </row>
    <row r="292" spans="1:10" ht="20.100000000000001" customHeight="1" x14ac:dyDescent="0.25">
      <c r="A292" s="48">
        <f t="shared" si="19"/>
        <v>0.64000000000000024</v>
      </c>
      <c r="B292" s="56">
        <f t="shared" si="21"/>
        <v>0.47519999999999973</v>
      </c>
      <c r="C292" s="56">
        <f t="shared" si="21"/>
        <v>0.47367935999999977</v>
      </c>
      <c r="D292" s="56">
        <f t="shared" si="21"/>
        <v>0.46322495999999969</v>
      </c>
      <c r="E292" s="56">
        <f t="shared" si="21"/>
        <v>0.43675631999999975</v>
      </c>
      <c r="F292" s="56">
        <f t="shared" si="21"/>
        <v>0.38918879999999978</v>
      </c>
      <c r="G292" s="56">
        <f t="shared" si="21"/>
        <v>0.31743359999999976</v>
      </c>
      <c r="H292" s="56">
        <f t="shared" si="21"/>
        <v>0.2252447999999998</v>
      </c>
      <c r="I292" s="56">
        <f t="shared" si="21"/>
        <v>0.11784959999999989</v>
      </c>
      <c r="J292" s="56">
        <f t="shared" si="21"/>
        <v>0</v>
      </c>
    </row>
    <row r="293" spans="1:10" ht="20.100000000000001" customHeight="1" x14ac:dyDescent="0.25">
      <c r="A293" s="48">
        <f t="shared" si="19"/>
        <v>0.66000000000000025</v>
      </c>
      <c r="B293" s="56">
        <f t="shared" ref="B293:J308" si="22">1+B226</f>
        <v>0.45219999999999971</v>
      </c>
      <c r="C293" s="56">
        <f t="shared" si="22"/>
        <v>0.45075295999999976</v>
      </c>
      <c r="D293" s="56">
        <f t="shared" si="22"/>
        <v>0.44080455999999968</v>
      </c>
      <c r="E293" s="56">
        <f t="shared" si="22"/>
        <v>0.41561701999999978</v>
      </c>
      <c r="F293" s="56">
        <f t="shared" si="22"/>
        <v>0.37035179999999979</v>
      </c>
      <c r="G293" s="56">
        <f t="shared" si="22"/>
        <v>0.30206959999999983</v>
      </c>
      <c r="H293" s="56">
        <f t="shared" si="22"/>
        <v>0.21434279999999983</v>
      </c>
      <c r="I293" s="56">
        <f t="shared" si="22"/>
        <v>0.11214559999999996</v>
      </c>
      <c r="J293" s="56">
        <f t="shared" si="22"/>
        <v>0</v>
      </c>
    </row>
    <row r="294" spans="1:10" ht="20.100000000000001" customHeight="1" x14ac:dyDescent="0.25">
      <c r="A294" s="48">
        <f t="shared" si="19"/>
        <v>0.68000000000000027</v>
      </c>
      <c r="B294" s="56">
        <f t="shared" si="22"/>
        <v>0.42879999999999963</v>
      </c>
      <c r="C294" s="56">
        <f t="shared" si="22"/>
        <v>0.42742783999999956</v>
      </c>
      <c r="D294" s="56">
        <f t="shared" si="22"/>
        <v>0.41799423999999963</v>
      </c>
      <c r="E294" s="56">
        <f t="shared" si="22"/>
        <v>0.3941100799999997</v>
      </c>
      <c r="F294" s="56">
        <f t="shared" si="22"/>
        <v>0.3511871999999997</v>
      </c>
      <c r="G294" s="56">
        <f t="shared" si="22"/>
        <v>0.28643839999999965</v>
      </c>
      <c r="H294" s="56">
        <f t="shared" si="22"/>
        <v>0.20325119999999985</v>
      </c>
      <c r="I294" s="56">
        <f t="shared" si="22"/>
        <v>0.10634239999999973</v>
      </c>
      <c r="J294" s="56">
        <f t="shared" si="22"/>
        <v>0</v>
      </c>
    </row>
    <row r="295" spans="1:10" ht="20.100000000000001" customHeight="1" x14ac:dyDescent="0.25">
      <c r="A295" s="48">
        <f t="shared" si="19"/>
        <v>0.70000000000000029</v>
      </c>
      <c r="B295" s="56">
        <f t="shared" si="22"/>
        <v>0.40499999999999969</v>
      </c>
      <c r="C295" s="56">
        <f t="shared" si="22"/>
        <v>0.40370399999999973</v>
      </c>
      <c r="D295" s="56">
        <f t="shared" si="22"/>
        <v>0.39479399999999965</v>
      </c>
      <c r="E295" s="56">
        <f t="shared" si="22"/>
        <v>0.37223549999999972</v>
      </c>
      <c r="F295" s="56">
        <f t="shared" si="22"/>
        <v>0.33169499999999974</v>
      </c>
      <c r="G295" s="56">
        <f t="shared" si="22"/>
        <v>0.27053999999999978</v>
      </c>
      <c r="H295" s="56">
        <f t="shared" si="22"/>
        <v>0.19196999999999986</v>
      </c>
      <c r="I295" s="56">
        <f t="shared" si="22"/>
        <v>0.10043999999999986</v>
      </c>
      <c r="J295" s="56">
        <f t="shared" si="22"/>
        <v>0</v>
      </c>
    </row>
    <row r="296" spans="1:10" ht="20.100000000000001" customHeight="1" x14ac:dyDescent="0.25">
      <c r="A296" s="48">
        <f t="shared" si="19"/>
        <v>0.72000000000000031</v>
      </c>
      <c r="B296" s="56">
        <f t="shared" si="22"/>
        <v>0.38079999999999958</v>
      </c>
      <c r="C296" s="56">
        <f t="shared" si="22"/>
        <v>0.37958143999999949</v>
      </c>
      <c r="D296" s="56">
        <f t="shared" si="22"/>
        <v>0.37120383999999962</v>
      </c>
      <c r="E296" s="56">
        <f t="shared" si="22"/>
        <v>0.34999327999999963</v>
      </c>
      <c r="F296" s="56">
        <f t="shared" si="22"/>
        <v>0.31187519999999969</v>
      </c>
      <c r="G296" s="56">
        <f t="shared" si="22"/>
        <v>0.25437439999999967</v>
      </c>
      <c r="H296" s="56">
        <f t="shared" si="22"/>
        <v>0.18049919999999986</v>
      </c>
      <c r="I296" s="56">
        <f t="shared" si="22"/>
        <v>9.4438399999999922E-2</v>
      </c>
      <c r="J296" s="56">
        <f t="shared" si="22"/>
        <v>0</v>
      </c>
    </row>
    <row r="297" spans="1:10" ht="20.100000000000001" customHeight="1" x14ac:dyDescent="0.25">
      <c r="A297" s="48">
        <f t="shared" si="19"/>
        <v>0.74000000000000032</v>
      </c>
      <c r="B297" s="56">
        <f t="shared" si="22"/>
        <v>0.35619999999999963</v>
      </c>
      <c r="C297" s="56">
        <f t="shared" si="22"/>
        <v>0.35506015999999962</v>
      </c>
      <c r="D297" s="56">
        <f t="shared" si="22"/>
        <v>0.34722375999999966</v>
      </c>
      <c r="E297" s="56">
        <f t="shared" si="22"/>
        <v>0.32738341999999965</v>
      </c>
      <c r="F297" s="56">
        <f t="shared" si="22"/>
        <v>0.29172779999999965</v>
      </c>
      <c r="G297" s="56">
        <f t="shared" si="22"/>
        <v>0.23794159999999975</v>
      </c>
      <c r="H297" s="56">
        <f t="shared" si="22"/>
        <v>0.16883879999999973</v>
      </c>
      <c r="I297" s="56">
        <f t="shared" si="22"/>
        <v>8.8337599999999794E-2</v>
      </c>
      <c r="J297" s="56">
        <f t="shared" si="22"/>
        <v>0</v>
      </c>
    </row>
    <row r="298" spans="1:10" ht="20.100000000000001" customHeight="1" x14ac:dyDescent="0.25">
      <c r="A298" s="48">
        <f t="shared" si="19"/>
        <v>0.76000000000000034</v>
      </c>
      <c r="B298" s="56">
        <f t="shared" si="22"/>
        <v>0.33119999999999949</v>
      </c>
      <c r="C298" s="56">
        <f t="shared" si="22"/>
        <v>0.33014015999999946</v>
      </c>
      <c r="D298" s="56">
        <f t="shared" si="22"/>
        <v>0.32285375999999943</v>
      </c>
      <c r="E298" s="56">
        <f t="shared" si="22"/>
        <v>0.30440591999999955</v>
      </c>
      <c r="F298" s="56">
        <f t="shared" si="22"/>
        <v>0.27125279999999963</v>
      </c>
      <c r="G298" s="56">
        <f t="shared" si="22"/>
        <v>0.22124159999999959</v>
      </c>
      <c r="H298" s="56">
        <f t="shared" si="22"/>
        <v>0.15698879999999971</v>
      </c>
      <c r="I298" s="56">
        <f t="shared" si="22"/>
        <v>8.2137599999999811E-2</v>
      </c>
      <c r="J298" s="56">
        <f t="shared" si="22"/>
        <v>0</v>
      </c>
    </row>
    <row r="299" spans="1:10" ht="20.100000000000001" customHeight="1" x14ac:dyDescent="0.25">
      <c r="A299" s="48">
        <f t="shared" si="19"/>
        <v>0.78000000000000036</v>
      </c>
      <c r="B299" s="56">
        <f t="shared" si="22"/>
        <v>0.30579999999999952</v>
      </c>
      <c r="C299" s="56">
        <f t="shared" si="22"/>
        <v>0.30482143999999967</v>
      </c>
      <c r="D299" s="56">
        <f t="shared" si="22"/>
        <v>0.2980938399999995</v>
      </c>
      <c r="E299" s="56">
        <f t="shared" si="22"/>
        <v>0.28106077999999957</v>
      </c>
      <c r="F299" s="56">
        <f t="shared" si="22"/>
        <v>0.25045019999999962</v>
      </c>
      <c r="G299" s="56">
        <f t="shared" si="22"/>
        <v>0.20427439999999963</v>
      </c>
      <c r="H299" s="56">
        <f t="shared" si="22"/>
        <v>0.14494919999999978</v>
      </c>
      <c r="I299" s="56">
        <f t="shared" si="22"/>
        <v>7.5838399999999861E-2</v>
      </c>
      <c r="J299" s="56">
        <f t="shared" si="22"/>
        <v>0</v>
      </c>
    </row>
    <row r="300" spans="1:10" ht="20.100000000000001" customHeight="1" x14ac:dyDescent="0.25">
      <c r="A300" s="48">
        <f t="shared" si="19"/>
        <v>0.80000000000000038</v>
      </c>
      <c r="B300" s="56">
        <f t="shared" si="22"/>
        <v>0.27999999999999958</v>
      </c>
      <c r="C300" s="56">
        <f t="shared" si="22"/>
        <v>0.27910399999999957</v>
      </c>
      <c r="D300" s="56">
        <f t="shared" si="22"/>
        <v>0.27294399999999952</v>
      </c>
      <c r="E300" s="56">
        <f t="shared" si="22"/>
        <v>0.25734799999999969</v>
      </c>
      <c r="F300" s="56">
        <f t="shared" si="22"/>
        <v>0.22931999999999964</v>
      </c>
      <c r="G300" s="56">
        <f t="shared" si="22"/>
        <v>0.18703999999999965</v>
      </c>
      <c r="H300" s="56">
        <f t="shared" si="22"/>
        <v>0.13271999999999973</v>
      </c>
      <c r="I300" s="56">
        <f t="shared" si="22"/>
        <v>6.9439999999999835E-2</v>
      </c>
      <c r="J300" s="56">
        <f t="shared" si="22"/>
        <v>0</v>
      </c>
    </row>
    <row r="301" spans="1:10" ht="20.100000000000001" customHeight="1" x14ac:dyDescent="0.25">
      <c r="A301" s="48">
        <f t="shared" si="19"/>
        <v>0.8200000000000004</v>
      </c>
      <c r="B301" s="56">
        <f t="shared" si="22"/>
        <v>0.25379999999999958</v>
      </c>
      <c r="C301" s="56">
        <f t="shared" si="22"/>
        <v>0.25298783999999952</v>
      </c>
      <c r="D301" s="56">
        <f t="shared" si="22"/>
        <v>0.2474042399999995</v>
      </c>
      <c r="E301" s="56">
        <f t="shared" si="22"/>
        <v>0.23326757999999959</v>
      </c>
      <c r="F301" s="56">
        <f t="shared" si="22"/>
        <v>0.20786219999999955</v>
      </c>
      <c r="G301" s="56">
        <f t="shared" si="22"/>
        <v>0.16953839999999976</v>
      </c>
      <c r="H301" s="56">
        <f t="shared" si="22"/>
        <v>0.12030119999999977</v>
      </c>
      <c r="I301" s="56">
        <f t="shared" si="22"/>
        <v>6.2942399999999843E-2</v>
      </c>
      <c r="J301" s="56">
        <f t="shared" si="22"/>
        <v>0</v>
      </c>
    </row>
    <row r="302" spans="1:10" ht="20.100000000000001" customHeight="1" x14ac:dyDescent="0.25">
      <c r="A302" s="48">
        <f t="shared" si="19"/>
        <v>0.84000000000000041</v>
      </c>
      <c r="B302" s="56">
        <f t="shared" si="22"/>
        <v>0.2271999999999994</v>
      </c>
      <c r="C302" s="56">
        <f t="shared" si="22"/>
        <v>0.22647295999999939</v>
      </c>
      <c r="D302" s="56">
        <f t="shared" si="22"/>
        <v>0.22147455999999943</v>
      </c>
      <c r="E302" s="56">
        <f t="shared" si="22"/>
        <v>0.20881951999999937</v>
      </c>
      <c r="F302" s="56">
        <f t="shared" si="22"/>
        <v>0.1860767999999996</v>
      </c>
      <c r="G302" s="56">
        <f t="shared" si="22"/>
        <v>0.15176959999999962</v>
      </c>
      <c r="H302" s="56">
        <f t="shared" si="22"/>
        <v>0.10769279999999981</v>
      </c>
      <c r="I302" s="56">
        <f t="shared" si="22"/>
        <v>5.6345599999999774E-2</v>
      </c>
      <c r="J302" s="56">
        <f t="shared" si="22"/>
        <v>0</v>
      </c>
    </row>
    <row r="303" spans="1:10" ht="20.100000000000001" customHeight="1" x14ac:dyDescent="0.25">
      <c r="A303" s="48">
        <f t="shared" si="19"/>
        <v>0.86000000000000043</v>
      </c>
      <c r="B303" s="56">
        <f t="shared" si="22"/>
        <v>0.20019999999999949</v>
      </c>
      <c r="C303" s="56">
        <f t="shared" si="22"/>
        <v>0.19955935999999952</v>
      </c>
      <c r="D303" s="56">
        <f t="shared" si="22"/>
        <v>0.19515495999999954</v>
      </c>
      <c r="E303" s="56">
        <f t="shared" si="22"/>
        <v>0.18400381999999949</v>
      </c>
      <c r="F303" s="56">
        <f t="shared" si="22"/>
        <v>0.16396379999999966</v>
      </c>
      <c r="G303" s="56">
        <f t="shared" si="22"/>
        <v>0.13373359999999967</v>
      </c>
      <c r="H303" s="56">
        <f t="shared" si="22"/>
        <v>9.4894799999999724E-2</v>
      </c>
      <c r="I303" s="56">
        <f t="shared" si="22"/>
        <v>4.964959999999996E-2</v>
      </c>
      <c r="J303" s="56">
        <f t="shared" si="22"/>
        <v>0</v>
      </c>
    </row>
    <row r="304" spans="1:10" ht="20.100000000000001" customHeight="1" x14ac:dyDescent="0.25">
      <c r="A304" s="48">
        <f t="shared" si="19"/>
        <v>0.88000000000000045</v>
      </c>
      <c r="B304" s="56">
        <f t="shared" si="22"/>
        <v>0.1727999999999994</v>
      </c>
      <c r="C304" s="56">
        <f t="shared" si="22"/>
        <v>0.17224703999999946</v>
      </c>
      <c r="D304" s="56">
        <f t="shared" si="22"/>
        <v>0.16844543999999939</v>
      </c>
      <c r="E304" s="56">
        <f t="shared" si="22"/>
        <v>0.1588204799999996</v>
      </c>
      <c r="F304" s="56">
        <f t="shared" si="22"/>
        <v>0.14152319999999963</v>
      </c>
      <c r="G304" s="56">
        <f t="shared" si="22"/>
        <v>0.1154303999999996</v>
      </c>
      <c r="H304" s="56">
        <f t="shared" si="22"/>
        <v>8.1907199999999736E-2</v>
      </c>
      <c r="I304" s="56">
        <f t="shared" si="22"/>
        <v>4.2854399999999959E-2</v>
      </c>
      <c r="J304" s="56">
        <f t="shared" si="22"/>
        <v>0</v>
      </c>
    </row>
    <row r="305" spans="1:10" ht="20.100000000000001" customHeight="1" x14ac:dyDescent="0.25">
      <c r="A305" s="48">
        <f t="shared" si="19"/>
        <v>0.90000000000000047</v>
      </c>
      <c r="B305" s="56">
        <f t="shared" si="22"/>
        <v>0.14499999999999924</v>
      </c>
      <c r="C305" s="56">
        <f t="shared" si="22"/>
        <v>0.14453599999999922</v>
      </c>
      <c r="D305" s="56">
        <f t="shared" si="22"/>
        <v>0.14134599999999931</v>
      </c>
      <c r="E305" s="56">
        <f t="shared" si="22"/>
        <v>0.13326949999999937</v>
      </c>
      <c r="F305" s="56">
        <f t="shared" si="22"/>
        <v>0.1187549999999995</v>
      </c>
      <c r="G305" s="56">
        <f t="shared" si="22"/>
        <v>9.6859999999999502E-2</v>
      </c>
      <c r="H305" s="56">
        <f t="shared" si="22"/>
        <v>6.8729999999999625E-2</v>
      </c>
      <c r="I305" s="56">
        <f t="shared" si="22"/>
        <v>3.595999999999977E-2</v>
      </c>
      <c r="J305" s="56">
        <f t="shared" si="22"/>
        <v>0</v>
      </c>
    </row>
    <row r="306" spans="1:10" ht="20.100000000000001" customHeight="1" x14ac:dyDescent="0.25">
      <c r="A306" s="48">
        <f t="shared" si="19"/>
        <v>0.92000000000000048</v>
      </c>
      <c r="B306" s="56">
        <f t="shared" si="22"/>
        <v>0.11679999999999935</v>
      </c>
      <c r="C306" s="56">
        <f t="shared" si="22"/>
        <v>0.11642623999999946</v>
      </c>
      <c r="D306" s="56">
        <f t="shared" si="22"/>
        <v>0.1138566399999994</v>
      </c>
      <c r="E306" s="56">
        <f t="shared" si="22"/>
        <v>0.10735087999999948</v>
      </c>
      <c r="F306" s="56">
        <f t="shared" si="22"/>
        <v>9.56591999999995E-2</v>
      </c>
      <c r="G306" s="56">
        <f t="shared" si="22"/>
        <v>7.8022399999999603E-2</v>
      </c>
      <c r="H306" s="56">
        <f t="shared" si="22"/>
        <v>5.5363199999999724E-2</v>
      </c>
      <c r="I306" s="56">
        <f t="shared" si="22"/>
        <v>2.8966399999999948E-2</v>
      </c>
      <c r="J306" s="56">
        <f t="shared" si="22"/>
        <v>0</v>
      </c>
    </row>
    <row r="307" spans="1:10" ht="20.100000000000001" customHeight="1" x14ac:dyDescent="0.25">
      <c r="A307" s="48">
        <f t="shared" si="19"/>
        <v>0.9400000000000005</v>
      </c>
      <c r="B307" s="56">
        <f t="shared" si="22"/>
        <v>8.8199999999999168E-2</v>
      </c>
      <c r="C307" s="56">
        <f t="shared" si="22"/>
        <v>8.791775999999929E-2</v>
      </c>
      <c r="D307" s="56">
        <f t="shared" si="22"/>
        <v>8.5977359999999226E-2</v>
      </c>
      <c r="E307" s="56">
        <f t="shared" si="22"/>
        <v>8.1064619999999254E-2</v>
      </c>
      <c r="F307" s="56">
        <f t="shared" si="22"/>
        <v>7.2235799999999406E-2</v>
      </c>
      <c r="G307" s="56">
        <f t="shared" si="22"/>
        <v>5.8917599999999459E-2</v>
      </c>
      <c r="H307" s="56">
        <f t="shared" si="22"/>
        <v>4.18067999999997E-2</v>
      </c>
      <c r="I307" s="56">
        <f t="shared" si="22"/>
        <v>2.1873599999999827E-2</v>
      </c>
      <c r="J307" s="56">
        <f t="shared" si="22"/>
        <v>0</v>
      </c>
    </row>
    <row r="308" spans="1:10" ht="20.100000000000001" customHeight="1" x14ac:dyDescent="0.25">
      <c r="A308" s="48">
        <f t="shared" si="19"/>
        <v>0.96000000000000052</v>
      </c>
      <c r="B308" s="56">
        <f t="shared" si="22"/>
        <v>5.9199999999999253E-2</v>
      </c>
      <c r="C308" s="56">
        <f t="shared" si="22"/>
        <v>5.9010559999999268E-2</v>
      </c>
      <c r="D308" s="56">
        <f t="shared" si="22"/>
        <v>5.7708159999999231E-2</v>
      </c>
      <c r="E308" s="56">
        <f t="shared" si="22"/>
        <v>5.4410719999999357E-2</v>
      </c>
      <c r="F308" s="56">
        <f t="shared" si="22"/>
        <v>4.8484799999999328E-2</v>
      </c>
      <c r="G308" s="56">
        <f t="shared" si="22"/>
        <v>3.9545599999999625E-2</v>
      </c>
      <c r="H308" s="56">
        <f t="shared" si="22"/>
        <v>2.8060799999999664E-2</v>
      </c>
      <c r="I308" s="56">
        <f t="shared" si="22"/>
        <v>1.468159999999985E-2</v>
      </c>
      <c r="J308" s="56">
        <f t="shared" si="22"/>
        <v>0</v>
      </c>
    </row>
    <row r="309" spans="1:10" ht="20.100000000000001" customHeight="1" x14ac:dyDescent="0.25">
      <c r="A309" s="48">
        <f t="shared" si="19"/>
        <v>0.98000000000000054</v>
      </c>
      <c r="B309" s="56">
        <f t="shared" ref="B309:J310" si="23">1+B242</f>
        <v>2.979999999999916E-2</v>
      </c>
      <c r="C309" s="56">
        <f t="shared" si="23"/>
        <v>2.9704639999999172E-2</v>
      </c>
      <c r="D309" s="56">
        <f t="shared" si="23"/>
        <v>2.9049039999999193E-2</v>
      </c>
      <c r="E309" s="56">
        <f t="shared" si="23"/>
        <v>2.7389179999999236E-2</v>
      </c>
      <c r="F309" s="56">
        <f t="shared" si="23"/>
        <v>2.4406199999999378E-2</v>
      </c>
      <c r="G309" s="56">
        <f t="shared" si="23"/>
        <v>1.9906399999999436E-2</v>
      </c>
      <c r="H309" s="56">
        <f t="shared" si="23"/>
        <v>1.4125199999999616E-2</v>
      </c>
      <c r="I309" s="56">
        <f t="shared" si="23"/>
        <v>7.3903999999997971E-3</v>
      </c>
      <c r="J309" s="56">
        <f t="shared" si="23"/>
        <v>0</v>
      </c>
    </row>
    <row r="310" spans="1:10" ht="20.100000000000001" customHeight="1" x14ac:dyDescent="0.25">
      <c r="A310" s="48">
        <f t="shared" si="19"/>
        <v>1.0000000000000004</v>
      </c>
      <c r="B310" s="56">
        <f t="shared" si="23"/>
        <v>0</v>
      </c>
      <c r="C310" s="56">
        <f t="shared" si="23"/>
        <v>0</v>
      </c>
      <c r="D310" s="56">
        <f t="shared" si="23"/>
        <v>0</v>
      </c>
      <c r="E310" s="56">
        <f t="shared" si="23"/>
        <v>0</v>
      </c>
      <c r="F310" s="56">
        <f t="shared" si="23"/>
        <v>0</v>
      </c>
      <c r="G310" s="56">
        <f t="shared" si="23"/>
        <v>0</v>
      </c>
      <c r="H310" s="56">
        <f t="shared" si="23"/>
        <v>0</v>
      </c>
      <c r="I310" s="56">
        <f t="shared" si="23"/>
        <v>0</v>
      </c>
      <c r="J310" s="56">
        <f t="shared" si="23"/>
        <v>0</v>
      </c>
    </row>
    <row r="312" spans="1:10" ht="20.100000000000001" customHeight="1" x14ac:dyDescent="0.25">
      <c r="A312" s="260" t="s">
        <v>365</v>
      </c>
      <c r="B312" s="260"/>
      <c r="C312" s="260"/>
      <c r="D312" s="260"/>
      <c r="E312" s="260"/>
      <c r="F312" s="260"/>
      <c r="G312" s="260"/>
      <c r="H312" s="260"/>
      <c r="I312" s="260"/>
      <c r="J312" s="260"/>
    </row>
    <row r="313" spans="1:10" ht="20.100000000000001" customHeight="1" x14ac:dyDescent="0.25">
      <c r="A313" s="260"/>
      <c r="B313" s="260"/>
      <c r="C313" s="260"/>
      <c r="D313" s="260"/>
      <c r="E313" s="260"/>
      <c r="F313" s="260"/>
      <c r="G313" s="260"/>
      <c r="H313" s="260"/>
      <c r="I313" s="260"/>
      <c r="J313" s="260"/>
    </row>
    <row r="315" spans="1:10" ht="20.100000000000001" customHeight="1" x14ac:dyDescent="0.25">
      <c r="C315" s="55"/>
    </row>
    <row r="322" spans="1:21" ht="20.100000000000001" customHeight="1" x14ac:dyDescent="0.25">
      <c r="A322" s="260" t="s">
        <v>81</v>
      </c>
      <c r="B322" s="260"/>
      <c r="C322" s="260"/>
      <c r="D322" s="260"/>
      <c r="E322" s="260"/>
      <c r="F322" s="260"/>
      <c r="G322" s="260"/>
      <c r="H322" s="260"/>
      <c r="I322" s="260"/>
      <c r="J322" s="260"/>
    </row>
    <row r="323" spans="1:21" ht="20.100000000000001" customHeight="1" x14ac:dyDescent="0.25">
      <c r="A323" s="260" t="s">
        <v>82</v>
      </c>
      <c r="B323" s="260"/>
      <c r="C323" s="260"/>
      <c r="D323" s="260"/>
      <c r="E323" s="260"/>
      <c r="F323" s="260"/>
      <c r="G323" s="260"/>
      <c r="H323" s="260"/>
      <c r="I323" s="260"/>
      <c r="J323" s="260"/>
      <c r="K323" s="37"/>
      <c r="L323" s="37"/>
      <c r="M323" s="37"/>
      <c r="N323" s="37"/>
      <c r="O323" s="37"/>
      <c r="P323" s="37"/>
      <c r="Q323" s="37"/>
      <c r="R323" s="37"/>
    </row>
    <row r="324" spans="1:21" ht="39.950000000000003" customHeight="1" x14ac:dyDescent="0.25">
      <c r="A324" s="260" t="s">
        <v>104</v>
      </c>
      <c r="B324" s="260"/>
      <c r="C324" s="260"/>
      <c r="D324" s="260"/>
      <c r="E324" s="260"/>
      <c r="F324" s="260"/>
      <c r="G324" s="260"/>
      <c r="H324" s="260"/>
      <c r="I324" s="260"/>
      <c r="J324" s="260"/>
    </row>
    <row r="325" spans="1:21" ht="20.100000000000001" customHeight="1" x14ac:dyDescent="0.25">
      <c r="A325" s="260" t="s">
        <v>366</v>
      </c>
      <c r="B325" s="260"/>
      <c r="C325" s="260"/>
      <c r="D325" s="260"/>
      <c r="E325" s="260"/>
      <c r="F325" s="260"/>
      <c r="G325" s="260"/>
      <c r="H325" s="260"/>
      <c r="I325" s="260"/>
      <c r="J325" s="260"/>
    </row>
    <row r="326" spans="1:21" ht="20.100000000000001" customHeight="1" x14ac:dyDescent="0.25">
      <c r="A326" s="260" t="s">
        <v>367</v>
      </c>
      <c r="B326" s="260"/>
      <c r="C326" s="260"/>
      <c r="D326" s="260"/>
      <c r="E326" s="260"/>
      <c r="F326" s="260"/>
      <c r="G326" s="260"/>
      <c r="H326" s="260"/>
      <c r="I326" s="260"/>
      <c r="J326" s="260"/>
    </row>
    <row r="327" spans="1:21" ht="39.950000000000003" customHeight="1" x14ac:dyDescent="0.25">
      <c r="A327" s="260" t="s">
        <v>368</v>
      </c>
      <c r="B327" s="260"/>
      <c r="C327" s="260"/>
      <c r="D327" s="260"/>
      <c r="E327" s="260"/>
      <c r="F327" s="260"/>
      <c r="G327" s="260"/>
      <c r="H327" s="260"/>
      <c r="I327" s="260"/>
      <c r="J327" s="260"/>
    </row>
    <row r="328" spans="1:21" ht="39.950000000000003" customHeight="1" x14ac:dyDescent="0.25">
      <c r="A328" s="260" t="s">
        <v>369</v>
      </c>
      <c r="B328" s="260"/>
      <c r="C328" s="260"/>
      <c r="D328" s="260"/>
      <c r="E328" s="260"/>
      <c r="F328" s="260"/>
      <c r="G328" s="260"/>
      <c r="H328" s="260"/>
      <c r="I328" s="260"/>
      <c r="J328" s="260"/>
    </row>
    <row r="329" spans="1:21" ht="20.100000000000001" customHeight="1" x14ac:dyDescent="0.25">
      <c r="A329" s="260" t="s">
        <v>370</v>
      </c>
      <c r="B329" s="260"/>
      <c r="C329" s="260"/>
      <c r="D329" s="260"/>
      <c r="E329" s="260"/>
      <c r="F329" s="260"/>
      <c r="G329" s="260"/>
      <c r="H329" s="260"/>
      <c r="I329" s="260"/>
      <c r="J329" s="260"/>
    </row>
    <row r="330" spans="1:21" ht="20.100000000000001" customHeight="1" x14ac:dyDescent="0.25">
      <c r="A330" s="260" t="s">
        <v>105</v>
      </c>
      <c r="B330" s="260"/>
      <c r="C330" s="260"/>
      <c r="D330" s="260"/>
      <c r="E330" s="260"/>
      <c r="F330" s="260"/>
      <c r="G330" s="260"/>
      <c r="H330" s="260"/>
      <c r="I330" s="260"/>
      <c r="J330" s="260"/>
    </row>
    <row r="331" spans="1:21" ht="39.950000000000003" customHeight="1" x14ac:dyDescent="0.25">
      <c r="A331" s="260" t="s">
        <v>371</v>
      </c>
      <c r="B331" s="260"/>
      <c r="C331" s="260"/>
      <c r="D331" s="260"/>
      <c r="E331" s="260"/>
      <c r="F331" s="260"/>
      <c r="G331" s="260"/>
      <c r="H331" s="260"/>
      <c r="I331" s="260"/>
      <c r="J331" s="260"/>
    </row>
    <row r="332" spans="1:21" ht="39.950000000000003" customHeight="1" x14ac:dyDescent="0.25">
      <c r="A332" s="260" t="s">
        <v>372</v>
      </c>
      <c r="B332" s="260"/>
      <c r="C332" s="260"/>
      <c r="D332" s="260"/>
      <c r="E332" s="260"/>
      <c r="F332" s="260"/>
      <c r="G332" s="260"/>
      <c r="H332" s="260"/>
      <c r="I332" s="260"/>
      <c r="J332" s="260"/>
    </row>
    <row r="333" spans="1:21" ht="39.950000000000003" customHeight="1" x14ac:dyDescent="0.25">
      <c r="A333" s="260" t="s">
        <v>107</v>
      </c>
      <c r="B333" s="260"/>
      <c r="C333" s="260"/>
      <c r="D333" s="260"/>
      <c r="E333" s="260"/>
      <c r="F333" s="260"/>
      <c r="G333" s="260"/>
      <c r="H333" s="260"/>
      <c r="I333" s="260"/>
      <c r="J333" s="260"/>
    </row>
    <row r="334" spans="1:21" ht="39.950000000000003" customHeight="1" x14ac:dyDescent="0.25">
      <c r="A334" s="260" t="s">
        <v>373</v>
      </c>
      <c r="B334" s="260"/>
      <c r="C334" s="260"/>
      <c r="D334" s="260"/>
      <c r="E334" s="260"/>
      <c r="F334" s="260"/>
      <c r="G334" s="260"/>
      <c r="H334" s="260"/>
      <c r="I334" s="260"/>
      <c r="J334" s="260"/>
      <c r="L334" s="40"/>
      <c r="M334" s="40"/>
      <c r="N334" s="40"/>
      <c r="O334" s="40"/>
      <c r="P334" s="40"/>
      <c r="Q334" s="40"/>
      <c r="R334" s="40"/>
      <c r="S334" s="40"/>
      <c r="T334" s="40"/>
      <c r="U334" s="40"/>
    </row>
    <row r="335" spans="1:21" ht="39.950000000000003" customHeight="1" x14ac:dyDescent="0.25">
      <c r="A335" s="260" t="s">
        <v>106</v>
      </c>
      <c r="B335" s="260"/>
      <c r="C335" s="260"/>
      <c r="D335" s="260"/>
      <c r="E335" s="260"/>
      <c r="F335" s="260"/>
      <c r="G335" s="260"/>
      <c r="H335" s="260"/>
      <c r="I335" s="260"/>
      <c r="J335" s="260"/>
      <c r="L335" s="40"/>
      <c r="M335" s="40"/>
      <c r="N335" s="40"/>
      <c r="O335" s="40"/>
      <c r="P335" s="40"/>
      <c r="Q335" s="40"/>
      <c r="R335" s="40"/>
      <c r="S335" s="40"/>
      <c r="T335" s="40"/>
      <c r="U335" s="40"/>
    </row>
    <row r="336" spans="1:21" ht="39.950000000000003" customHeight="1" x14ac:dyDescent="0.25">
      <c r="A336" s="260" t="s">
        <v>374</v>
      </c>
      <c r="B336" s="260"/>
      <c r="C336" s="260"/>
      <c r="D336" s="260"/>
      <c r="E336" s="260"/>
      <c r="F336" s="260"/>
      <c r="G336" s="260"/>
      <c r="H336" s="260"/>
      <c r="I336" s="260"/>
      <c r="J336" s="260"/>
      <c r="L336" s="40"/>
      <c r="M336" s="40"/>
      <c r="N336" s="40"/>
      <c r="O336" s="40"/>
      <c r="P336" s="40"/>
      <c r="Q336" s="40"/>
      <c r="R336" s="40"/>
      <c r="S336" s="40"/>
      <c r="T336" s="40"/>
      <c r="U336" s="40"/>
    </row>
    <row r="337" spans="1:10" ht="20.100000000000001" customHeight="1" x14ac:dyDescent="0.25">
      <c r="A337" s="260" t="s">
        <v>375</v>
      </c>
      <c r="B337" s="260"/>
      <c r="C337" s="260"/>
      <c r="D337" s="260"/>
      <c r="E337" s="260"/>
      <c r="F337" s="260"/>
      <c r="G337" s="260"/>
      <c r="H337" s="260"/>
      <c r="I337" s="260"/>
      <c r="J337" s="260"/>
    </row>
    <row r="338" spans="1:10" ht="20.100000000000001" customHeight="1" x14ac:dyDescent="0.25">
      <c r="A338" s="260" t="s">
        <v>376</v>
      </c>
      <c r="B338" s="260"/>
      <c r="C338" s="260"/>
      <c r="D338" s="260"/>
      <c r="E338" s="260"/>
      <c r="F338" s="260"/>
      <c r="G338" s="260"/>
      <c r="H338" s="260"/>
      <c r="I338" s="260"/>
      <c r="J338" s="260"/>
    </row>
    <row r="339" spans="1:10" ht="39.950000000000003" customHeight="1" x14ac:dyDescent="0.25">
      <c r="A339" s="260" t="s">
        <v>377</v>
      </c>
      <c r="B339" s="260"/>
      <c r="C339" s="260"/>
      <c r="D339" s="260"/>
      <c r="E339" s="260"/>
      <c r="F339" s="260"/>
      <c r="G339" s="260"/>
      <c r="H339" s="260"/>
      <c r="I339" s="260"/>
      <c r="J339" s="260"/>
    </row>
    <row r="340" spans="1:10" ht="20.100000000000001" customHeight="1" x14ac:dyDescent="0.25">
      <c r="A340" s="260" t="s">
        <v>378</v>
      </c>
      <c r="B340" s="260"/>
      <c r="C340" s="260"/>
      <c r="D340" s="260"/>
      <c r="E340" s="260"/>
      <c r="F340" s="260"/>
      <c r="G340" s="260"/>
      <c r="H340" s="260"/>
      <c r="I340" s="260"/>
      <c r="J340" s="260"/>
    </row>
    <row r="341" spans="1:10" ht="20.100000000000001" customHeight="1" x14ac:dyDescent="0.25">
      <c r="A341" s="260"/>
      <c r="B341" s="260"/>
      <c r="C341" s="260"/>
      <c r="D341" s="260"/>
      <c r="E341" s="260"/>
      <c r="F341" s="260"/>
      <c r="G341" s="260"/>
      <c r="H341" s="260"/>
      <c r="I341" s="260"/>
      <c r="J341" s="260"/>
    </row>
  </sheetData>
  <mergeCells count="239">
    <mergeCell ref="A1:J1"/>
    <mergeCell ref="A3:A5"/>
    <mergeCell ref="B3:C5"/>
    <mergeCell ref="D3:F5"/>
    <mergeCell ref="G3:H4"/>
    <mergeCell ref="I3:J5"/>
    <mergeCell ref="G5:H5"/>
    <mergeCell ref="G8:H8"/>
    <mergeCell ref="I8:J8"/>
    <mergeCell ref="D9:F9"/>
    <mergeCell ref="G9:H9"/>
    <mergeCell ref="I9:J9"/>
    <mergeCell ref="D10:F10"/>
    <mergeCell ref="G10:H10"/>
    <mergeCell ref="I10:J10"/>
    <mergeCell ref="A6:A21"/>
    <mergeCell ref="B6:C7"/>
    <mergeCell ref="D6:F6"/>
    <mergeCell ref="G6:H6"/>
    <mergeCell ref="I6:J6"/>
    <mergeCell ref="D7:F7"/>
    <mergeCell ref="G7:H7"/>
    <mergeCell ref="I7:J7"/>
    <mergeCell ref="B8:C15"/>
    <mergeCell ref="D8:F8"/>
    <mergeCell ref="D13:F13"/>
    <mergeCell ref="G13:H13"/>
    <mergeCell ref="I13:J13"/>
    <mergeCell ref="D14:F14"/>
    <mergeCell ref="G14:H14"/>
    <mergeCell ref="I14:J14"/>
    <mergeCell ref="D11:F11"/>
    <mergeCell ref="G11:H11"/>
    <mergeCell ref="I11:J11"/>
    <mergeCell ref="D12:F12"/>
    <mergeCell ref="G12:H12"/>
    <mergeCell ref="I12:J12"/>
    <mergeCell ref="D15:F15"/>
    <mergeCell ref="G15:H15"/>
    <mergeCell ref="I15:J15"/>
    <mergeCell ref="B16:C21"/>
    <mergeCell ref="D16:F16"/>
    <mergeCell ref="G16:H16"/>
    <mergeCell ref="I16:J16"/>
    <mergeCell ref="D17:F17"/>
    <mergeCell ref="G17:H17"/>
    <mergeCell ref="I17:J17"/>
    <mergeCell ref="D20:F20"/>
    <mergeCell ref="G20:H20"/>
    <mergeCell ref="I20:J20"/>
    <mergeCell ref="D21:F21"/>
    <mergeCell ref="G21:H21"/>
    <mergeCell ref="I21:J21"/>
    <mergeCell ref="D18:F18"/>
    <mergeCell ref="G18:H18"/>
    <mergeCell ref="I18:J18"/>
    <mergeCell ref="D19:F19"/>
    <mergeCell ref="G19:H19"/>
    <mergeCell ref="I19:J19"/>
    <mergeCell ref="A22:A34"/>
    <mergeCell ref="B22:C27"/>
    <mergeCell ref="D22:F22"/>
    <mergeCell ref="G22:H22"/>
    <mergeCell ref="I22:J22"/>
    <mergeCell ref="D23:F23"/>
    <mergeCell ref="G23:H23"/>
    <mergeCell ref="I23:J23"/>
    <mergeCell ref="D24:F24"/>
    <mergeCell ref="G24:H24"/>
    <mergeCell ref="B28:C31"/>
    <mergeCell ref="D28:F28"/>
    <mergeCell ref="G28:H28"/>
    <mergeCell ref="I28:J28"/>
    <mergeCell ref="D29:F29"/>
    <mergeCell ref="G29:H29"/>
    <mergeCell ref="I29:J29"/>
    <mergeCell ref="I24:J24"/>
    <mergeCell ref="D25:F25"/>
    <mergeCell ref="G25:H25"/>
    <mergeCell ref="I25:J25"/>
    <mergeCell ref="D26:F26"/>
    <mergeCell ref="G26:H26"/>
    <mergeCell ref="I26:J26"/>
    <mergeCell ref="D30:F30"/>
    <mergeCell ref="G30:H30"/>
    <mergeCell ref="I30:J30"/>
    <mergeCell ref="D31:F31"/>
    <mergeCell ref="G31:H31"/>
    <mergeCell ref="I31:J31"/>
    <mergeCell ref="D27:F27"/>
    <mergeCell ref="G27:H27"/>
    <mergeCell ref="I27:J27"/>
    <mergeCell ref="B32:C34"/>
    <mergeCell ref="D32:F32"/>
    <mergeCell ref="G32:H32"/>
    <mergeCell ref="I32:J32"/>
    <mergeCell ref="D33:F33"/>
    <mergeCell ref="G33:H33"/>
    <mergeCell ref="I33:J33"/>
    <mergeCell ref="D34:F34"/>
    <mergeCell ref="G34:H34"/>
    <mergeCell ref="I34:J34"/>
    <mergeCell ref="A47:A49"/>
    <mergeCell ref="B47:D49"/>
    <mergeCell ref="E47:E49"/>
    <mergeCell ref="F47:J49"/>
    <mergeCell ref="A50:A52"/>
    <mergeCell ref="B50:D52"/>
    <mergeCell ref="E50:E52"/>
    <mergeCell ref="F50:J52"/>
    <mergeCell ref="A36:J36"/>
    <mergeCell ref="A37:J37"/>
    <mergeCell ref="A38:J39"/>
    <mergeCell ref="A42:J43"/>
    <mergeCell ref="A45:A46"/>
    <mergeCell ref="B45:D46"/>
    <mergeCell ref="E45:E46"/>
    <mergeCell ref="F45:J46"/>
    <mergeCell ref="A59:A62"/>
    <mergeCell ref="B59:D62"/>
    <mergeCell ref="E59:E62"/>
    <mergeCell ref="F59:J62"/>
    <mergeCell ref="A63:A68"/>
    <mergeCell ref="B63:D68"/>
    <mergeCell ref="E63:E68"/>
    <mergeCell ref="F63:J68"/>
    <mergeCell ref="A53:A55"/>
    <mergeCell ref="B53:D55"/>
    <mergeCell ref="E53:E55"/>
    <mergeCell ref="F53:J55"/>
    <mergeCell ref="A56:A58"/>
    <mergeCell ref="B56:D58"/>
    <mergeCell ref="E56:E58"/>
    <mergeCell ref="F56:J58"/>
    <mergeCell ref="B79:D79"/>
    <mergeCell ref="F79:J79"/>
    <mergeCell ref="A81:J81"/>
    <mergeCell ref="A82:J82"/>
    <mergeCell ref="A83:J83"/>
    <mergeCell ref="A84:J84"/>
    <mergeCell ref="A69:A74"/>
    <mergeCell ref="B69:D74"/>
    <mergeCell ref="E69:E74"/>
    <mergeCell ref="F69:J74"/>
    <mergeCell ref="A75:A78"/>
    <mergeCell ref="B75:D78"/>
    <mergeCell ref="E75:E78"/>
    <mergeCell ref="F75:J78"/>
    <mergeCell ref="I106:J106"/>
    <mergeCell ref="A107:B107"/>
    <mergeCell ref="C107:D107"/>
    <mergeCell ref="E107:F107"/>
    <mergeCell ref="G107:H107"/>
    <mergeCell ref="I107:J107"/>
    <mergeCell ref="A86:J86"/>
    <mergeCell ref="A87:J89"/>
    <mergeCell ref="A92:J92"/>
    <mergeCell ref="A94:J99"/>
    <mergeCell ref="A101:J103"/>
    <mergeCell ref="A104:B106"/>
    <mergeCell ref="C104:D106"/>
    <mergeCell ref="E104:F106"/>
    <mergeCell ref="G104:J105"/>
    <mergeCell ref="G106:H106"/>
    <mergeCell ref="A108:B108"/>
    <mergeCell ref="C108:D108"/>
    <mergeCell ref="E108:F108"/>
    <mergeCell ref="G108:H108"/>
    <mergeCell ref="I108:J108"/>
    <mergeCell ref="A109:B109"/>
    <mergeCell ref="C109:D109"/>
    <mergeCell ref="E109:F109"/>
    <mergeCell ref="G109:H109"/>
    <mergeCell ref="I109:J109"/>
    <mergeCell ref="A110:B110"/>
    <mergeCell ref="C110:D110"/>
    <mergeCell ref="E110:F110"/>
    <mergeCell ref="G110:H110"/>
    <mergeCell ref="I110:J110"/>
    <mergeCell ref="A111:B111"/>
    <mergeCell ref="C111:D111"/>
    <mergeCell ref="E111:F111"/>
    <mergeCell ref="G111:H111"/>
    <mergeCell ref="I111:J111"/>
    <mergeCell ref="A112:B112"/>
    <mergeCell ref="C112:D112"/>
    <mergeCell ref="E112:F112"/>
    <mergeCell ref="G112:H112"/>
    <mergeCell ref="I112:J112"/>
    <mergeCell ref="A113:B113"/>
    <mergeCell ref="C113:D113"/>
    <mergeCell ref="E113:F113"/>
    <mergeCell ref="G113:H113"/>
    <mergeCell ref="I113:J113"/>
    <mergeCell ref="A114:B114"/>
    <mergeCell ref="C114:D114"/>
    <mergeCell ref="E114:F114"/>
    <mergeCell ref="G114:H114"/>
    <mergeCell ref="I114:J114"/>
    <mergeCell ref="A115:B115"/>
    <mergeCell ref="C115:D115"/>
    <mergeCell ref="E115:F115"/>
    <mergeCell ref="G115:H115"/>
    <mergeCell ref="I115:J115"/>
    <mergeCell ref="A118:A121"/>
    <mergeCell ref="B118:J118"/>
    <mergeCell ref="B119:J119"/>
    <mergeCell ref="B120:J120"/>
    <mergeCell ref="A174:J174"/>
    <mergeCell ref="A189:A192"/>
    <mergeCell ref="B189:J189"/>
    <mergeCell ref="B190:J190"/>
    <mergeCell ref="B191:J191"/>
    <mergeCell ref="A322:J322"/>
    <mergeCell ref="A323:J323"/>
    <mergeCell ref="A324:J324"/>
    <mergeCell ref="A325:J325"/>
    <mergeCell ref="A326:J326"/>
    <mergeCell ref="A327:J327"/>
    <mergeCell ref="A245:J247"/>
    <mergeCell ref="A256:A259"/>
    <mergeCell ref="B256:J256"/>
    <mergeCell ref="B257:J257"/>
    <mergeCell ref="B258:J258"/>
    <mergeCell ref="A312:J313"/>
    <mergeCell ref="A340:J340"/>
    <mergeCell ref="A341:J341"/>
    <mergeCell ref="A334:J334"/>
    <mergeCell ref="A335:J335"/>
    <mergeCell ref="A336:J336"/>
    <mergeCell ref="A337:J337"/>
    <mergeCell ref="A338:J338"/>
    <mergeCell ref="A339:J339"/>
    <mergeCell ref="A328:J328"/>
    <mergeCell ref="A329:J329"/>
    <mergeCell ref="A330:J330"/>
    <mergeCell ref="A331:J331"/>
    <mergeCell ref="A332:J332"/>
    <mergeCell ref="A333:J333"/>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9B16-6CE1-41E3-8928-3191FECE01C8}">
  <dimension ref="A1:AQ144"/>
  <sheetViews>
    <sheetView workbookViewId="0">
      <selection sqref="A1:AM1"/>
    </sheetView>
  </sheetViews>
  <sheetFormatPr defaultColWidth="3.625" defaultRowHeight="20.100000000000001" customHeight="1" x14ac:dyDescent="0.25"/>
  <cols>
    <col min="42" max="43" width="3.625" style="3"/>
    <col min="44" max="16384" width="3.625" style="1"/>
  </cols>
  <sheetData>
    <row r="1" spans="1:39" s="3" customFormat="1" ht="20.100000000000001" customHeight="1" x14ac:dyDescent="0.25">
      <c r="A1" s="318" t="s">
        <v>226</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row>
    <row r="2" spans="1:39" s="3" customFormat="1" ht="20.100000000000001" customHeight="1" x14ac:dyDescent="0.25">
      <c r="A2" s="318" t="s">
        <v>227</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row>
    <row r="3" spans="1:39" s="3" customFormat="1" ht="20.100000000000001" customHeight="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3" customFormat="1" ht="20.100000000000001" customHeight="1" x14ac:dyDescent="0.25">
      <c r="A4" s="318" t="s">
        <v>108</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row>
    <row r="5" spans="1:39" s="3" customFormat="1" ht="20.100000000000001" customHeight="1"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row>
    <row r="6" spans="1:39" s="3" customFormat="1" ht="20.100000000000001" customHeight="1" x14ac:dyDescent="0.25">
      <c r="A6" s="295" t="s">
        <v>109</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7"/>
    </row>
    <row r="7" spans="1:39" s="3" customFormat="1" ht="20.100000000000001" customHeight="1" x14ac:dyDescent="0.25">
      <c r="A7" s="4"/>
      <c r="B7"/>
      <c r="C7"/>
      <c r="D7"/>
      <c r="E7"/>
      <c r="F7"/>
      <c r="G7"/>
      <c r="H7"/>
      <c r="I7"/>
      <c r="J7"/>
      <c r="K7" s="5"/>
      <c r="L7"/>
      <c r="M7"/>
      <c r="N7"/>
      <c r="O7"/>
      <c r="P7"/>
      <c r="Q7"/>
      <c r="R7"/>
      <c r="S7"/>
      <c r="T7"/>
      <c r="U7"/>
      <c r="V7"/>
      <c r="W7"/>
      <c r="X7"/>
      <c r="Y7"/>
      <c r="Z7"/>
      <c r="AA7"/>
      <c r="AB7"/>
      <c r="AC7"/>
      <c r="AD7"/>
      <c r="AE7"/>
      <c r="AF7"/>
      <c r="AG7"/>
      <c r="AH7"/>
      <c r="AI7"/>
      <c r="AJ7"/>
      <c r="AK7"/>
      <c r="AL7"/>
      <c r="AM7" s="6"/>
    </row>
    <row r="8" spans="1:39" s="3" customFormat="1" ht="20.100000000000001" customHeight="1" x14ac:dyDescent="0.25">
      <c r="A8" s="4"/>
      <c r="B8" s="299" t="s">
        <v>233</v>
      </c>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6"/>
    </row>
    <row r="9" spans="1:39" s="3" customFormat="1" ht="20.100000000000001" customHeight="1" x14ac:dyDescent="0.25">
      <c r="A9" s="4"/>
      <c r="B9" s="311" t="s">
        <v>110</v>
      </c>
      <c r="C9" s="312"/>
      <c r="D9" s="312"/>
      <c r="E9" s="312"/>
      <c r="F9" s="312"/>
      <c r="G9" s="312"/>
      <c r="H9" s="312"/>
      <c r="I9" s="312"/>
      <c r="J9" s="312"/>
      <c r="K9" s="313"/>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6"/>
    </row>
    <row r="10" spans="1:39" s="3" customFormat="1" ht="20.100000000000001" customHeight="1" x14ac:dyDescent="0.25">
      <c r="A10" s="4"/>
      <c r="B10" s="311" t="s">
        <v>111</v>
      </c>
      <c r="C10" s="312"/>
      <c r="D10" s="312"/>
      <c r="E10" s="312"/>
      <c r="F10" s="312"/>
      <c r="G10" s="312"/>
      <c r="H10" s="312"/>
      <c r="I10" s="312"/>
      <c r="J10" s="312"/>
      <c r="K10" s="313"/>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6"/>
    </row>
    <row r="11" spans="1:39" s="3" customFormat="1" ht="20.100000000000001" customHeight="1" x14ac:dyDescent="0.25">
      <c r="A11" s="4"/>
      <c r="B11" s="311" t="s">
        <v>112</v>
      </c>
      <c r="C11" s="312"/>
      <c r="D11" s="312"/>
      <c r="E11" s="312"/>
      <c r="F11" s="312"/>
      <c r="G11" s="312"/>
      <c r="H11" s="312"/>
      <c r="I11" s="312"/>
      <c r="J11" s="312"/>
      <c r="K11" s="313"/>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6"/>
    </row>
    <row r="12" spans="1:39" s="3" customFormat="1" ht="20.100000000000001" customHeight="1" x14ac:dyDescent="0.25">
      <c r="A12" s="4"/>
      <c r="B12" s="311" t="s">
        <v>234</v>
      </c>
      <c r="C12" s="312"/>
      <c r="D12" s="312"/>
      <c r="E12" s="312"/>
      <c r="F12" s="312"/>
      <c r="G12" s="312"/>
      <c r="H12" s="312"/>
      <c r="I12" s="312"/>
      <c r="J12" s="312"/>
      <c r="K12" s="313"/>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6"/>
    </row>
    <row r="13" spans="1:39" s="3" customFormat="1" ht="20.100000000000001" customHeight="1" x14ac:dyDescent="0.25">
      <c r="A13" s="4"/>
      <c r="B13" s="311" t="s">
        <v>235</v>
      </c>
      <c r="C13" s="312"/>
      <c r="D13" s="312"/>
      <c r="E13" s="312"/>
      <c r="F13" s="312"/>
      <c r="G13" s="312"/>
      <c r="H13" s="312"/>
      <c r="I13" s="312"/>
      <c r="J13" s="312"/>
      <c r="K13" s="313"/>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19"/>
      <c r="AM13" s="6"/>
    </row>
    <row r="14" spans="1:39" s="3" customFormat="1" ht="20.100000000000001" customHeight="1" x14ac:dyDescent="0.25">
      <c r="A14" s="4"/>
      <c r="B14" s="315" t="s">
        <v>113</v>
      </c>
      <c r="C14" s="316"/>
      <c r="D14" s="316"/>
      <c r="E14" s="316"/>
      <c r="F14" s="316"/>
      <c r="G14" s="316"/>
      <c r="H14" s="316"/>
      <c r="I14" s="316"/>
      <c r="J14" s="316"/>
      <c r="K14" s="317"/>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6"/>
    </row>
    <row r="15" spans="1:39" s="3" customFormat="1" ht="20.100000000000001" customHeight="1" x14ac:dyDescent="0.25">
      <c r="A15" s="4"/>
      <c r="B15" s="315" t="s">
        <v>114</v>
      </c>
      <c r="C15" s="316"/>
      <c r="D15" s="316"/>
      <c r="E15" s="316"/>
      <c r="F15" s="316"/>
      <c r="G15" s="316"/>
      <c r="H15" s="316"/>
      <c r="I15" s="316"/>
      <c r="J15" s="316"/>
      <c r="K15" s="317"/>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6"/>
    </row>
    <row r="16" spans="1:39" s="3" customFormat="1" ht="20.100000000000001" customHeight="1" x14ac:dyDescent="0.25">
      <c r="A16" s="4"/>
      <c r="B16" s="315" t="s">
        <v>236</v>
      </c>
      <c r="C16" s="316"/>
      <c r="D16" s="316"/>
      <c r="E16" s="316"/>
      <c r="F16" s="316"/>
      <c r="G16" s="316"/>
      <c r="H16" s="316"/>
      <c r="I16" s="316"/>
      <c r="J16" s="316"/>
      <c r="K16" s="317"/>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6"/>
    </row>
    <row r="17" spans="1:39" s="3" customFormat="1" ht="20.100000000000001" customHeight="1" thickBot="1" x14ac:dyDescent="0.3">
      <c r="A17" s="8"/>
      <c r="B17" s="9"/>
      <c r="C17" s="9"/>
      <c r="D17" s="9"/>
      <c r="E17" s="9"/>
      <c r="F17" s="9"/>
      <c r="G17" s="9"/>
      <c r="H17" s="9"/>
      <c r="I17" s="9"/>
      <c r="J17" s="9"/>
      <c r="K17" s="10"/>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11"/>
    </row>
    <row r="18" spans="1:39" s="3" customFormat="1" ht="20.100000000000001" customHeight="1" thickBot="1" x14ac:dyDescent="0.3">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row>
    <row r="19" spans="1:39" s="3" customFormat="1" ht="20.100000000000001" customHeight="1" x14ac:dyDescent="0.25">
      <c r="A19" s="295" t="s">
        <v>231</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7"/>
    </row>
    <row r="20" spans="1:39" s="3" customFormat="1" ht="20.100000000000001" customHeight="1" x14ac:dyDescent="0.25">
      <c r="A20" s="4"/>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s="6"/>
    </row>
    <row r="21" spans="1:39" s="3" customFormat="1" ht="20.100000000000001" customHeight="1" x14ac:dyDescent="0.25">
      <c r="A21" s="4"/>
      <c r="B21" s="310" t="s">
        <v>115</v>
      </c>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6"/>
    </row>
    <row r="22" spans="1:39" s="3" customFormat="1" ht="20.100000000000001" customHeight="1" x14ac:dyDescent="0.25">
      <c r="A22" s="4"/>
      <c r="B22" s="310" t="s">
        <v>116</v>
      </c>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6"/>
    </row>
    <row r="23" spans="1:39" s="3" customFormat="1" ht="20.100000000000001" customHeight="1" x14ac:dyDescent="0.25">
      <c r="A23" s="4"/>
      <c r="B23" s="310" t="s">
        <v>117</v>
      </c>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6"/>
    </row>
    <row r="24" spans="1:39" s="3" customFormat="1" ht="20.100000000000001" customHeight="1" thickBot="1" x14ac:dyDescent="0.3">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11"/>
    </row>
    <row r="25" spans="1:39" s="3" customFormat="1" ht="20.100000000000001" customHeight="1" x14ac:dyDescent="0.25">
      <c r="A25" s="305" t="s">
        <v>118</v>
      </c>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7"/>
    </row>
    <row r="26" spans="1:39" s="3" customFormat="1" ht="20.100000000000001" customHeight="1" x14ac:dyDescent="0.25">
      <c r="A26" s="4"/>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s="6"/>
    </row>
    <row r="27" spans="1:39" s="3" customFormat="1" ht="20.100000000000001" customHeight="1" x14ac:dyDescent="0.25">
      <c r="A27" s="4"/>
      <c r="B27" s="308" t="s">
        <v>119</v>
      </c>
      <c r="C27" s="308"/>
      <c r="D27" s="308"/>
      <c r="E27" s="308"/>
      <c r="F27" s="308"/>
      <c r="G27" s="308"/>
      <c r="H27" s="308"/>
      <c r="I27" s="308"/>
      <c r="J27" s="308"/>
      <c r="K27" s="308"/>
      <c r="L27" s="308"/>
      <c r="M27" s="308"/>
      <c r="N27" s="308"/>
      <c r="O27"/>
      <c r="P27"/>
      <c r="Q27"/>
      <c r="R27"/>
      <c r="S27"/>
      <c r="T27"/>
      <c r="U27"/>
      <c r="V27" s="309" t="s">
        <v>120</v>
      </c>
      <c r="W27" s="309"/>
      <c r="X27" s="309"/>
      <c r="Y27" s="309"/>
      <c r="Z27" s="309"/>
      <c r="AA27" s="309"/>
      <c r="AB27" s="309"/>
      <c r="AC27" s="309"/>
      <c r="AD27" s="309"/>
      <c r="AE27" s="309"/>
      <c r="AF27" s="309"/>
      <c r="AG27" s="309"/>
      <c r="AH27" s="309"/>
      <c r="AI27" s="309"/>
      <c r="AJ27" s="309"/>
      <c r="AK27" s="309"/>
      <c r="AL27" s="309"/>
      <c r="AM27" s="13"/>
    </row>
    <row r="28" spans="1:39" s="3" customFormat="1" ht="20.100000000000001" customHeight="1" x14ac:dyDescent="0.25">
      <c r="A28" s="4"/>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s="6"/>
    </row>
    <row r="29" spans="1:39" s="3" customFormat="1" ht="20.100000000000001" customHeight="1" x14ac:dyDescent="0.25">
      <c r="A29" s="4"/>
      <c r="B29" s="7"/>
      <c r="C29" s="15" t="s">
        <v>121</v>
      </c>
      <c r="D29"/>
      <c r="E29"/>
      <c r="J29" s="7"/>
      <c r="K29" s="15" t="s">
        <v>122</v>
      </c>
      <c r="L29"/>
      <c r="M29"/>
      <c r="N29"/>
      <c r="O29"/>
      <c r="P29"/>
      <c r="Q29"/>
      <c r="R29"/>
      <c r="S29"/>
      <c r="T29"/>
      <c r="U29"/>
      <c r="V29" s="7"/>
      <c r="W29" s="16" t="s">
        <v>123</v>
      </c>
      <c r="X29" s="15"/>
      <c r="Y29" s="15"/>
      <c r="Z29" s="15"/>
      <c r="AA29" s="15"/>
      <c r="AB29" s="15"/>
      <c r="AC29" s="15"/>
      <c r="AD29" s="15"/>
      <c r="AE29" s="7"/>
      <c r="AF29" s="16" t="s">
        <v>64</v>
      </c>
      <c r="AH29"/>
      <c r="AI29"/>
      <c r="AJ29" s="15"/>
      <c r="AK29" s="15"/>
      <c r="AL29" s="15"/>
      <c r="AM29" s="17"/>
    </row>
    <row r="30" spans="1:39" s="3" customFormat="1" ht="20.100000000000001" customHeight="1" x14ac:dyDescent="0.25">
      <c r="A30"/>
      <c r="B30"/>
      <c r="C30"/>
      <c r="D30"/>
      <c r="E30"/>
      <c r="J30"/>
      <c r="K30" s="15"/>
      <c r="L30"/>
      <c r="M30"/>
      <c r="N30"/>
      <c r="O30"/>
      <c r="P30"/>
      <c r="Q30"/>
      <c r="R30"/>
      <c r="S30"/>
      <c r="T30"/>
      <c r="U30"/>
      <c r="V30"/>
      <c r="W30"/>
      <c r="X30" s="15"/>
      <c r="Y30" s="15"/>
      <c r="Z30" s="15"/>
      <c r="AA30" s="15"/>
      <c r="AB30" s="15"/>
      <c r="AC30" s="15"/>
      <c r="AD30" s="15"/>
      <c r="AE30"/>
      <c r="AF30"/>
      <c r="AH30"/>
      <c r="AI30"/>
      <c r="AJ30" s="15"/>
      <c r="AK30" s="15"/>
      <c r="AL30" s="15"/>
      <c r="AM30" s="17"/>
    </row>
    <row r="31" spans="1:39" s="3" customFormat="1" ht="20.100000000000001" customHeight="1" x14ac:dyDescent="0.25">
      <c r="A31" s="4"/>
      <c r="B31" s="7"/>
      <c r="C31" s="15" t="s">
        <v>124</v>
      </c>
      <c r="D31"/>
      <c r="E31"/>
      <c r="J31" s="7"/>
      <c r="K31" s="15" t="s">
        <v>125</v>
      </c>
      <c r="L31"/>
      <c r="M31"/>
      <c r="N31"/>
      <c r="O31"/>
      <c r="P31"/>
      <c r="Q31"/>
      <c r="R31"/>
      <c r="S31"/>
      <c r="T31"/>
      <c r="U31"/>
      <c r="V31" s="7"/>
      <c r="W31" s="16" t="s">
        <v>126</v>
      </c>
      <c r="X31" s="15"/>
      <c r="Y31" s="15"/>
      <c r="Z31" s="15"/>
      <c r="AA31" s="15"/>
      <c r="AB31" s="15"/>
      <c r="AC31" s="15"/>
      <c r="AD31" s="15"/>
      <c r="AE31" s="7"/>
      <c r="AF31" s="16" t="s">
        <v>127</v>
      </c>
      <c r="AG31" s="15"/>
      <c r="AH31" s="15"/>
      <c r="AI31" s="15"/>
      <c r="AJ31" s="15"/>
      <c r="AK31" s="15"/>
      <c r="AL31" s="15"/>
      <c r="AM31" s="6"/>
    </row>
    <row r="32" spans="1:39" s="3" customFormat="1" ht="20.100000000000001" customHeight="1" x14ac:dyDescent="0.25">
      <c r="A32" s="4"/>
      <c r="C32" s="15"/>
      <c r="D32"/>
      <c r="E32"/>
      <c r="K32" s="15"/>
      <c r="L32"/>
      <c r="M32"/>
      <c r="N32"/>
      <c r="O32"/>
      <c r="P32"/>
      <c r="Q32"/>
      <c r="R32"/>
      <c r="S32"/>
      <c r="T32"/>
      <c r="U32"/>
      <c r="V32"/>
      <c r="W32"/>
      <c r="X32" s="15"/>
      <c r="Y32" s="15"/>
      <c r="Z32" s="15"/>
      <c r="AA32" s="15"/>
      <c r="AB32" s="15"/>
      <c r="AC32" s="15"/>
      <c r="AD32" s="15"/>
      <c r="AF32" s="15"/>
      <c r="AG32" s="15"/>
      <c r="AH32" s="15"/>
      <c r="AI32" s="15"/>
      <c r="AJ32" s="15"/>
      <c r="AK32" s="15"/>
      <c r="AL32" s="15"/>
      <c r="AM32" s="6"/>
    </row>
    <row r="33" spans="1:39" s="3" customFormat="1" ht="20.100000000000001" customHeight="1" x14ac:dyDescent="0.25">
      <c r="A33" s="4"/>
      <c r="B33"/>
      <c r="C33"/>
      <c r="D33"/>
      <c r="E33"/>
      <c r="F33"/>
      <c r="G33"/>
      <c r="H33"/>
      <c r="I33"/>
      <c r="J33"/>
      <c r="K33"/>
      <c r="L33"/>
      <c r="M33"/>
      <c r="N33"/>
      <c r="O33"/>
      <c r="P33"/>
      <c r="Q33"/>
      <c r="R33"/>
      <c r="S33"/>
      <c r="T33"/>
      <c r="U33"/>
      <c r="V33" s="7"/>
      <c r="W33" s="16" t="s">
        <v>232</v>
      </c>
      <c r="X33"/>
      <c r="Y33"/>
      <c r="Z33"/>
      <c r="AA33"/>
      <c r="AB33"/>
      <c r="AC33"/>
      <c r="AD33"/>
      <c r="AE33"/>
      <c r="AF33"/>
      <c r="AG33"/>
      <c r="AH33"/>
      <c r="AI33"/>
      <c r="AJ33"/>
      <c r="AK33"/>
      <c r="AL33"/>
      <c r="AM33" s="6"/>
    </row>
    <row r="34" spans="1:39" s="3" customFormat="1" ht="20.100000000000001" customHeight="1" x14ac:dyDescent="0.25">
      <c r="A34" s="4"/>
      <c r="B34"/>
      <c r="C34"/>
      <c r="D34"/>
      <c r="E34"/>
      <c r="F34"/>
      <c r="G34"/>
      <c r="H34"/>
      <c r="J34"/>
      <c r="K34"/>
      <c r="L34"/>
      <c r="M34"/>
      <c r="N34"/>
      <c r="O34"/>
      <c r="P34"/>
      <c r="Q34"/>
      <c r="R34"/>
      <c r="S34"/>
      <c r="T34"/>
      <c r="U34"/>
      <c r="W34" s="15"/>
      <c r="X34"/>
      <c r="Y34"/>
      <c r="Z34"/>
      <c r="AA34"/>
      <c r="AB34"/>
      <c r="AC34"/>
      <c r="AD34"/>
      <c r="AE34"/>
      <c r="AF34"/>
      <c r="AG34"/>
      <c r="AH34"/>
      <c r="AI34"/>
      <c r="AJ34"/>
      <c r="AK34"/>
      <c r="AL34"/>
      <c r="AM34" s="6"/>
    </row>
    <row r="35" spans="1:39" s="3" customFormat="1" ht="20.100000000000001" customHeight="1" x14ac:dyDescent="0.25">
      <c r="A35" s="4"/>
      <c r="B35" s="302" t="s">
        <v>128</v>
      </c>
      <c r="C35" s="303"/>
      <c r="D35" s="303"/>
      <c r="E35" s="303"/>
      <c r="F35" s="303"/>
      <c r="G35" s="303"/>
      <c r="H35" s="304"/>
      <c r="J35" s="7"/>
      <c r="K35" s="15" t="s">
        <v>65</v>
      </c>
      <c r="L35"/>
      <c r="M35"/>
      <c r="O35"/>
      <c r="P35"/>
      <c r="Q35"/>
      <c r="R35"/>
      <c r="S35"/>
      <c r="T35"/>
      <c r="U35"/>
      <c r="V35" s="7"/>
      <c r="W35" s="15" t="s">
        <v>66</v>
      </c>
      <c r="X35"/>
      <c r="Y35"/>
      <c r="AC35"/>
      <c r="AD35"/>
      <c r="AE35"/>
      <c r="AF35"/>
      <c r="AG35"/>
      <c r="AH35"/>
      <c r="AI35"/>
      <c r="AJ35"/>
      <c r="AK35"/>
      <c r="AL35"/>
      <c r="AM35" s="6"/>
    </row>
    <row r="36" spans="1:39" s="3" customFormat="1" ht="20.100000000000001" customHeight="1" thickBot="1" x14ac:dyDescent="0.3">
      <c r="A36" s="8"/>
      <c r="B36" s="9"/>
      <c r="C36" s="9"/>
      <c r="D36" s="9"/>
      <c r="E36" s="9"/>
      <c r="F36" s="9"/>
      <c r="G36" s="9"/>
      <c r="H36" s="9"/>
      <c r="J36" s="9"/>
      <c r="K36" s="9"/>
      <c r="L36" s="9"/>
      <c r="M36" s="9"/>
      <c r="N36" s="9"/>
      <c r="O36" s="9"/>
      <c r="P36" s="9"/>
      <c r="Q36" s="9"/>
      <c r="R36" s="9"/>
      <c r="S36" s="9"/>
      <c r="T36" s="9"/>
      <c r="U36" s="9"/>
      <c r="V36" s="18"/>
      <c r="W36" s="19"/>
      <c r="X36" s="9"/>
      <c r="Y36" s="9"/>
      <c r="Z36" s="9"/>
      <c r="AA36" s="9"/>
      <c r="AB36" s="9"/>
      <c r="AC36" s="9"/>
      <c r="AD36" s="9"/>
      <c r="AE36" s="9"/>
      <c r="AF36" s="9"/>
      <c r="AG36" s="9"/>
      <c r="AH36" s="9"/>
      <c r="AI36" s="9"/>
      <c r="AJ36" s="9"/>
      <c r="AK36" s="9"/>
      <c r="AL36" s="9"/>
      <c r="AM36" s="11"/>
    </row>
    <row r="37" spans="1:39" s="3" customFormat="1" ht="20.100000000000001" customHeight="1" x14ac:dyDescent="0.25">
      <c r="A37" s="295" t="s">
        <v>129</v>
      </c>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7"/>
    </row>
    <row r="38" spans="1:39" s="3" customFormat="1" ht="20.100000000000001" customHeight="1" x14ac:dyDescent="0.25">
      <c r="A38" s="4"/>
      <c r="B38" s="20"/>
      <c r="C38" s="14"/>
      <c r="D38" s="14"/>
      <c r="E38" s="14"/>
      <c r="F38" s="14"/>
      <c r="G38" s="14"/>
      <c r="H38" s="14"/>
      <c r="I38" s="14"/>
      <c r="J38" s="21"/>
      <c r="K38" s="21"/>
      <c r="L38" s="21"/>
      <c r="M38" s="21"/>
      <c r="N38" s="21"/>
      <c r="O38" s="21"/>
      <c r="P38" s="21"/>
      <c r="Q38" s="21"/>
      <c r="R38" s="21"/>
      <c r="S38" s="21"/>
      <c r="T38" s="21"/>
      <c r="U38" s="21"/>
      <c r="V38" s="14"/>
      <c r="W38" s="14"/>
      <c r="X38" s="14"/>
      <c r="Y38" s="14"/>
      <c r="Z38" s="14"/>
      <c r="AA38" s="14"/>
      <c r="AB38" s="14"/>
      <c r="AC38" s="22"/>
      <c r="AD38" s="22"/>
      <c r="AE38" s="22"/>
      <c r="AF38" s="22"/>
      <c r="AG38" s="22"/>
      <c r="AH38" s="22"/>
      <c r="AI38" s="14"/>
      <c r="AJ38" s="14"/>
      <c r="AK38" s="14"/>
      <c r="AL38" s="14"/>
      <c r="AM38" s="23"/>
    </row>
    <row r="39" spans="1:39" s="3" customFormat="1" ht="20.100000000000001" customHeight="1" x14ac:dyDescent="0.25">
      <c r="A39" s="4"/>
      <c r="B39" s="24"/>
      <c r="C39" s="15" t="s">
        <v>130</v>
      </c>
      <c r="D39" s="14"/>
      <c r="E39" s="14"/>
      <c r="F39" s="14"/>
      <c r="G39" s="14"/>
      <c r="H39" s="14"/>
      <c r="I39" s="14"/>
      <c r="J39" s="12"/>
      <c r="K39" s="24"/>
      <c r="L39" s="15" t="s">
        <v>131</v>
      </c>
      <c r="M39" s="15"/>
      <c r="N39" s="15"/>
      <c r="O39" s="15"/>
      <c r="P39" s="15"/>
      <c r="Q39"/>
      <c r="R39" s="24"/>
      <c r="S39" s="15" t="s">
        <v>132</v>
      </c>
      <c r="V39"/>
      <c r="W39"/>
      <c r="X39" s="15"/>
      <c r="Y39" s="15"/>
      <c r="Z39" s="24"/>
      <c r="AA39" s="15" t="s">
        <v>133</v>
      </c>
      <c r="AD39" s="15"/>
      <c r="AE39" s="15"/>
      <c r="AG39"/>
      <c r="AH39"/>
      <c r="AI39" s="25"/>
      <c r="AL39" s="15"/>
      <c r="AM39" s="17"/>
    </row>
    <row r="40" spans="1:39" s="3" customFormat="1" ht="20.100000000000001" customHeight="1" x14ac:dyDescent="0.25">
      <c r="A40" s="4"/>
      <c r="B40" s="12"/>
      <c r="C40" s="15"/>
      <c r="D40" s="14"/>
      <c r="E40" s="14"/>
      <c r="F40" s="14"/>
      <c r="G40" s="14"/>
      <c r="H40" s="14"/>
      <c r="I40" s="14"/>
      <c r="J40" s="12"/>
      <c r="K40" s="15"/>
      <c r="L40" s="15"/>
      <c r="M40" s="15"/>
      <c r="N40" s="15"/>
      <c r="O40" s="15"/>
      <c r="P40" s="15"/>
      <c r="Q40"/>
      <c r="R40" s="15"/>
      <c r="S40" s="15"/>
      <c r="V40"/>
      <c r="W40"/>
      <c r="X40" s="15"/>
      <c r="Y40" s="15"/>
      <c r="Z40" s="15"/>
      <c r="AA40" s="15"/>
      <c r="AD40" s="15"/>
      <c r="AE40" s="15"/>
      <c r="AG40"/>
      <c r="AH40"/>
      <c r="AI40" s="15"/>
      <c r="AL40" s="15"/>
      <c r="AM40" s="17"/>
    </row>
    <row r="41" spans="1:39" s="3" customFormat="1" ht="20.100000000000001" customHeight="1" x14ac:dyDescent="0.25">
      <c r="A41" s="4"/>
      <c r="B41" s="24"/>
      <c r="C41" s="15" t="s">
        <v>134</v>
      </c>
      <c r="D41" s="14"/>
      <c r="E41" s="14"/>
      <c r="F41" s="14"/>
      <c r="G41" s="14"/>
      <c r="H41" s="14"/>
      <c r="I41" s="14"/>
      <c r="J41" s="12"/>
      <c r="K41" s="24"/>
      <c r="L41" s="15" t="s">
        <v>135</v>
      </c>
      <c r="M41" s="15"/>
      <c r="N41" s="15"/>
      <c r="O41" s="15"/>
      <c r="P41" s="15"/>
      <c r="Q41"/>
      <c r="R41" s="24"/>
      <c r="S41" s="15" t="s">
        <v>136</v>
      </c>
      <c r="V41"/>
      <c r="W41"/>
      <c r="X41" s="15"/>
      <c r="Y41" s="15"/>
      <c r="Z41" s="24"/>
      <c r="AA41" s="15" t="s">
        <v>137</v>
      </c>
      <c r="AD41" s="15"/>
      <c r="AE41" s="15"/>
      <c r="AG41"/>
      <c r="AH41"/>
      <c r="AI41" s="15"/>
      <c r="AL41" s="15"/>
      <c r="AM41" s="17"/>
    </row>
    <row r="42" spans="1:39" s="3" customFormat="1" ht="20.100000000000001" customHeight="1" thickBot="1" x14ac:dyDescent="0.3">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11"/>
    </row>
    <row r="43" spans="1:39" s="3" customFormat="1" ht="20.100000000000001" customHeight="1" x14ac:dyDescent="0.25">
      <c r="A43" s="305" t="s">
        <v>138</v>
      </c>
      <c r="B43" s="306"/>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7"/>
    </row>
    <row r="44" spans="1:39" s="3" customFormat="1" ht="20.100000000000001" customHeight="1" x14ac:dyDescent="0.25">
      <c r="A44" s="4"/>
      <c r="B44" s="20"/>
      <c r="C44" s="14"/>
      <c r="D44" s="14"/>
      <c r="E44" s="14"/>
      <c r="F44" s="14"/>
      <c r="G44" s="14"/>
      <c r="H44" s="14"/>
      <c r="I44" s="14"/>
      <c r="J44" s="21"/>
      <c r="K44" s="21"/>
      <c r="L44" s="21"/>
      <c r="M44" s="21"/>
      <c r="N44" s="21"/>
      <c r="O44" s="21"/>
      <c r="P44" s="21"/>
      <c r="Q44" s="21"/>
      <c r="R44" s="21"/>
      <c r="S44" s="21"/>
      <c r="T44" s="21"/>
      <c r="U44" s="21"/>
      <c r="V44" s="14"/>
      <c r="W44" s="14"/>
      <c r="X44" s="14"/>
      <c r="Y44" s="14"/>
      <c r="Z44" s="14"/>
      <c r="AA44" s="14"/>
      <c r="AB44" s="14"/>
      <c r="AC44" s="22"/>
      <c r="AD44" s="22"/>
      <c r="AE44" s="22"/>
      <c r="AF44" s="22"/>
      <c r="AG44" s="22"/>
      <c r="AH44" s="22"/>
      <c r="AI44" s="14"/>
      <c r="AJ44" s="14"/>
      <c r="AK44" s="14"/>
      <c r="AL44" s="14"/>
      <c r="AM44" s="23"/>
    </row>
    <row r="45" spans="1:39" s="3" customFormat="1" ht="20.100000000000001" customHeight="1" x14ac:dyDescent="0.25">
      <c r="A45" s="4"/>
      <c r="B45" s="24"/>
      <c r="C45" s="15" t="s">
        <v>139</v>
      </c>
      <c r="D45" s="14"/>
      <c r="E45" s="14"/>
      <c r="F45" s="14"/>
      <c r="G45" s="14"/>
      <c r="H45" s="14"/>
      <c r="I45" s="14"/>
      <c r="J45" s="12"/>
      <c r="K45" s="24"/>
      <c r="L45" s="15" t="s">
        <v>140</v>
      </c>
      <c r="M45" s="15"/>
      <c r="N45" s="15"/>
      <c r="O45" s="15"/>
      <c r="P45" s="15"/>
      <c r="Q45"/>
      <c r="R45" s="24"/>
      <c r="S45" s="15" t="s">
        <v>141</v>
      </c>
      <c r="V45"/>
      <c r="W45"/>
      <c r="X45" s="15"/>
      <c r="Y45" s="15"/>
      <c r="Z45" s="24"/>
      <c r="AA45" s="15" t="s">
        <v>142</v>
      </c>
      <c r="AD45" s="15"/>
      <c r="AE45" s="15"/>
      <c r="AG45"/>
      <c r="AH45"/>
      <c r="AI45" s="25"/>
      <c r="AL45" s="15"/>
      <c r="AM45" s="17"/>
    </row>
    <row r="46" spans="1:39" s="3" customFormat="1" ht="20.100000000000001" customHeight="1" x14ac:dyDescent="0.25">
      <c r="A46" s="4"/>
      <c r="B46" s="12"/>
      <c r="C46" s="15"/>
      <c r="D46" s="14"/>
      <c r="E46" s="14"/>
      <c r="F46" s="14"/>
      <c r="G46" s="14"/>
      <c r="H46" s="14"/>
      <c r="I46" s="14"/>
      <c r="J46" s="12"/>
      <c r="K46" s="15"/>
      <c r="L46" s="15"/>
      <c r="M46" s="15"/>
      <c r="N46" s="15"/>
      <c r="O46" s="15"/>
      <c r="P46" s="15"/>
      <c r="Q46"/>
      <c r="R46" s="15"/>
      <c r="S46" s="15"/>
      <c r="V46"/>
      <c r="W46"/>
      <c r="X46" s="15"/>
      <c r="Y46" s="15"/>
      <c r="Z46" s="15"/>
      <c r="AA46" s="15"/>
      <c r="AD46" s="15"/>
      <c r="AE46" s="15"/>
      <c r="AG46"/>
      <c r="AH46"/>
      <c r="AI46" s="15"/>
      <c r="AL46" s="15"/>
      <c r="AM46" s="17"/>
    </row>
    <row r="47" spans="1:39" s="3" customFormat="1" ht="20.100000000000001" customHeight="1" x14ac:dyDescent="0.25">
      <c r="A47" s="4"/>
      <c r="B47" s="24"/>
      <c r="C47" s="15" t="s">
        <v>143</v>
      </c>
      <c r="D47" s="14"/>
      <c r="E47" s="14"/>
      <c r="F47" s="14"/>
      <c r="G47" s="14"/>
      <c r="H47" s="14"/>
      <c r="I47" s="14"/>
      <c r="J47" s="12"/>
      <c r="K47" s="24"/>
      <c r="L47" s="15" t="s">
        <v>144</v>
      </c>
      <c r="M47" s="15"/>
      <c r="N47" s="15"/>
      <c r="O47" s="15"/>
      <c r="P47" s="15"/>
      <c r="Q47"/>
      <c r="R47" s="24"/>
      <c r="S47" s="15" t="s">
        <v>145</v>
      </c>
      <c r="V47"/>
      <c r="W47"/>
      <c r="X47" s="15"/>
      <c r="Y47" s="15"/>
      <c r="Z47" s="24"/>
      <c r="AA47" s="15" t="s">
        <v>146</v>
      </c>
      <c r="AD47" s="15"/>
      <c r="AE47" s="15"/>
      <c r="AG47"/>
      <c r="AH47"/>
      <c r="AI47" s="15"/>
      <c r="AL47" s="15"/>
      <c r="AM47" s="17"/>
    </row>
    <row r="48" spans="1:39" s="3" customFormat="1" ht="20.100000000000001" customHeight="1" thickBot="1" x14ac:dyDescent="0.3">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11"/>
    </row>
    <row r="49" spans="1:39" s="3" customFormat="1" ht="20.100000000000001" customHeight="1" x14ac:dyDescent="0.25">
      <c r="A49" s="295" t="s">
        <v>147</v>
      </c>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7"/>
    </row>
    <row r="50" spans="1:39" s="3" customFormat="1" ht="20.100000000000001" customHeight="1" x14ac:dyDescent="0.25">
      <c r="A50" s="4"/>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s="6"/>
    </row>
    <row r="51" spans="1:39" s="3" customFormat="1" ht="20.100000000000001" customHeight="1" x14ac:dyDescent="0.25">
      <c r="A51" s="4"/>
      <c r="B51" s="300" t="s">
        <v>237</v>
      </c>
      <c r="C51" s="301"/>
      <c r="D51" s="301"/>
      <c r="E51" s="301"/>
      <c r="F51" s="301"/>
      <c r="G51" s="301"/>
      <c r="H51" s="301"/>
      <c r="I51" s="301"/>
      <c r="J51" s="301"/>
      <c r="K51" s="299"/>
      <c r="L51" s="299"/>
      <c r="M51" s="299"/>
      <c r="N51" s="299"/>
      <c r="O51" s="299"/>
      <c r="P51"/>
      <c r="Q51" s="300" t="s">
        <v>238</v>
      </c>
      <c r="R51" s="301"/>
      <c r="S51" s="301"/>
      <c r="T51" s="301"/>
      <c r="U51" s="301"/>
      <c r="V51" s="301"/>
      <c r="W51" s="301"/>
      <c r="X51" s="298"/>
      <c r="Y51" s="298"/>
      <c r="Z51" s="298"/>
      <c r="AA51" s="298"/>
      <c r="AB51"/>
      <c r="AC51" s="300" t="s">
        <v>5</v>
      </c>
      <c r="AD51" s="301"/>
      <c r="AE51" s="301"/>
      <c r="AF51" s="301"/>
      <c r="AG51" s="301"/>
      <c r="AH51" s="301"/>
      <c r="AI51" s="301"/>
      <c r="AJ51" s="298"/>
      <c r="AK51" s="298"/>
      <c r="AL51" s="298"/>
      <c r="AM51" s="6"/>
    </row>
    <row r="52" spans="1:39" s="3" customFormat="1" ht="20.100000000000001" customHeight="1" x14ac:dyDescent="0.25">
      <c r="A52" s="4"/>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s="6"/>
    </row>
    <row r="53" spans="1:39" s="3" customFormat="1" ht="20.100000000000001" customHeight="1" x14ac:dyDescent="0.25">
      <c r="A53" s="4"/>
      <c r="B53" s="298" t="s">
        <v>3</v>
      </c>
      <c r="C53" s="298"/>
      <c r="D53" s="298"/>
      <c r="E53" s="298"/>
      <c r="F53" s="298"/>
      <c r="G53" s="298"/>
      <c r="H53" s="298"/>
      <c r="I53" s="298"/>
      <c r="J53" s="298"/>
      <c r="K53"/>
      <c r="L53" s="7"/>
      <c r="M53" s="15" t="s">
        <v>148</v>
      </c>
      <c r="N53"/>
      <c r="O53"/>
      <c r="P53"/>
      <c r="Q53" s="7"/>
      <c r="R53" s="15" t="s">
        <v>149</v>
      </c>
      <c r="S53"/>
      <c r="T53"/>
      <c r="U53"/>
      <c r="V53"/>
      <c r="W53" s="7"/>
      <c r="X53" s="15" t="s">
        <v>150</v>
      </c>
      <c r="Y53"/>
      <c r="Z53"/>
      <c r="AA53"/>
      <c r="AB53"/>
      <c r="AE53"/>
      <c r="AF53"/>
      <c r="AG53"/>
      <c r="AH53"/>
      <c r="AI53"/>
      <c r="AJ53"/>
      <c r="AK53"/>
      <c r="AL53"/>
      <c r="AM53" s="6"/>
    </row>
    <row r="54" spans="1:39" s="3" customFormat="1" ht="20.100000000000001" customHeight="1" x14ac:dyDescent="0.25">
      <c r="A54" s="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s="6"/>
    </row>
    <row r="55" spans="1:39" s="3" customFormat="1" ht="20.100000000000001" customHeight="1" x14ac:dyDescent="0.25">
      <c r="A55" s="4"/>
      <c r="B55" s="298" t="s">
        <v>4</v>
      </c>
      <c r="C55" s="298"/>
      <c r="D55" s="298"/>
      <c r="E55" s="298"/>
      <c r="F55" s="298"/>
      <c r="G55" s="298"/>
      <c r="H55" s="298"/>
      <c r="I55" s="298"/>
      <c r="J55" s="298"/>
      <c r="K55"/>
      <c r="L55" s="7"/>
      <c r="M55" s="15" t="s">
        <v>67</v>
      </c>
      <c r="N55"/>
      <c r="O55"/>
      <c r="P55"/>
      <c r="Q55" s="7"/>
      <c r="R55" s="15" t="s">
        <v>151</v>
      </c>
      <c r="S55"/>
      <c r="T55"/>
      <c r="U55"/>
      <c r="V55"/>
      <c r="W55"/>
      <c r="X55"/>
      <c r="Y55"/>
      <c r="Z55"/>
      <c r="AA55"/>
      <c r="AB55"/>
      <c r="AC55"/>
      <c r="AD55"/>
      <c r="AE55"/>
      <c r="AF55"/>
      <c r="AG55"/>
      <c r="AH55"/>
      <c r="AI55"/>
      <c r="AJ55"/>
      <c r="AK55"/>
      <c r="AL55"/>
      <c r="AM55" s="6"/>
    </row>
    <row r="56" spans="1:39" s="3" customFormat="1" ht="20.100000000000001" customHeight="1" x14ac:dyDescent="0.25">
      <c r="A56" s="4"/>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s="6"/>
    </row>
    <row r="57" spans="1:39" s="3" customFormat="1" ht="20.100000000000001" customHeight="1" x14ac:dyDescent="0.25">
      <c r="A57" s="4"/>
      <c r="B57" s="298" t="s">
        <v>0</v>
      </c>
      <c r="C57" s="298"/>
      <c r="D57" s="298"/>
      <c r="E57" s="298"/>
      <c r="F57" s="298"/>
      <c r="G57" s="298"/>
      <c r="H57" s="298"/>
      <c r="I57" s="298"/>
      <c r="J57" s="298"/>
      <c r="K57"/>
      <c r="L57" s="7"/>
      <c r="M57" s="15" t="s">
        <v>152</v>
      </c>
      <c r="N57"/>
      <c r="O57"/>
      <c r="P57"/>
      <c r="Q57" s="7"/>
      <c r="R57" s="15" t="s">
        <v>239</v>
      </c>
      <c r="S57"/>
      <c r="T57"/>
      <c r="U57"/>
      <c r="V57"/>
      <c r="W57" s="7"/>
      <c r="X57" s="15" t="s">
        <v>240</v>
      </c>
      <c r="Y57"/>
      <c r="Z57"/>
      <c r="AA57"/>
      <c r="AB57"/>
      <c r="AC57"/>
      <c r="AD57"/>
      <c r="AE57"/>
      <c r="AF57"/>
      <c r="AG57"/>
      <c r="AH57"/>
      <c r="AI57"/>
      <c r="AJ57"/>
      <c r="AK57"/>
      <c r="AL57"/>
      <c r="AM57" s="6"/>
    </row>
    <row r="58" spans="1:39" s="3" customFormat="1" ht="20.100000000000001" customHeight="1" x14ac:dyDescent="0.25">
      <c r="A58" s="4"/>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s="6"/>
    </row>
    <row r="59" spans="1:39" s="3" customFormat="1" ht="20.100000000000001" customHeight="1" x14ac:dyDescent="0.25">
      <c r="A59" s="4"/>
      <c r="B59" s="298" t="s">
        <v>153</v>
      </c>
      <c r="C59" s="298"/>
      <c r="D59" s="298"/>
      <c r="E59" s="298"/>
      <c r="F59" s="298"/>
      <c r="G59" s="298"/>
      <c r="H59" s="298"/>
      <c r="I59" s="298"/>
      <c r="J59" s="298"/>
      <c r="K59"/>
      <c r="L59" s="7"/>
      <c r="M59" s="15" t="s">
        <v>154</v>
      </c>
      <c r="N59"/>
      <c r="O59"/>
      <c r="P59"/>
      <c r="Q59" s="7"/>
      <c r="R59" s="15" t="s">
        <v>155</v>
      </c>
      <c r="S59"/>
      <c r="T59"/>
      <c r="U59"/>
      <c r="V59"/>
      <c r="W59" s="7"/>
      <c r="X59" s="15" t="s">
        <v>156</v>
      </c>
      <c r="Y59"/>
      <c r="Z59"/>
      <c r="AA59"/>
      <c r="AB59"/>
      <c r="AC59" s="7"/>
      <c r="AD59" s="15" t="s">
        <v>157</v>
      </c>
      <c r="AE59"/>
      <c r="AF59"/>
      <c r="AG59"/>
      <c r="AH59"/>
      <c r="AI59"/>
      <c r="AJ59"/>
      <c r="AK59"/>
      <c r="AL59"/>
      <c r="AM59" s="6"/>
    </row>
    <row r="60" spans="1:39" s="3" customFormat="1" ht="20.100000000000001" customHeight="1" x14ac:dyDescent="0.25">
      <c r="A60" s="4"/>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s="6"/>
    </row>
    <row r="61" spans="1:39" s="3" customFormat="1" ht="20.100000000000001" customHeight="1" x14ac:dyDescent="0.25">
      <c r="A61" s="4"/>
      <c r="B61" s="298" t="s">
        <v>6</v>
      </c>
      <c r="C61" s="298"/>
      <c r="D61" s="298"/>
      <c r="E61" s="298"/>
      <c r="F61" s="298"/>
      <c r="G61" s="298"/>
      <c r="H61" s="298"/>
      <c r="I61" s="298"/>
      <c r="J61" s="298"/>
      <c r="K61"/>
      <c r="L61" s="7"/>
      <c r="M61" s="15" t="s">
        <v>158</v>
      </c>
      <c r="N61"/>
      <c r="O61"/>
      <c r="P61"/>
      <c r="Q61" s="7"/>
      <c r="R61" s="15" t="s">
        <v>159</v>
      </c>
      <c r="S61"/>
      <c r="T61"/>
      <c r="U61"/>
      <c r="V61"/>
      <c r="W61"/>
      <c r="X61"/>
      <c r="Y61"/>
      <c r="Z61"/>
      <c r="AA61"/>
      <c r="AB61"/>
      <c r="AC61"/>
      <c r="AD61"/>
      <c r="AE61"/>
      <c r="AF61"/>
      <c r="AG61"/>
      <c r="AH61"/>
      <c r="AI61"/>
      <c r="AJ61"/>
      <c r="AK61"/>
      <c r="AL61"/>
      <c r="AM61" s="6"/>
    </row>
    <row r="62" spans="1:39" s="3" customFormat="1" ht="20.100000000000001" customHeight="1" x14ac:dyDescent="0.25">
      <c r="A62" s="4"/>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s="6"/>
    </row>
    <row r="63" spans="1:39" s="3" customFormat="1" ht="20.100000000000001" customHeight="1" x14ac:dyDescent="0.25">
      <c r="A63" s="4"/>
      <c r="B63" s="298" t="s">
        <v>241</v>
      </c>
      <c r="C63" s="298"/>
      <c r="D63" s="298"/>
      <c r="E63" s="298"/>
      <c r="F63" s="298"/>
      <c r="G63" s="298"/>
      <c r="H63" s="298"/>
      <c r="I63" s="298"/>
      <c r="J63" s="298"/>
      <c r="K63"/>
      <c r="L63" s="7"/>
      <c r="M63" s="15" t="s">
        <v>160</v>
      </c>
      <c r="N63"/>
      <c r="O63"/>
      <c r="P63"/>
      <c r="Q63" s="7"/>
      <c r="R63" s="15" t="s">
        <v>161</v>
      </c>
      <c r="S63"/>
      <c r="T63"/>
      <c r="U63"/>
      <c r="V63"/>
      <c r="W63" s="7"/>
      <c r="X63" s="15" t="s">
        <v>162</v>
      </c>
      <c r="Y63"/>
      <c r="Z63"/>
      <c r="AA63"/>
      <c r="AB63"/>
      <c r="AD63" s="15"/>
      <c r="AE63"/>
      <c r="AF63"/>
      <c r="AG63"/>
      <c r="AH63"/>
      <c r="AI63"/>
      <c r="AJ63"/>
      <c r="AK63"/>
      <c r="AL63"/>
      <c r="AM63" s="6"/>
    </row>
    <row r="64" spans="1:39" s="3" customFormat="1" ht="20.100000000000001" customHeight="1" thickBot="1" x14ac:dyDescent="0.3">
      <c r="A64" s="8"/>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11"/>
    </row>
    <row r="65" spans="1:39" s="3" customFormat="1" ht="20.100000000000001" customHeight="1" x14ac:dyDescent="0.25">
      <c r="A65" s="295" t="s">
        <v>163</v>
      </c>
      <c r="B65" s="296"/>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7"/>
    </row>
    <row r="66" spans="1:39" s="3" customFormat="1" ht="20.100000000000001" customHeight="1" x14ac:dyDescent="0.25">
      <c r="A66" s="4"/>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s="6"/>
    </row>
    <row r="67" spans="1:39" s="3" customFormat="1" ht="20.100000000000001" customHeight="1" x14ac:dyDescent="0.25">
      <c r="A67" s="4"/>
      <c r="B67" s="298" t="s">
        <v>164</v>
      </c>
      <c r="C67" s="298"/>
      <c r="D67" s="298"/>
      <c r="E67" s="298"/>
      <c r="F67" s="298"/>
      <c r="G67" s="298"/>
      <c r="H67" s="298"/>
      <c r="I67" s="298"/>
      <c r="J67" s="298"/>
      <c r="K67"/>
      <c r="L67" s="7"/>
      <c r="M67" s="15" t="s">
        <v>165</v>
      </c>
      <c r="N67"/>
      <c r="O67"/>
      <c r="P67"/>
      <c r="Q67" s="7"/>
      <c r="R67" s="15" t="s">
        <v>166</v>
      </c>
      <c r="S67"/>
      <c r="T67"/>
      <c r="U67"/>
      <c r="V67"/>
      <c r="W67" s="7"/>
      <c r="X67" s="15" t="s">
        <v>67</v>
      </c>
      <c r="Y67"/>
      <c r="Z67"/>
      <c r="AA67"/>
      <c r="AB67"/>
      <c r="AC67" s="7"/>
      <c r="AD67" s="15" t="s">
        <v>167</v>
      </c>
      <c r="AE67"/>
      <c r="AF67"/>
      <c r="AG67"/>
      <c r="AH67"/>
      <c r="AI67"/>
      <c r="AJ67"/>
      <c r="AK67"/>
      <c r="AL67"/>
      <c r="AM67" s="6"/>
    </row>
    <row r="68" spans="1:39" s="3" customFormat="1" ht="20.100000000000001" customHeight="1" x14ac:dyDescent="0.25">
      <c r="A68" s="4"/>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s="6"/>
    </row>
    <row r="69" spans="1:39" s="3" customFormat="1" ht="20.100000000000001" customHeight="1" x14ac:dyDescent="0.25">
      <c r="A69" s="4"/>
      <c r="B69" s="298" t="s">
        <v>8</v>
      </c>
      <c r="C69" s="298"/>
      <c r="D69" s="298"/>
      <c r="E69" s="298"/>
      <c r="F69" s="298"/>
      <c r="G69" s="298"/>
      <c r="H69" s="298"/>
      <c r="I69" s="298"/>
      <c r="J69" s="298"/>
      <c r="K69"/>
      <c r="L69" s="7"/>
      <c r="M69" s="15" t="s">
        <v>168</v>
      </c>
      <c r="N69"/>
      <c r="O69"/>
      <c r="P69"/>
      <c r="Q69" s="7"/>
      <c r="R69" s="15" t="s">
        <v>169</v>
      </c>
      <c r="S69"/>
      <c r="T69"/>
      <c r="U69"/>
      <c r="V69"/>
      <c r="W69" s="7"/>
      <c r="X69" s="15" t="s">
        <v>170</v>
      </c>
      <c r="Y69"/>
      <c r="Z69"/>
      <c r="AA69"/>
      <c r="AB69"/>
      <c r="AC69" s="7"/>
      <c r="AD69" s="15" t="s">
        <v>171</v>
      </c>
      <c r="AE69"/>
      <c r="AF69"/>
      <c r="AG69"/>
      <c r="AH69"/>
      <c r="AI69"/>
      <c r="AJ69"/>
      <c r="AK69"/>
      <c r="AL69"/>
      <c r="AM69" s="6"/>
    </row>
    <row r="70" spans="1:39" s="3" customFormat="1" ht="20.100000000000001" customHeight="1" x14ac:dyDescent="0.25">
      <c r="A70" s="4"/>
      <c r="B70" s="14"/>
      <c r="C70" s="14"/>
      <c r="D70" s="14"/>
      <c r="E70" s="14"/>
      <c r="F70" s="14"/>
      <c r="G70" s="14"/>
      <c r="H70" s="14"/>
      <c r="I70" s="14"/>
      <c r="J70" s="14"/>
      <c r="K70"/>
      <c r="M70" s="15"/>
      <c r="N70"/>
      <c r="O70"/>
      <c r="P70"/>
      <c r="R70" s="15"/>
      <c r="S70"/>
      <c r="T70"/>
      <c r="U70"/>
      <c r="V70"/>
      <c r="X70" s="15"/>
      <c r="Y70"/>
      <c r="Z70"/>
      <c r="AA70"/>
      <c r="AB70"/>
      <c r="AD70" s="15"/>
      <c r="AE70"/>
      <c r="AF70"/>
      <c r="AG70"/>
      <c r="AH70"/>
      <c r="AI70"/>
      <c r="AJ70"/>
      <c r="AK70"/>
      <c r="AL70"/>
      <c r="AM70" s="6"/>
    </row>
    <row r="71" spans="1:39" s="3" customFormat="1" ht="20.100000000000001" customHeight="1" x14ac:dyDescent="0.25">
      <c r="A71" s="4"/>
      <c r="B71" s="14"/>
      <c r="C71" s="14"/>
      <c r="D71" s="14"/>
      <c r="E71" s="14"/>
      <c r="F71" s="14"/>
      <c r="G71" s="14"/>
      <c r="H71" s="14"/>
      <c r="I71" s="14"/>
      <c r="J71" s="14"/>
      <c r="K71"/>
      <c r="L71" s="7"/>
      <c r="M71" s="15" t="s">
        <v>172</v>
      </c>
      <c r="N71"/>
      <c r="O71"/>
      <c r="P71"/>
      <c r="Q71" s="7"/>
      <c r="R71" s="15" t="s">
        <v>173</v>
      </c>
      <c r="S71"/>
      <c r="T71"/>
      <c r="U71"/>
      <c r="V71"/>
      <c r="W71" s="7"/>
      <c r="X71" s="15" t="s">
        <v>174</v>
      </c>
      <c r="Y71"/>
      <c r="Z71"/>
      <c r="AA71"/>
      <c r="AB71"/>
      <c r="AD71" s="15"/>
      <c r="AE71"/>
      <c r="AF71"/>
      <c r="AG71"/>
      <c r="AH71"/>
      <c r="AI71"/>
      <c r="AJ71"/>
      <c r="AK71"/>
      <c r="AL71"/>
      <c r="AM71" s="6"/>
    </row>
    <row r="72" spans="1:39" s="3" customFormat="1" ht="20.100000000000001" customHeight="1" thickBot="1" x14ac:dyDescent="0.3">
      <c r="A72" s="8"/>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11"/>
    </row>
    <row r="73" spans="1:39" s="3" customFormat="1" ht="20.100000000000001" customHeight="1" x14ac:dyDescent="0.25">
      <c r="A73" s="295" t="s">
        <v>175</v>
      </c>
      <c r="B73" s="296"/>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7"/>
    </row>
    <row r="74" spans="1:39" s="3" customFormat="1" ht="20.100000000000001" customHeight="1" x14ac:dyDescent="0.25">
      <c r="A74" s="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s="6"/>
    </row>
    <row r="75" spans="1:39" s="3" customFormat="1" ht="20.100000000000001" customHeight="1" x14ac:dyDescent="0.25">
      <c r="A75" s="4"/>
      <c r="B75" s="298" t="s">
        <v>176</v>
      </c>
      <c r="C75" s="298"/>
      <c r="D75" s="298"/>
      <c r="E75" s="298"/>
      <c r="F75" s="298"/>
      <c r="G75" s="298"/>
      <c r="H75" s="298"/>
      <c r="I75" s="298"/>
      <c r="J75" s="298"/>
      <c r="K75"/>
      <c r="L75" s="7"/>
      <c r="M75" s="15" t="s">
        <v>177</v>
      </c>
      <c r="N75"/>
      <c r="O75"/>
      <c r="P75"/>
      <c r="Q75"/>
      <c r="R75" s="7"/>
      <c r="S75" s="15" t="s">
        <v>178</v>
      </c>
      <c r="T75"/>
      <c r="U75"/>
      <c r="V75"/>
      <c r="W75"/>
      <c r="X75"/>
      <c r="Y75" s="7"/>
      <c r="Z75" s="15" t="s">
        <v>179</v>
      </c>
      <c r="AA75"/>
      <c r="AB75"/>
      <c r="AC75"/>
      <c r="AD75"/>
      <c r="AF75"/>
      <c r="AG75"/>
      <c r="AH75"/>
      <c r="AI75"/>
      <c r="AJ75"/>
      <c r="AK75"/>
      <c r="AL75"/>
      <c r="AM75" s="6"/>
    </row>
    <row r="76" spans="1:39" s="3" customFormat="1" ht="20.100000000000001" customHeight="1" x14ac:dyDescent="0.25">
      <c r="A76" s="4"/>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s="6"/>
    </row>
    <row r="77" spans="1:39" s="3" customFormat="1" ht="20.100000000000001" customHeight="1" x14ac:dyDescent="0.25">
      <c r="A77" s="4"/>
      <c r="B77" s="298" t="s">
        <v>180</v>
      </c>
      <c r="C77" s="298"/>
      <c r="D77" s="298"/>
      <c r="E77" s="298"/>
      <c r="F77" s="298"/>
      <c r="G77" s="298"/>
      <c r="H77" s="298"/>
      <c r="I77" s="298"/>
      <c r="J77" s="298"/>
      <c r="K77"/>
      <c r="L77" s="7"/>
      <c r="M77" s="15" t="s">
        <v>177</v>
      </c>
      <c r="N77"/>
      <c r="O77"/>
      <c r="P77"/>
      <c r="Q77"/>
      <c r="R77" s="7"/>
      <c r="S77" s="15" t="s">
        <v>135</v>
      </c>
      <c r="T77"/>
      <c r="U77"/>
      <c r="V77"/>
      <c r="W77"/>
      <c r="X77"/>
      <c r="Y77" s="7"/>
      <c r="Z77" s="15" t="s">
        <v>181</v>
      </c>
      <c r="AA77"/>
      <c r="AC77" s="15"/>
      <c r="AD77"/>
      <c r="AE77"/>
      <c r="AF77"/>
      <c r="AG77"/>
      <c r="AH77"/>
      <c r="AI77"/>
      <c r="AJ77"/>
      <c r="AK77"/>
      <c r="AL77"/>
      <c r="AM77" s="6"/>
    </row>
    <row r="78" spans="1:39" s="3" customFormat="1" ht="20.100000000000001" customHeight="1" thickBot="1" x14ac:dyDescent="0.3">
      <c r="A78" s="26"/>
      <c r="B78" s="27"/>
      <c r="C78" s="27"/>
      <c r="D78" s="27"/>
      <c r="E78" s="27"/>
      <c r="F78" s="27"/>
      <c r="G78" s="27"/>
      <c r="H78" s="27"/>
      <c r="I78" s="27"/>
      <c r="J78" s="9"/>
      <c r="K78" s="18"/>
      <c r="L78" s="19"/>
      <c r="M78" s="9"/>
      <c r="N78" s="9"/>
      <c r="O78" s="9"/>
      <c r="P78" s="18"/>
      <c r="Q78" s="19"/>
      <c r="R78" s="9"/>
      <c r="S78" s="9"/>
      <c r="T78" s="9"/>
      <c r="U78" s="9"/>
      <c r="V78" s="18"/>
      <c r="W78" s="19"/>
      <c r="X78" s="9"/>
      <c r="Y78" s="9"/>
      <c r="Z78" s="9"/>
      <c r="AA78" s="9"/>
      <c r="AB78" s="18"/>
      <c r="AC78" s="19"/>
      <c r="AD78" s="9"/>
      <c r="AE78" s="9"/>
      <c r="AF78" s="9"/>
      <c r="AG78" s="9"/>
      <c r="AH78" s="9"/>
      <c r="AI78" s="9"/>
      <c r="AJ78" s="9"/>
      <c r="AK78" s="9"/>
      <c r="AL78" s="9"/>
      <c r="AM78" s="11"/>
    </row>
    <row r="79" spans="1:39" s="3" customFormat="1" ht="20.100000000000001" customHeight="1" x14ac:dyDescent="0.25">
      <c r="A79" s="295" t="s">
        <v>182</v>
      </c>
      <c r="B79" s="296"/>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7"/>
    </row>
    <row r="80" spans="1:39" s="3" customFormat="1" ht="20.100000000000001" customHeight="1" x14ac:dyDescent="0.25">
      <c r="A80" s="4"/>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s="6"/>
    </row>
    <row r="81" spans="1:39" s="3" customFormat="1" ht="20.100000000000001" customHeight="1" x14ac:dyDescent="0.25">
      <c r="A81" s="4"/>
      <c r="B81" s="14"/>
      <c r="C81" s="24"/>
      <c r="D81" s="15" t="s">
        <v>183</v>
      </c>
      <c r="E81" s="14"/>
      <c r="F81" s="14"/>
      <c r="G81" s="14"/>
      <c r="H81" s="14"/>
      <c r="I81" s="24"/>
      <c r="J81" s="15" t="s">
        <v>184</v>
      </c>
      <c r="K81"/>
      <c r="M81" s="15"/>
      <c r="N81"/>
      <c r="O81" s="24"/>
      <c r="P81" s="15" t="s">
        <v>185</v>
      </c>
      <c r="Q81"/>
      <c r="S81" s="15"/>
      <c r="T81"/>
      <c r="U81"/>
      <c r="V81"/>
      <c r="X81" s="24"/>
      <c r="Y81" s="15" t="s">
        <v>186</v>
      </c>
      <c r="Z81"/>
      <c r="AA81"/>
      <c r="AB81"/>
      <c r="AD81" s="24"/>
      <c r="AE81" s="15" t="s">
        <v>187</v>
      </c>
      <c r="AF81"/>
      <c r="AG81"/>
      <c r="AH81"/>
      <c r="AI81"/>
      <c r="AJ81"/>
      <c r="AK81"/>
      <c r="AL81"/>
      <c r="AM81" s="6"/>
    </row>
    <row r="82" spans="1:39" s="3" customFormat="1" ht="20.100000000000001" customHeight="1" x14ac:dyDescent="0.25">
      <c r="A82" s="4"/>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s="6"/>
    </row>
    <row r="83" spans="1:39" s="3" customFormat="1" ht="20.100000000000001" customHeight="1" x14ac:dyDescent="0.25">
      <c r="A83" s="4"/>
      <c r="B83" s="14"/>
      <c r="C83" s="24"/>
      <c r="D83" s="15" t="s">
        <v>188</v>
      </c>
      <c r="E83" s="14"/>
      <c r="F83" s="14"/>
      <c r="G83" s="14"/>
      <c r="H83" s="14"/>
      <c r="I83" s="14"/>
      <c r="J83" s="14"/>
      <c r="K83"/>
      <c r="L83" s="24"/>
      <c r="M83" s="15" t="s">
        <v>189</v>
      </c>
      <c r="N83"/>
      <c r="O83"/>
      <c r="P83"/>
      <c r="Q83"/>
      <c r="S83" s="15"/>
      <c r="T83"/>
      <c r="U83"/>
      <c r="V83"/>
      <c r="W83"/>
      <c r="X83"/>
      <c r="Z83" s="15"/>
      <c r="AA83"/>
      <c r="AC83" s="15"/>
      <c r="AD83"/>
      <c r="AE83"/>
      <c r="AF83"/>
      <c r="AG83"/>
      <c r="AH83"/>
      <c r="AI83"/>
      <c r="AJ83"/>
      <c r="AK83"/>
      <c r="AL83"/>
      <c r="AM83" s="6"/>
    </row>
    <row r="84" spans="1:39" s="3" customFormat="1" ht="20.100000000000001" customHeight="1" thickBot="1" x14ac:dyDescent="0.3">
      <c r="A84" s="26"/>
      <c r="B84" s="27"/>
      <c r="C84" s="27"/>
      <c r="D84" s="27"/>
      <c r="E84" s="27"/>
      <c r="F84" s="27"/>
      <c r="G84" s="27"/>
      <c r="H84" s="27"/>
      <c r="I84" s="27"/>
      <c r="J84" s="9"/>
      <c r="K84" s="18"/>
      <c r="L84" s="19"/>
      <c r="M84" s="9"/>
      <c r="N84" s="9"/>
      <c r="O84" s="9"/>
      <c r="P84" s="18"/>
      <c r="Q84" s="19"/>
      <c r="R84" s="9"/>
      <c r="S84" s="9"/>
      <c r="T84" s="9"/>
      <c r="U84" s="9"/>
      <c r="V84" s="18"/>
      <c r="W84" s="19"/>
      <c r="X84" s="9"/>
      <c r="Y84" s="9"/>
      <c r="Z84" s="9"/>
      <c r="AA84" s="9"/>
      <c r="AB84" s="18"/>
      <c r="AC84" s="19"/>
      <c r="AD84" s="9"/>
      <c r="AE84" s="9"/>
      <c r="AF84" s="9"/>
      <c r="AG84" s="9"/>
      <c r="AH84" s="9"/>
      <c r="AI84" s="9"/>
      <c r="AJ84" s="9"/>
      <c r="AK84" s="9"/>
      <c r="AL84" s="9"/>
      <c r="AM84" s="11"/>
    </row>
    <row r="85" spans="1:39" s="3" customFormat="1" ht="20.100000000000001" customHeight="1" x14ac:dyDescent="0.25">
      <c r="A85" s="295" t="s">
        <v>228</v>
      </c>
      <c r="B85" s="296"/>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7"/>
    </row>
    <row r="86" spans="1:39" s="3" customFormat="1" ht="20.100000000000001" customHeight="1" x14ac:dyDescent="0.25">
      <c r="A86" s="4"/>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s="6"/>
    </row>
    <row r="87" spans="1:39" s="3" customFormat="1" ht="20.100000000000001" customHeight="1" x14ac:dyDescent="0.25">
      <c r="A87" s="4"/>
      <c r="B87" s="298" t="s">
        <v>190</v>
      </c>
      <c r="C87" s="298"/>
      <c r="D87" s="298"/>
      <c r="E87" s="298"/>
      <c r="F87" s="298"/>
      <c r="G87" s="298"/>
      <c r="H87" s="298"/>
      <c r="I87" s="298"/>
      <c r="J87" s="298"/>
      <c r="K87" s="298"/>
      <c r="L87" s="298"/>
      <c r="M87" s="298"/>
      <c r="N87" s="298"/>
      <c r="O87" s="298"/>
      <c r="P87" s="298"/>
      <c r="Q87" s="14"/>
      <c r="R87" s="14"/>
      <c r="S87" s="14"/>
      <c r="T87" s="298" t="s">
        <v>191</v>
      </c>
      <c r="U87" s="298"/>
      <c r="V87" s="298"/>
      <c r="W87" s="298"/>
      <c r="X87" s="298"/>
      <c r="Y87" s="298"/>
      <c r="Z87" s="298"/>
      <c r="AA87" s="298"/>
      <c r="AB87" s="298"/>
      <c r="AC87" s="298"/>
      <c r="AD87" s="298"/>
      <c r="AE87" s="298"/>
      <c r="AF87" s="298"/>
      <c r="AG87" s="298"/>
      <c r="AH87" s="298"/>
      <c r="AI87" s="14"/>
      <c r="AJ87" s="14"/>
      <c r="AK87" s="14"/>
      <c r="AL87" s="14"/>
      <c r="AM87" s="6"/>
    </row>
    <row r="88" spans="1:39" s="3" customFormat="1" ht="20.100000000000001" customHeight="1" x14ac:dyDescent="0.25">
      <c r="A88" s="4"/>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s="6"/>
    </row>
    <row r="89" spans="1:39" s="3" customFormat="1" ht="20.100000000000001" customHeight="1" x14ac:dyDescent="0.25">
      <c r="A89" s="4"/>
      <c r="B89" s="298" t="s">
        <v>192</v>
      </c>
      <c r="C89" s="298"/>
      <c r="D89" s="298"/>
      <c r="E89" s="298"/>
      <c r="F89" s="298"/>
      <c r="G89" s="298"/>
      <c r="H89" s="298"/>
      <c r="I89" s="298"/>
      <c r="J89" s="298"/>
      <c r="K89"/>
      <c r="L89" s="299"/>
      <c r="M89" s="299"/>
      <c r="N89" s="299"/>
      <c r="O89" s="299"/>
      <c r="P89" s="299"/>
      <c r="R89" s="15"/>
      <c r="S89"/>
      <c r="T89" s="298" t="s">
        <v>192</v>
      </c>
      <c r="U89" s="298"/>
      <c r="V89" s="298"/>
      <c r="W89" s="298"/>
      <c r="X89" s="298"/>
      <c r="Y89" s="298"/>
      <c r="Z89" s="298"/>
      <c r="AA89" s="298"/>
      <c r="AB89" s="298"/>
      <c r="AC89"/>
      <c r="AD89" s="299"/>
      <c r="AE89" s="299"/>
      <c r="AF89" s="299"/>
      <c r="AG89" s="299"/>
      <c r="AH89" s="299"/>
      <c r="AI89"/>
      <c r="AJ89"/>
      <c r="AK89"/>
      <c r="AL89"/>
      <c r="AM89" s="6"/>
    </row>
    <row r="90" spans="1:39" s="3" customFormat="1" ht="20.100000000000001" customHeight="1" x14ac:dyDescent="0.25">
      <c r="A90" s="4"/>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s="6"/>
    </row>
    <row r="91" spans="1:39" s="3" customFormat="1" ht="20.100000000000001" customHeight="1" x14ac:dyDescent="0.25">
      <c r="A91" s="4"/>
      <c r="B91" s="298" t="s">
        <v>193</v>
      </c>
      <c r="C91" s="298"/>
      <c r="D91" s="298"/>
      <c r="E91" s="298"/>
      <c r="F91" s="298"/>
      <c r="G91" s="298"/>
      <c r="H91" s="298"/>
      <c r="I91" s="298"/>
      <c r="J91" s="298"/>
      <c r="K91"/>
      <c r="L91" s="299"/>
      <c r="M91" s="299"/>
      <c r="N91" s="299"/>
      <c r="O91" s="299"/>
      <c r="P91" s="299"/>
      <c r="R91" s="15"/>
      <c r="S91"/>
      <c r="T91" s="298" t="s">
        <v>229</v>
      </c>
      <c r="U91" s="298"/>
      <c r="V91" s="298"/>
      <c r="W91" s="298"/>
      <c r="X91" s="298"/>
      <c r="Y91" s="298"/>
      <c r="Z91" s="298"/>
      <c r="AA91" s="298"/>
      <c r="AB91" s="298"/>
      <c r="AC91" s="14"/>
      <c r="AD91" s="298"/>
      <c r="AE91" s="298"/>
      <c r="AF91" s="298"/>
      <c r="AG91" s="298"/>
      <c r="AH91" s="298"/>
      <c r="AI91"/>
      <c r="AJ91"/>
      <c r="AK91"/>
      <c r="AL91"/>
      <c r="AM91" s="6"/>
    </row>
    <row r="92" spans="1:39" s="3" customFormat="1" ht="20.100000000000001" customHeight="1" x14ac:dyDescent="0.25">
      <c r="A92" s="4"/>
      <c r="B92"/>
      <c r="C92"/>
      <c r="D92"/>
      <c r="E92"/>
      <c r="F92"/>
      <c r="G92"/>
      <c r="H92"/>
      <c r="I92"/>
      <c r="J92"/>
      <c r="K92"/>
      <c r="L92"/>
      <c r="M92"/>
      <c r="N92"/>
      <c r="O92"/>
      <c r="P92"/>
      <c r="Q92"/>
      <c r="R92"/>
      <c r="S92"/>
      <c r="T92" s="298"/>
      <c r="U92" s="298"/>
      <c r="V92" s="298"/>
      <c r="W92" s="298"/>
      <c r="X92" s="298"/>
      <c r="Y92" s="298"/>
      <c r="Z92" s="298"/>
      <c r="AA92" s="298"/>
      <c r="AB92" s="298"/>
      <c r="AC92"/>
      <c r="AD92" s="298"/>
      <c r="AE92" s="298"/>
      <c r="AF92" s="298"/>
      <c r="AG92" s="298"/>
      <c r="AH92" s="298"/>
      <c r="AI92"/>
      <c r="AJ92"/>
      <c r="AK92"/>
      <c r="AL92"/>
      <c r="AM92" s="6"/>
    </row>
    <row r="93" spans="1:39" s="3" customFormat="1" ht="20.100000000000001" customHeight="1" x14ac:dyDescent="0.25">
      <c r="A93" s="4"/>
      <c r="B93" s="298" t="s">
        <v>194</v>
      </c>
      <c r="C93" s="298"/>
      <c r="D93" s="298"/>
      <c r="E93" s="298"/>
      <c r="F93" s="298"/>
      <c r="G93" s="298"/>
      <c r="H93" s="298"/>
      <c r="I93" s="298"/>
      <c r="J93" s="298"/>
      <c r="K93"/>
      <c r="L93" s="299"/>
      <c r="M93" s="299"/>
      <c r="N93" s="299"/>
      <c r="O93" s="299"/>
      <c r="P93" s="299"/>
      <c r="R93" s="15"/>
      <c r="S93"/>
      <c r="T93" s="298"/>
      <c r="U93" s="298"/>
      <c r="V93" s="298"/>
      <c r="W93" s="298"/>
      <c r="X93" s="298"/>
      <c r="Y93" s="298"/>
      <c r="Z93" s="298"/>
      <c r="AA93" s="298"/>
      <c r="AB93" s="298"/>
      <c r="AC93"/>
      <c r="AD93" s="298"/>
      <c r="AE93" s="298"/>
      <c r="AF93" s="298"/>
      <c r="AG93" s="298"/>
      <c r="AH93" s="298"/>
      <c r="AI93"/>
      <c r="AJ93"/>
      <c r="AK93"/>
      <c r="AL93"/>
      <c r="AM93" s="6"/>
    </row>
    <row r="94" spans="1:39" s="3" customFormat="1" ht="20.100000000000001" customHeight="1" thickBot="1" x14ac:dyDescent="0.3">
      <c r="A94" s="8"/>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11"/>
    </row>
    <row r="95" spans="1:39" s="3" customFormat="1" ht="20.100000000000001" customHeight="1" x14ac:dyDescent="0.25">
      <c r="A95" s="295" t="s">
        <v>197</v>
      </c>
      <c r="B95" s="296"/>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7"/>
    </row>
    <row r="96" spans="1:39" s="3" customFormat="1" ht="20.100000000000001" customHeight="1" x14ac:dyDescent="0.25">
      <c r="A96" s="4"/>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s="6"/>
    </row>
    <row r="97" spans="1:39" s="3" customFormat="1" ht="20.100000000000001" customHeight="1" x14ac:dyDescent="0.25">
      <c r="A97" s="4"/>
      <c r="B97" s="298" t="s">
        <v>198</v>
      </c>
      <c r="C97" s="298"/>
      <c r="D97" s="298"/>
      <c r="E97" s="298"/>
      <c r="F97" s="298"/>
      <c r="G97" s="298"/>
      <c r="H97" s="298"/>
      <c r="I97" s="298"/>
      <c r="J97" s="298"/>
      <c r="K97"/>
      <c r="L97" s="7"/>
      <c r="M97" s="15" t="s">
        <v>68</v>
      </c>
      <c r="Q97" s="7"/>
      <c r="R97" s="15" t="s">
        <v>7</v>
      </c>
      <c r="T97" s="28"/>
      <c r="U97" s="28"/>
      <c r="V97" s="28"/>
      <c r="W97" s="7"/>
      <c r="X97" t="s">
        <v>195</v>
      </c>
      <c r="Y97" s="28"/>
      <c r="Z97" s="28"/>
      <c r="AA97" s="28"/>
      <c r="AB97"/>
      <c r="AC97" s="7"/>
      <c r="AD97" t="s">
        <v>199</v>
      </c>
      <c r="AE97"/>
      <c r="AF97"/>
      <c r="AG97"/>
      <c r="AH97"/>
      <c r="AI97"/>
      <c r="AJ97"/>
      <c r="AK97"/>
      <c r="AL97"/>
      <c r="AM97" s="6"/>
    </row>
    <row r="98" spans="1:39" s="3" customFormat="1" ht="20.100000000000001" customHeight="1" x14ac:dyDescent="0.25">
      <c r="A98" s="4"/>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s="6"/>
    </row>
    <row r="99" spans="1:39" s="3" customFormat="1" ht="20.100000000000001" customHeight="1" x14ac:dyDescent="0.25">
      <c r="A99" s="4"/>
      <c r="B99" s="298" t="s">
        <v>200</v>
      </c>
      <c r="C99" s="298"/>
      <c r="D99" s="298"/>
      <c r="E99" s="298"/>
      <c r="F99" s="298"/>
      <c r="G99" s="298"/>
      <c r="H99" s="298"/>
      <c r="I99" s="298"/>
      <c r="J99" s="298"/>
      <c r="K99"/>
      <c r="P99"/>
      <c r="R99" s="15"/>
      <c r="S99"/>
      <c r="T99"/>
      <c r="U99"/>
      <c r="V99"/>
      <c r="X99" s="15"/>
      <c r="Y99"/>
      <c r="Z99"/>
      <c r="AA99"/>
      <c r="AB99"/>
      <c r="AC99"/>
      <c r="AE99"/>
      <c r="AF99"/>
      <c r="AG99"/>
      <c r="AH99"/>
      <c r="AI99"/>
      <c r="AJ99"/>
      <c r="AK99"/>
      <c r="AL99"/>
      <c r="AM99" s="6"/>
    </row>
    <row r="100" spans="1:39" s="3" customFormat="1" ht="20.100000000000001" customHeight="1" x14ac:dyDescent="0.25">
      <c r="A100" s="4"/>
      <c r="B100" s="298"/>
      <c r="C100" s="298"/>
      <c r="D100" s="298"/>
      <c r="E100" s="298"/>
      <c r="F100" s="298"/>
      <c r="G100" s="298"/>
      <c r="H100" s="298"/>
      <c r="I100" s="298"/>
      <c r="J100" s="298"/>
      <c r="K100"/>
      <c r="L100" s="7"/>
      <c r="M100" s="15" t="s">
        <v>9</v>
      </c>
      <c r="Q100" s="7"/>
      <c r="R100" s="15" t="s">
        <v>201</v>
      </c>
      <c r="T100" s="28"/>
      <c r="U100" s="28"/>
      <c r="V100" s="28"/>
      <c r="W100" s="7"/>
      <c r="X100" s="15" t="s">
        <v>11</v>
      </c>
      <c r="Y100" s="28"/>
      <c r="Z100" s="28"/>
      <c r="AA100" s="28"/>
      <c r="AB100"/>
      <c r="AC100" s="7"/>
      <c r="AD100" s="3" t="s">
        <v>196</v>
      </c>
      <c r="AE100"/>
      <c r="AF100"/>
      <c r="AG100"/>
      <c r="AH100"/>
      <c r="AI100"/>
      <c r="AJ100"/>
      <c r="AK100"/>
      <c r="AL100"/>
      <c r="AM100" s="6"/>
    </row>
    <row r="101" spans="1:39" s="3" customFormat="1" ht="20.100000000000001" customHeight="1" x14ac:dyDescent="0.25">
      <c r="A101" s="4"/>
      <c r="B101" s="298"/>
      <c r="C101" s="298"/>
      <c r="D101" s="298"/>
      <c r="E101" s="298"/>
      <c r="F101" s="298"/>
      <c r="G101" s="298"/>
      <c r="H101" s="298"/>
      <c r="I101" s="298"/>
      <c r="J101" s="298"/>
      <c r="K101"/>
      <c r="P101"/>
      <c r="R101" s="15"/>
      <c r="S101"/>
      <c r="T101"/>
      <c r="U101"/>
      <c r="V101"/>
      <c r="X101" s="15"/>
      <c r="Y101"/>
      <c r="Z101"/>
      <c r="AA101"/>
      <c r="AB101"/>
      <c r="AC101"/>
      <c r="AE101"/>
      <c r="AF101"/>
      <c r="AG101"/>
      <c r="AH101"/>
      <c r="AI101"/>
      <c r="AJ101"/>
      <c r="AK101"/>
      <c r="AL101"/>
      <c r="AM101" s="6"/>
    </row>
    <row r="102" spans="1:39" s="3" customFormat="1" ht="20.100000000000001" customHeight="1" x14ac:dyDescent="0.25">
      <c r="A102" s="4"/>
      <c r="B102" s="298"/>
      <c r="C102" s="298"/>
      <c r="D102" s="298"/>
      <c r="E102" s="298"/>
      <c r="F102" s="298"/>
      <c r="G102" s="298"/>
      <c r="H102" s="298"/>
      <c r="I102" s="298"/>
      <c r="J102" s="298"/>
      <c r="K102"/>
      <c r="L102" s="7"/>
      <c r="M102" s="15" t="s">
        <v>12</v>
      </c>
      <c r="Q102" s="7"/>
      <c r="R102" s="15" t="s">
        <v>10</v>
      </c>
      <c r="T102" s="28"/>
      <c r="U102" s="28"/>
      <c r="V102" s="28"/>
      <c r="W102" s="7"/>
      <c r="X102" s="15" t="s">
        <v>13</v>
      </c>
      <c r="Y102" s="28"/>
      <c r="Z102" s="28"/>
      <c r="AA102" s="28"/>
      <c r="AB102"/>
      <c r="AC102" s="7"/>
      <c r="AD102" s="3" t="s">
        <v>202</v>
      </c>
      <c r="AE102"/>
      <c r="AF102"/>
      <c r="AG102"/>
      <c r="AH102"/>
      <c r="AI102"/>
      <c r="AJ102"/>
      <c r="AK102"/>
      <c r="AL102"/>
      <c r="AM102" s="6"/>
    </row>
    <row r="103" spans="1:39" s="3" customFormat="1" ht="20.100000000000001" customHeight="1" x14ac:dyDescent="0.25">
      <c r="A103" s="4"/>
      <c r="B103" s="298"/>
      <c r="C103" s="298"/>
      <c r="D103" s="298"/>
      <c r="E103" s="298"/>
      <c r="F103" s="298"/>
      <c r="G103" s="298"/>
      <c r="H103" s="298"/>
      <c r="I103" s="298"/>
      <c r="J103" s="298"/>
      <c r="K103"/>
      <c r="L103"/>
      <c r="M103"/>
      <c r="N103"/>
      <c r="O103"/>
      <c r="P103"/>
      <c r="Q103"/>
      <c r="R103"/>
      <c r="S103"/>
      <c r="T103"/>
      <c r="U103"/>
      <c r="V103"/>
      <c r="W103"/>
      <c r="X103"/>
      <c r="Y103"/>
      <c r="Z103"/>
      <c r="AA103"/>
      <c r="AB103"/>
      <c r="AC103"/>
      <c r="AD103"/>
      <c r="AE103"/>
      <c r="AF103"/>
      <c r="AG103"/>
      <c r="AH103"/>
      <c r="AI103"/>
      <c r="AJ103"/>
      <c r="AK103"/>
      <c r="AL103"/>
      <c r="AM103" s="6"/>
    </row>
    <row r="104" spans="1:39" s="3" customFormat="1" ht="20.100000000000001" customHeight="1" x14ac:dyDescent="0.25">
      <c r="A104" s="4"/>
      <c r="B104" s="298"/>
      <c r="C104" s="298"/>
      <c r="D104" s="298"/>
      <c r="E104" s="298"/>
      <c r="F104" s="298"/>
      <c r="G104" s="298"/>
      <c r="H104" s="298"/>
      <c r="I104" s="298"/>
      <c r="J104" s="298"/>
      <c r="K104"/>
      <c r="L104" s="7"/>
      <c r="M104" s="15" t="s">
        <v>203</v>
      </c>
      <c r="R104" s="15"/>
      <c r="T104" s="28"/>
      <c r="U104" s="28"/>
      <c r="V104" s="28"/>
      <c r="W104" s="7"/>
      <c r="X104" s="15" t="s">
        <v>204</v>
      </c>
      <c r="Y104" s="28"/>
      <c r="Z104" s="28"/>
      <c r="AA104" s="28"/>
      <c r="AB104"/>
      <c r="AC104" s="7"/>
      <c r="AD104" s="15" t="s">
        <v>205</v>
      </c>
      <c r="AE104"/>
      <c r="AF104"/>
      <c r="AG104"/>
      <c r="AH104"/>
      <c r="AI104"/>
      <c r="AJ104"/>
      <c r="AK104"/>
      <c r="AL104"/>
      <c r="AM104" s="6"/>
    </row>
    <row r="105" spans="1:39" s="3" customFormat="1" ht="20.100000000000001" customHeight="1" x14ac:dyDescent="0.25">
      <c r="A105" s="4"/>
      <c r="B105" s="298"/>
      <c r="C105" s="298"/>
      <c r="D105" s="298"/>
      <c r="E105" s="298"/>
      <c r="F105" s="298"/>
      <c r="G105" s="298"/>
      <c r="H105" s="298"/>
      <c r="I105" s="298"/>
      <c r="J105" s="298"/>
      <c r="K105"/>
      <c r="M105" s="15"/>
      <c r="R105" s="15"/>
      <c r="T105" s="28"/>
      <c r="U105" s="28"/>
      <c r="V105" s="28"/>
      <c r="X105" s="15"/>
      <c r="Y105" s="28"/>
      <c r="Z105" s="28"/>
      <c r="AA105" s="28"/>
      <c r="AB105"/>
      <c r="AD105"/>
      <c r="AE105"/>
      <c r="AF105"/>
      <c r="AG105"/>
      <c r="AH105"/>
      <c r="AI105"/>
      <c r="AJ105"/>
      <c r="AK105"/>
      <c r="AL105"/>
      <c r="AM105" s="6"/>
    </row>
    <row r="106" spans="1:39" s="3" customFormat="1" ht="20.100000000000001" customHeight="1" x14ac:dyDescent="0.25">
      <c r="A106" s="4"/>
      <c r="B106" s="298"/>
      <c r="C106" s="298"/>
      <c r="D106" s="298"/>
      <c r="E106" s="298"/>
      <c r="F106" s="298"/>
      <c r="G106" s="298"/>
      <c r="H106" s="298"/>
      <c r="I106" s="298"/>
      <c r="J106" s="298"/>
      <c r="K106"/>
      <c r="L106" s="7"/>
      <c r="M106" s="15" t="s">
        <v>206</v>
      </c>
      <c r="P106"/>
      <c r="R106" s="15"/>
      <c r="S106"/>
      <c r="T106"/>
      <c r="U106"/>
      <c r="V106"/>
      <c r="X106" s="15"/>
      <c r="Y106"/>
      <c r="Z106"/>
      <c r="AA106"/>
      <c r="AB106"/>
      <c r="AD106" s="15"/>
      <c r="AE106"/>
      <c r="AF106"/>
      <c r="AG106"/>
      <c r="AH106"/>
      <c r="AI106"/>
      <c r="AJ106"/>
      <c r="AK106"/>
      <c r="AL106"/>
      <c r="AM106" s="6"/>
    </row>
    <row r="107" spans="1:39" s="3" customFormat="1" ht="20.100000000000001" customHeight="1" thickBot="1" x14ac:dyDescent="0.3">
      <c r="A107" s="8"/>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11"/>
    </row>
    <row r="108" spans="1:39" s="3" customFormat="1" ht="20.100000000000001" customHeight="1" x14ac:dyDescent="0.25">
      <c r="A108" s="295" t="s">
        <v>230</v>
      </c>
      <c r="B108" s="296"/>
      <c r="C108" s="296"/>
      <c r="D108" s="296"/>
      <c r="E108" s="296"/>
      <c r="F108" s="296"/>
      <c r="G108" s="296"/>
      <c r="H108" s="296"/>
      <c r="I108" s="296"/>
      <c r="J108" s="296"/>
      <c r="K108" s="296"/>
      <c r="L108" s="296"/>
      <c r="M108" s="296"/>
      <c r="N108" s="296"/>
      <c r="O108" s="296"/>
      <c r="P108" s="296"/>
      <c r="Q108" s="296"/>
      <c r="R108" s="296"/>
      <c r="S108" s="296"/>
      <c r="T108" s="296"/>
      <c r="U108" s="296"/>
      <c r="V108" s="296"/>
      <c r="W108" s="296"/>
      <c r="X108" s="296"/>
      <c r="Y108" s="296"/>
      <c r="Z108" s="296"/>
      <c r="AA108" s="296"/>
      <c r="AB108" s="296"/>
      <c r="AC108" s="296"/>
      <c r="AD108" s="296"/>
      <c r="AE108" s="296"/>
      <c r="AF108" s="296"/>
      <c r="AG108" s="296"/>
      <c r="AH108" s="296"/>
      <c r="AI108" s="296"/>
      <c r="AJ108" s="296"/>
      <c r="AK108" s="296"/>
      <c r="AL108" s="296"/>
      <c r="AM108" s="297"/>
    </row>
    <row r="109" spans="1:39" s="3" customFormat="1" ht="20.100000000000001" customHeight="1" x14ac:dyDescent="0.25">
      <c r="A109" s="4"/>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s="6"/>
    </row>
    <row r="110" spans="1:39" s="3" customFormat="1" ht="20.100000000000001" customHeight="1" x14ac:dyDescent="0.25">
      <c r="A110" s="4"/>
      <c r="B110"/>
      <c r="C110" s="24"/>
      <c r="D110" s="29" t="s">
        <v>207</v>
      </c>
      <c r="E110" s="12"/>
      <c r="F110" s="12"/>
      <c r="G110" s="12"/>
      <c r="H110" s="24"/>
      <c r="I110" s="15" t="s">
        <v>208</v>
      </c>
      <c r="J110" s="12"/>
      <c r="K110" s="12"/>
      <c r="L110" s="12"/>
      <c r="M110" s="12"/>
      <c r="N110" s="12"/>
      <c r="O110" s="12"/>
      <c r="P110" s="30"/>
      <c r="Q110" s="15" t="s">
        <v>209</v>
      </c>
      <c r="R110" s="12"/>
      <c r="S110" s="15"/>
      <c r="T110" s="15"/>
      <c r="U110" s="15"/>
      <c r="V110" s="15"/>
      <c r="W110"/>
      <c r="X110"/>
      <c r="Y110"/>
      <c r="Z110"/>
      <c r="AA110"/>
      <c r="AB110"/>
      <c r="AC110"/>
      <c r="AD110"/>
      <c r="AE110"/>
      <c r="AF110"/>
      <c r="AG110"/>
      <c r="AH110"/>
      <c r="AI110"/>
      <c r="AJ110"/>
      <c r="AK110"/>
      <c r="AL110"/>
      <c r="AM110" s="6"/>
    </row>
    <row r="111" spans="1:39" s="3" customFormat="1" ht="20.100000000000001" customHeight="1" x14ac:dyDescent="0.25">
      <c r="A111" s="4"/>
      <c r="B111"/>
      <c r="C111" s="28"/>
      <c r="D111" s="12"/>
      <c r="E111" s="12"/>
      <c r="F111" s="12"/>
      <c r="G111" s="12"/>
      <c r="H111" s="12"/>
      <c r="I111" s="12"/>
      <c r="J111" s="12"/>
      <c r="K111" s="12"/>
      <c r="L111" s="12"/>
      <c r="M111" s="12"/>
      <c r="N111" s="12"/>
      <c r="O111" s="12"/>
      <c r="P111" s="12"/>
      <c r="Q111" s="12"/>
      <c r="R111" s="12"/>
      <c r="S111" s="15"/>
      <c r="T111" s="15"/>
      <c r="U111" s="15"/>
      <c r="V111" s="15"/>
      <c r="W111"/>
      <c r="X111"/>
      <c r="Y111"/>
      <c r="Z111"/>
      <c r="AA111"/>
      <c r="AB111"/>
      <c r="AC111"/>
      <c r="AD111"/>
      <c r="AE111"/>
      <c r="AF111"/>
      <c r="AG111"/>
      <c r="AH111"/>
      <c r="AI111"/>
      <c r="AJ111"/>
      <c r="AK111"/>
      <c r="AL111"/>
      <c r="AM111" s="6"/>
    </row>
    <row r="112" spans="1:39" s="3" customFormat="1" ht="20.100000000000001" customHeight="1" x14ac:dyDescent="0.25">
      <c r="A112" s="4"/>
      <c r="B112"/>
      <c r="C112" s="7"/>
      <c r="D112" s="15" t="s">
        <v>210</v>
      </c>
      <c r="I112" s="15"/>
      <c r="J112" s="15"/>
      <c r="K112" s="15"/>
      <c r="L112" s="31"/>
      <c r="P112" s="7"/>
      <c r="Q112" s="15" t="s">
        <v>2</v>
      </c>
      <c r="R112" s="31"/>
      <c r="T112" s="15"/>
      <c r="U112"/>
      <c r="V112"/>
      <c r="W112"/>
      <c r="X112"/>
      <c r="Y112"/>
      <c r="Z112"/>
      <c r="AA112"/>
      <c r="AB112"/>
      <c r="AC112"/>
      <c r="AD112"/>
      <c r="AE112"/>
      <c r="AF112"/>
      <c r="AG112"/>
      <c r="AH112"/>
      <c r="AI112"/>
      <c r="AJ112"/>
      <c r="AK112"/>
      <c r="AL112"/>
      <c r="AM112" s="6"/>
    </row>
    <row r="113" spans="1:39" s="3" customFormat="1" ht="20.100000000000001" customHeight="1" x14ac:dyDescent="0.25">
      <c r="A113" s="4"/>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s="6"/>
    </row>
    <row r="114" spans="1:39" s="3" customFormat="1" ht="20.100000000000001" customHeight="1" x14ac:dyDescent="0.25">
      <c r="A114" s="4"/>
      <c r="B114"/>
      <c r="C114" s="7"/>
      <c r="D114" s="15" t="s">
        <v>211</v>
      </c>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s="6"/>
    </row>
    <row r="115" spans="1:39" s="3" customFormat="1" ht="20.100000000000001" customHeight="1" thickBot="1" x14ac:dyDescent="0.3">
      <c r="A115" s="8"/>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11"/>
    </row>
    <row r="116" spans="1:39" s="3" customFormat="1" ht="20.100000000000001" customHeight="1" x14ac:dyDescent="0.25">
      <c r="A116" s="295" t="s">
        <v>242</v>
      </c>
      <c r="B116" s="296"/>
      <c r="C116" s="296"/>
      <c r="D116" s="296"/>
      <c r="E116" s="296"/>
      <c r="F116" s="296"/>
      <c r="G116" s="296"/>
      <c r="H116" s="296"/>
      <c r="I116" s="296"/>
      <c r="J116" s="296"/>
      <c r="K116" s="296"/>
      <c r="L116" s="296"/>
      <c r="M116" s="296"/>
      <c r="N116" s="296"/>
      <c r="O116" s="296"/>
      <c r="P116" s="296"/>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7"/>
    </row>
    <row r="117" spans="1:39" s="3" customFormat="1" ht="20.100000000000001" customHeight="1" x14ac:dyDescent="0.25">
      <c r="A117" s="4"/>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s="6"/>
    </row>
    <row r="118" spans="1:39" s="3" customFormat="1" ht="20.100000000000001" customHeight="1" x14ac:dyDescent="0.25">
      <c r="A118" s="4"/>
      <c r="B118"/>
      <c r="C118" s="24"/>
      <c r="D118" s="29" t="s">
        <v>207</v>
      </c>
      <c r="E118" s="12"/>
      <c r="F118" s="12"/>
      <c r="G118" s="12"/>
      <c r="H118" s="24"/>
      <c r="I118" s="15" t="s">
        <v>212</v>
      </c>
      <c r="J118" s="12"/>
      <c r="K118" s="12"/>
      <c r="L118" s="12"/>
      <c r="M118" s="12"/>
      <c r="N118" s="12"/>
      <c r="O118" s="12"/>
      <c r="P118" s="30"/>
      <c r="Q118" s="15" t="s">
        <v>213</v>
      </c>
      <c r="R118" s="12"/>
      <c r="S118" s="15"/>
      <c r="T118" s="15"/>
      <c r="U118" s="15"/>
      <c r="V118" s="15"/>
      <c r="W118" s="7"/>
      <c r="X118" s="15" t="s">
        <v>214</v>
      </c>
      <c r="Y118"/>
      <c r="Z118"/>
      <c r="AA118"/>
      <c r="AB118"/>
      <c r="AC118" s="7"/>
      <c r="AD118" s="15" t="s">
        <v>215</v>
      </c>
      <c r="AE118"/>
      <c r="AF118"/>
      <c r="AG118"/>
      <c r="AH118"/>
      <c r="AI118"/>
      <c r="AJ118"/>
      <c r="AK118"/>
      <c r="AL118"/>
      <c r="AM118" s="6"/>
    </row>
    <row r="119" spans="1:39" s="3" customFormat="1" ht="20.100000000000001" customHeight="1" x14ac:dyDescent="0.25">
      <c r="A119" s="4"/>
      <c r="B119"/>
      <c r="C119" s="28"/>
      <c r="D119" s="12"/>
      <c r="E119" s="12"/>
      <c r="F119" s="12"/>
      <c r="G119" s="12"/>
      <c r="H119" s="12"/>
      <c r="I119" s="12"/>
      <c r="J119" s="12"/>
      <c r="K119" s="12"/>
      <c r="L119" s="12"/>
      <c r="M119" s="12"/>
      <c r="N119" s="12"/>
      <c r="O119" s="12"/>
      <c r="P119" s="12"/>
      <c r="Q119" s="12"/>
      <c r="R119" s="12"/>
      <c r="S119" s="15"/>
      <c r="T119" s="15"/>
      <c r="U119" s="15"/>
      <c r="V119" s="15"/>
      <c r="W119"/>
      <c r="X119"/>
      <c r="Y119"/>
      <c r="Z119"/>
      <c r="AA119"/>
      <c r="AB119"/>
      <c r="AC119"/>
      <c r="AD119"/>
      <c r="AE119"/>
      <c r="AF119"/>
      <c r="AG119"/>
      <c r="AH119"/>
      <c r="AI119"/>
      <c r="AJ119"/>
      <c r="AK119"/>
      <c r="AL119"/>
      <c r="AM119" s="6"/>
    </row>
    <row r="120" spans="1:39" s="3" customFormat="1" ht="20.100000000000001" customHeight="1" x14ac:dyDescent="0.25">
      <c r="A120" s="4"/>
      <c r="B120"/>
      <c r="C120" s="7"/>
      <c r="D120" s="15" t="s">
        <v>216</v>
      </c>
      <c r="H120" s="7"/>
      <c r="I120" s="15" t="s">
        <v>211</v>
      </c>
      <c r="J120" s="31"/>
      <c r="K120" s="15"/>
      <c r="L120" s="31"/>
      <c r="P120"/>
      <c r="Q120"/>
      <c r="R120"/>
      <c r="T120" s="15"/>
      <c r="U120"/>
      <c r="V120"/>
      <c r="W120"/>
      <c r="X120"/>
      <c r="Y120"/>
      <c r="Z120"/>
      <c r="AA120"/>
      <c r="AB120"/>
      <c r="AC120"/>
      <c r="AD120"/>
      <c r="AE120"/>
      <c r="AF120"/>
      <c r="AG120"/>
      <c r="AH120"/>
      <c r="AI120"/>
      <c r="AJ120"/>
      <c r="AK120"/>
      <c r="AL120"/>
      <c r="AM120" s="6"/>
    </row>
    <row r="121" spans="1:39" s="3" customFormat="1" ht="20.100000000000001" customHeight="1" thickBot="1" x14ac:dyDescent="0.3">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11"/>
    </row>
    <row r="122" spans="1:39" s="3" customFormat="1" ht="20.100000000000001" customHeight="1" x14ac:dyDescent="0.25">
      <c r="A122" s="295" t="s">
        <v>243</v>
      </c>
      <c r="B122" s="296"/>
      <c r="C122" s="296"/>
      <c r="D122" s="296"/>
      <c r="E122" s="296"/>
      <c r="F122" s="296"/>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7"/>
    </row>
    <row r="123" spans="1:39" s="3" customFormat="1" ht="20.100000000000001" customHeight="1" x14ac:dyDescent="0.25">
      <c r="A123" s="4"/>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s="6"/>
    </row>
    <row r="124" spans="1:39" s="3" customFormat="1" ht="20.100000000000001" customHeight="1" x14ac:dyDescent="0.25">
      <c r="A124" s="4"/>
      <c r="B124" s="321" t="s">
        <v>217</v>
      </c>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c r="AG124" s="32"/>
      <c r="AH124" s="15" t="s">
        <v>218</v>
      </c>
      <c r="AI124"/>
      <c r="AJ124" s="32"/>
      <c r="AK124" s="15" t="s">
        <v>219</v>
      </c>
      <c r="AL124"/>
      <c r="AM124" s="6"/>
    </row>
    <row r="125" spans="1:39" s="3" customFormat="1" ht="20.100000000000001" customHeight="1" x14ac:dyDescent="0.25">
      <c r="A125" s="4"/>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c r="AD125"/>
      <c r="AE125"/>
      <c r="AF125"/>
      <c r="AG125" s="33"/>
      <c r="AH125" s="33"/>
      <c r="AI125"/>
      <c r="AJ125" s="33"/>
      <c r="AK125" s="33"/>
      <c r="AL125"/>
      <c r="AM125" s="6"/>
    </row>
    <row r="126" spans="1:39" customFormat="1" ht="20.100000000000001" customHeight="1" x14ac:dyDescent="0.25">
      <c r="A126" s="4"/>
      <c r="B126" s="322" t="s">
        <v>220</v>
      </c>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G126" s="32"/>
      <c r="AH126" s="15" t="s">
        <v>218</v>
      </c>
      <c r="AJ126" s="32"/>
      <c r="AK126" s="15" t="s">
        <v>219</v>
      </c>
      <c r="AM126" s="6"/>
    </row>
    <row r="127" spans="1:39" customFormat="1" ht="20.100000000000001" customHeight="1" x14ac:dyDescent="0.25">
      <c r="A127" s="4"/>
      <c r="B127" s="323"/>
      <c r="C127" s="323"/>
      <c r="D127" s="323"/>
      <c r="E127" s="323"/>
      <c r="F127" s="15"/>
      <c r="G127" s="33"/>
      <c r="H127" s="33"/>
      <c r="I127" s="33"/>
      <c r="J127" s="33"/>
      <c r="K127" s="33"/>
      <c r="L127" s="33"/>
      <c r="M127" s="33"/>
      <c r="N127" s="33"/>
      <c r="O127" s="33"/>
      <c r="P127" s="33"/>
      <c r="Q127" s="33"/>
      <c r="R127" s="33"/>
      <c r="S127" s="33"/>
      <c r="T127" s="33"/>
      <c r="U127" s="33"/>
      <c r="V127" s="33"/>
      <c r="W127" s="33"/>
      <c r="X127" s="33"/>
      <c r="Y127" s="33"/>
      <c r="Z127" s="33"/>
      <c r="AA127" s="33"/>
      <c r="AB127" s="33"/>
      <c r="AG127" s="33"/>
      <c r="AH127" s="33"/>
      <c r="AJ127" s="33"/>
      <c r="AK127" s="33"/>
      <c r="AM127" s="6"/>
    </row>
    <row r="128" spans="1:39" customFormat="1" ht="20.100000000000001" customHeight="1" x14ac:dyDescent="0.25">
      <c r="A128" s="4"/>
      <c r="B128" s="322" t="s">
        <v>221</v>
      </c>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G128" s="32"/>
      <c r="AH128" s="15" t="s">
        <v>218</v>
      </c>
      <c r="AJ128" s="32"/>
      <c r="AK128" s="15" t="s">
        <v>219</v>
      </c>
      <c r="AM128" s="6"/>
    </row>
    <row r="129" spans="1:39" customFormat="1" ht="20.100000000000001" customHeight="1" x14ac:dyDescent="0.25">
      <c r="A129" s="4"/>
      <c r="B129" s="323"/>
      <c r="C129" s="323"/>
      <c r="D129" s="323"/>
      <c r="E129" s="323"/>
      <c r="F129" s="15"/>
      <c r="G129" s="33"/>
      <c r="H129" s="33"/>
      <c r="I129" s="33"/>
      <c r="J129" s="33"/>
      <c r="K129" s="33"/>
      <c r="L129" s="33"/>
      <c r="M129" s="33"/>
      <c r="N129" s="33"/>
      <c r="O129" s="33"/>
      <c r="P129" s="33"/>
      <c r="Q129" s="33"/>
      <c r="R129" s="33"/>
      <c r="S129" s="33"/>
      <c r="T129" s="33"/>
      <c r="U129" s="33"/>
      <c r="V129" s="33"/>
      <c r="W129" s="33"/>
      <c r="X129" s="33"/>
      <c r="Y129" s="33"/>
      <c r="Z129" s="33"/>
      <c r="AA129" s="33"/>
      <c r="AB129" s="33"/>
      <c r="AG129" s="33"/>
      <c r="AH129" s="33"/>
      <c r="AJ129" s="33"/>
      <c r="AK129" s="33"/>
      <c r="AM129" s="6"/>
    </row>
    <row r="130" spans="1:39" customFormat="1" ht="20.100000000000001" customHeight="1" x14ac:dyDescent="0.25">
      <c r="A130" s="4"/>
      <c r="B130" s="322" t="s">
        <v>222</v>
      </c>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G130" s="32"/>
      <c r="AH130" s="15" t="s">
        <v>218</v>
      </c>
      <c r="AJ130" s="32"/>
      <c r="AK130" s="15" t="s">
        <v>219</v>
      </c>
      <c r="AM130" s="6"/>
    </row>
    <row r="131" spans="1:39" customFormat="1" ht="20.100000000000001" customHeight="1" x14ac:dyDescent="0.25">
      <c r="A131" s="4"/>
      <c r="B131" s="323"/>
      <c r="C131" s="323"/>
      <c r="D131" s="323"/>
      <c r="E131" s="323"/>
      <c r="F131" s="15"/>
      <c r="G131" s="33"/>
      <c r="H131" s="33"/>
      <c r="I131" s="33"/>
      <c r="J131" s="33"/>
      <c r="K131" s="33"/>
      <c r="L131" s="33"/>
      <c r="M131" s="33"/>
      <c r="N131" s="33"/>
      <c r="O131" s="33"/>
      <c r="P131" s="33"/>
      <c r="Q131" s="33"/>
      <c r="R131" s="33"/>
      <c r="S131" s="33"/>
      <c r="T131" s="33"/>
      <c r="U131" s="33"/>
      <c r="V131" s="33"/>
      <c r="W131" s="33"/>
      <c r="X131" s="33"/>
      <c r="Y131" s="33"/>
      <c r="Z131" s="33"/>
      <c r="AA131" s="33"/>
      <c r="AB131" s="33"/>
      <c r="AG131" s="33"/>
      <c r="AH131" s="33"/>
      <c r="AJ131" s="33"/>
      <c r="AK131" s="33"/>
      <c r="AM131" s="6"/>
    </row>
    <row r="132" spans="1:39" customFormat="1" ht="20.100000000000001" customHeight="1" x14ac:dyDescent="0.25">
      <c r="A132" s="4"/>
      <c r="B132" s="321" t="s">
        <v>223</v>
      </c>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G132" s="32"/>
      <c r="AH132" s="15" t="s">
        <v>218</v>
      </c>
      <c r="AJ132" s="32"/>
      <c r="AK132" s="15" t="s">
        <v>219</v>
      </c>
      <c r="AM132" s="6"/>
    </row>
    <row r="133" spans="1:39" customFormat="1" ht="20.100000000000001" customHeight="1" x14ac:dyDescent="0.25">
      <c r="A133" s="4"/>
      <c r="AM133" s="6"/>
    </row>
    <row r="134" spans="1:39" customFormat="1" ht="20.100000000000001" customHeight="1" x14ac:dyDescent="0.25">
      <c r="A134" s="4"/>
      <c r="B134" s="321" t="s">
        <v>224</v>
      </c>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M134" s="6"/>
    </row>
    <row r="135" spans="1:39" customFormat="1" ht="20.100000000000001" customHeight="1" x14ac:dyDescent="0.25">
      <c r="A135" s="4"/>
      <c r="B135" s="320"/>
      <c r="C135" s="320"/>
      <c r="D135" s="320"/>
      <c r="E135" s="320"/>
      <c r="F135" s="320"/>
      <c r="G135" s="320"/>
      <c r="H135" s="320"/>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c r="AJ135" s="320"/>
      <c r="AK135" s="320"/>
      <c r="AM135" s="6"/>
    </row>
    <row r="136" spans="1:39" customFormat="1" ht="20.100000000000001" customHeight="1" x14ac:dyDescent="0.25">
      <c r="A136" s="4"/>
      <c r="B136" s="320"/>
      <c r="C136" s="320"/>
      <c r="D136" s="320"/>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c r="AG136" s="320"/>
      <c r="AH136" s="320"/>
      <c r="AI136" s="320"/>
      <c r="AJ136" s="320"/>
      <c r="AK136" s="320"/>
      <c r="AM136" s="6"/>
    </row>
    <row r="137" spans="1:39" s="3" customFormat="1" ht="20.100000000000001" customHeight="1" x14ac:dyDescent="0.25">
      <c r="A137" s="4"/>
      <c r="B137" s="336"/>
      <c r="C137" s="336"/>
      <c r="D137" s="336"/>
      <c r="E137" s="336"/>
      <c r="F137" s="336"/>
      <c r="G137" s="336"/>
      <c r="H137" s="336"/>
      <c r="I137" s="336"/>
      <c r="J137" s="336"/>
      <c r="K137" s="336"/>
      <c r="L137" s="336"/>
      <c r="M137" s="336"/>
      <c r="N137" s="336"/>
      <c r="O137" s="336"/>
      <c r="P137" s="336"/>
      <c r="Q137" s="336"/>
      <c r="R137" s="336"/>
      <c r="S137" s="336"/>
      <c r="T137" s="336"/>
      <c r="U137" s="336"/>
      <c r="V137" s="336"/>
      <c r="W137" s="336"/>
      <c r="X137" s="336"/>
      <c r="Y137" s="336"/>
      <c r="Z137" s="336"/>
      <c r="AA137" s="336"/>
      <c r="AB137" s="336"/>
      <c r="AC137" s="336"/>
      <c r="AD137" s="336"/>
      <c r="AE137" s="336"/>
      <c r="AF137" s="336"/>
      <c r="AG137" s="336"/>
      <c r="AH137" s="336"/>
      <c r="AI137" s="336"/>
      <c r="AJ137" s="336"/>
      <c r="AK137" s="336"/>
      <c r="AL137"/>
      <c r="AM137" s="6"/>
    </row>
    <row r="138" spans="1:39" s="3" customFormat="1" ht="20.100000000000001" customHeight="1" thickBot="1" x14ac:dyDescent="0.3">
      <c r="A138" s="8"/>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11"/>
    </row>
    <row r="139" spans="1:39" s="3" customFormat="1" ht="20.100000000000001" customHeight="1" thickBot="1" x14ac:dyDescent="0.3">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row>
    <row r="140" spans="1:39" s="3" customFormat="1" ht="20.100000000000001" customHeight="1" thickBot="1" x14ac:dyDescent="0.3">
      <c r="A140" s="324" t="s">
        <v>225</v>
      </c>
      <c r="B140" s="325"/>
      <c r="C140" s="325"/>
      <c r="D140" s="325"/>
      <c r="E140" s="325"/>
      <c r="F140" s="325"/>
      <c r="G140" s="325"/>
      <c r="H140" s="325"/>
      <c r="I140" s="325"/>
      <c r="J140" s="325"/>
      <c r="K140" s="326"/>
      <c r="L140" s="327"/>
      <c r="M140" s="328"/>
      <c r="N140" s="328"/>
      <c r="O140" s="328"/>
      <c r="P140" s="328"/>
      <c r="Q140" s="328"/>
      <c r="R140" s="328"/>
      <c r="S140" s="328"/>
      <c r="T140" s="328"/>
      <c r="U140" s="328"/>
      <c r="V140" s="328"/>
      <c r="W140" s="328"/>
      <c r="X140" s="328"/>
      <c r="Y140" s="328"/>
      <c r="Z140" s="328"/>
      <c r="AA140" s="328"/>
      <c r="AB140" s="328"/>
      <c r="AC140" s="328"/>
      <c r="AD140" s="328"/>
      <c r="AE140" s="328"/>
      <c r="AF140" s="328"/>
      <c r="AG140" s="328"/>
      <c r="AH140" s="328"/>
      <c r="AI140" s="328"/>
      <c r="AJ140" s="328"/>
      <c r="AK140" s="328"/>
      <c r="AL140" s="328"/>
      <c r="AM140" s="329"/>
    </row>
    <row r="141" spans="1:39" s="3" customFormat="1" ht="20.100000000000001" customHeight="1" thickBot="1" x14ac:dyDescent="0.3">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row>
    <row r="142" spans="1:39" s="3" customFormat="1" ht="20.100000000000001" customHeight="1" thickBot="1" x14ac:dyDescent="0.3">
      <c r="A142" s="330" t="s">
        <v>244</v>
      </c>
      <c r="B142" s="331"/>
      <c r="C142" s="331"/>
      <c r="D142" s="331"/>
      <c r="E142" s="331"/>
      <c r="F142" s="331"/>
      <c r="G142" s="331"/>
      <c r="H142" s="331"/>
      <c r="I142" s="331"/>
      <c r="J142" s="331"/>
      <c r="K142" s="331"/>
      <c r="L142" s="331"/>
      <c r="M142" s="331"/>
      <c r="N142" s="331"/>
      <c r="O142" s="331"/>
      <c r="P142" s="331"/>
      <c r="Q142" s="332"/>
      <c r="R142" s="333" t="s">
        <v>245</v>
      </c>
      <c r="S142" s="334"/>
      <c r="T142" s="334"/>
      <c r="U142" s="334"/>
      <c r="V142" s="334"/>
      <c r="W142" s="334"/>
      <c r="X142" s="334"/>
      <c r="Y142" s="334"/>
      <c r="Z142" s="334"/>
      <c r="AA142" s="334"/>
      <c r="AB142" s="334"/>
      <c r="AC142" s="334"/>
      <c r="AD142" s="334"/>
      <c r="AE142" s="334"/>
      <c r="AF142" s="334"/>
      <c r="AG142" s="334"/>
      <c r="AH142" s="334"/>
      <c r="AI142" s="334"/>
      <c r="AJ142" s="334"/>
      <c r="AK142" s="334"/>
      <c r="AL142" s="334"/>
      <c r="AM142" s="335"/>
    </row>
    <row r="144" spans="1:39" ht="20.100000000000001" customHeight="1" x14ac:dyDescent="0.25">
      <c r="A144" s="320" t="s">
        <v>254</v>
      </c>
      <c r="B144" s="320"/>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320"/>
      <c r="AI144" s="320"/>
      <c r="AJ144" s="320"/>
      <c r="AK144" s="320"/>
      <c r="AL144" s="320"/>
      <c r="AM144" s="320"/>
    </row>
  </sheetData>
  <mergeCells count="89">
    <mergeCell ref="A144:AM144"/>
    <mergeCell ref="A122:AM122"/>
    <mergeCell ref="B124:AE124"/>
    <mergeCell ref="B126:AB126"/>
    <mergeCell ref="B127:E127"/>
    <mergeCell ref="B128:AB128"/>
    <mergeCell ref="A140:K140"/>
    <mergeCell ref="L140:AM140"/>
    <mergeCell ref="A142:Q142"/>
    <mergeCell ref="R142:AM142"/>
    <mergeCell ref="B129:E129"/>
    <mergeCell ref="B130:AB130"/>
    <mergeCell ref="B131:E131"/>
    <mergeCell ref="B132:AE132"/>
    <mergeCell ref="B134:AE134"/>
    <mergeCell ref="B135:AK137"/>
    <mergeCell ref="A1:AM1"/>
    <mergeCell ref="A2:AM2"/>
    <mergeCell ref="A4:AM4"/>
    <mergeCell ref="A6:AM6"/>
    <mergeCell ref="A19:AM19"/>
    <mergeCell ref="B9:K9"/>
    <mergeCell ref="L9:AL9"/>
    <mergeCell ref="B10:K10"/>
    <mergeCell ref="L10:AL10"/>
    <mergeCell ref="B8:K8"/>
    <mergeCell ref="L8:AL8"/>
    <mergeCell ref="B13:K13"/>
    <mergeCell ref="L13:AL13"/>
    <mergeCell ref="B14:K14"/>
    <mergeCell ref="L14:AL14"/>
    <mergeCell ref="B11:K11"/>
    <mergeCell ref="L11:AL11"/>
    <mergeCell ref="B12:K12"/>
    <mergeCell ref="L12:AL12"/>
    <mergeCell ref="B21:K21"/>
    <mergeCell ref="L21:AL21"/>
    <mergeCell ref="B15:K15"/>
    <mergeCell ref="L15:AL15"/>
    <mergeCell ref="B16:K16"/>
    <mergeCell ref="L16:AL16"/>
    <mergeCell ref="B27:N27"/>
    <mergeCell ref="V27:AL27"/>
    <mergeCell ref="B22:K22"/>
    <mergeCell ref="B23:K23"/>
    <mergeCell ref="L22:AL22"/>
    <mergeCell ref="L23:AL23"/>
    <mergeCell ref="A25:AM25"/>
    <mergeCell ref="B35:H35"/>
    <mergeCell ref="A37:AM37"/>
    <mergeCell ref="A43:AM43"/>
    <mergeCell ref="A49:AM49"/>
    <mergeCell ref="B61:J61"/>
    <mergeCell ref="X51:AA51"/>
    <mergeCell ref="AC51:AI51"/>
    <mergeCell ref="AJ51:AL51"/>
    <mergeCell ref="B63:J63"/>
    <mergeCell ref="B51:J51"/>
    <mergeCell ref="B53:J53"/>
    <mergeCell ref="K51:O51"/>
    <mergeCell ref="Q51:W51"/>
    <mergeCell ref="B55:J55"/>
    <mergeCell ref="B57:J57"/>
    <mergeCell ref="B59:J59"/>
    <mergeCell ref="B77:J77"/>
    <mergeCell ref="B69:J69"/>
    <mergeCell ref="A65:AM65"/>
    <mergeCell ref="B67:J67"/>
    <mergeCell ref="A73:AM73"/>
    <mergeCell ref="B75:J75"/>
    <mergeCell ref="B91:J91"/>
    <mergeCell ref="L91:P91"/>
    <mergeCell ref="A79:AM79"/>
    <mergeCell ref="A85:AM85"/>
    <mergeCell ref="B87:P87"/>
    <mergeCell ref="T87:AH87"/>
    <mergeCell ref="B89:J89"/>
    <mergeCell ref="L89:P89"/>
    <mergeCell ref="T89:AB89"/>
    <mergeCell ref="AD89:AH89"/>
    <mergeCell ref="T91:AB93"/>
    <mergeCell ref="B93:J93"/>
    <mergeCell ref="L93:P93"/>
    <mergeCell ref="AD91:AH93"/>
    <mergeCell ref="A95:AM95"/>
    <mergeCell ref="B97:J97"/>
    <mergeCell ref="B99:J106"/>
    <mergeCell ref="A108:AM108"/>
    <mergeCell ref="A116:AM116"/>
  </mergeCells>
  <conditionalFormatting sqref="G129:AB129 AG129:AH129 AJ129:AK129">
    <cfRule type="expression" dxfId="1" priority="2" stopIfTrue="1">
      <formula>IF(AND(#REF!="",#REF!="SIM"),TRUE,FALSE)</formula>
    </cfRule>
  </conditionalFormatting>
  <conditionalFormatting sqref="AG125:AH125 AJ125:AK125 G127:AB127 AG127:AH127 AJ127:AK127 G131:AB131 AG131:AH131 AJ131:AK131">
    <cfRule type="expression" dxfId="0" priority="1" stopIfTrue="1">
      <formula>IF(AND(#REF!="",#REF!="NÃO"),TRUE,FALSE)</formula>
    </cfRule>
  </conditionalFormatting>
  <dataValidations disablePrompts="1" count="2">
    <dataValidation type="date" allowBlank="1" showInputMessage="1" showErrorMessage="1" errorTitle="ATENÇÃO" error="Este campo aceita somente datas no formato DD/MM/AAAA._x000a_Não são aceitas datas futuras e datas anteriores a 180 dias." sqref="J38 J44" xr:uid="{FC63ADD1-BC37-496C-8333-8740A5422D90}">
      <formula1>TODAY()-180</formula1>
      <formula2>TODAY()+7</formula2>
    </dataValidation>
    <dataValidation type="whole" operator="greaterThanOrEqual" allowBlank="1" showInputMessage="1" showErrorMessage="1" errorTitle="ATENÇÃO" error="Campo aceita somente números." sqref="AC97 AC100 AC102 AC105" xr:uid="{AD5293D9-A107-4469-81FF-5F87D33C0615}">
      <formula1>0</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TERRENO E BENFEITORIAS</vt:lpstr>
      <vt:lpstr>VANTAGEM DA COISA FEITA</vt:lpstr>
      <vt:lpstr>DEPRECIAÇÃO</vt:lpstr>
      <vt:lpstr>LAUDO DE VISTORIA</vt:lpstr>
      <vt:lpstr>'LAUDO DE VISTORIA'!Area_de_impressao</vt:lpstr>
      <vt:lpstr>'TERRENO E BENFEITORIAS'!Area_de_impressao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2024-06-30T21:48:58Z</cp:lastPrinted>
  <dcterms:created xsi:type="dcterms:W3CDTF">2024-06-02T16:00:59Z</dcterms:created>
  <dcterms:modified xsi:type="dcterms:W3CDTF">2024-10-28T13:51:09Z</dcterms:modified>
</cp:coreProperties>
</file>