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I/"/>
    </mc:Choice>
  </mc:AlternateContent>
  <xr:revisionPtr revIDLastSave="427" documentId="8_{5E71AAAD-18C5-4614-8B66-3EAA7DDEF32B}" xr6:coauthVersionLast="47" xr6:coauthVersionMax="47" xr10:uidLastSave="{C0720735-C2E5-4056-B644-5629096B9B09}"/>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BENFEITORIAS'!$C$17:$S$29</definedName>
    <definedName name="_xlnm.Print_Area" localSheetId="3">'LAUDO DE VISTORIA'!$A$1:$AM$144</definedName>
    <definedName name="_xlnm.Print_Area" localSheetId="0">'TERRENO E BENFEITORIAS'!$A$1:$S$410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1" i="4" l="1"/>
  <c r="Y284" i="4"/>
  <c r="Y238" i="4"/>
  <c r="J168" i="4"/>
  <c r="K168" i="4"/>
  <c r="L168" i="4"/>
  <c r="M168" i="4"/>
  <c r="N168" i="4"/>
  <c r="O168" i="4"/>
  <c r="P168" i="4"/>
  <c r="J169" i="4"/>
  <c r="K169" i="4"/>
  <c r="L169" i="4"/>
  <c r="M169" i="4"/>
  <c r="N169" i="4"/>
  <c r="O169" i="4"/>
  <c r="P169" i="4"/>
  <c r="J170" i="4"/>
  <c r="K170" i="4"/>
  <c r="L170" i="4"/>
  <c r="M170" i="4"/>
  <c r="N170" i="4"/>
  <c r="O170" i="4"/>
  <c r="P170" i="4"/>
  <c r="J171" i="4"/>
  <c r="K171" i="4"/>
  <c r="L171" i="4"/>
  <c r="M171" i="4"/>
  <c r="N171" i="4"/>
  <c r="O171" i="4"/>
  <c r="P171" i="4"/>
  <c r="J172" i="4"/>
  <c r="K172" i="4"/>
  <c r="L172" i="4"/>
  <c r="M172" i="4"/>
  <c r="N172" i="4"/>
  <c r="O172" i="4"/>
  <c r="P172" i="4"/>
  <c r="J173" i="4"/>
  <c r="Q173" i="4" s="1"/>
  <c r="K173" i="4"/>
  <c r="L173" i="4"/>
  <c r="M173" i="4"/>
  <c r="N173" i="4"/>
  <c r="O173" i="4"/>
  <c r="P173" i="4"/>
  <c r="J174" i="4"/>
  <c r="K174" i="4"/>
  <c r="L174" i="4"/>
  <c r="M174" i="4"/>
  <c r="Q174" i="4" s="1"/>
  <c r="N174" i="4"/>
  <c r="O174" i="4"/>
  <c r="P174" i="4"/>
  <c r="J175" i="4"/>
  <c r="K175" i="4"/>
  <c r="L175" i="4"/>
  <c r="M175" i="4"/>
  <c r="N175" i="4"/>
  <c r="O175" i="4"/>
  <c r="P175" i="4"/>
  <c r="J176" i="4"/>
  <c r="Q176" i="4" s="1"/>
  <c r="K176" i="4"/>
  <c r="L176" i="4"/>
  <c r="M176" i="4"/>
  <c r="N176" i="4"/>
  <c r="O176" i="4"/>
  <c r="P176" i="4"/>
  <c r="J177" i="4"/>
  <c r="K177" i="4"/>
  <c r="L177" i="4"/>
  <c r="M177" i="4"/>
  <c r="N177" i="4"/>
  <c r="Q177" i="4" s="1"/>
  <c r="O177" i="4"/>
  <c r="P177" i="4"/>
  <c r="J178" i="4"/>
  <c r="K178" i="4"/>
  <c r="L178" i="4"/>
  <c r="M178" i="4"/>
  <c r="N178" i="4"/>
  <c r="O178" i="4"/>
  <c r="P178" i="4"/>
  <c r="P167" i="4"/>
  <c r="O167" i="4"/>
  <c r="N167" i="4"/>
  <c r="M167" i="4"/>
  <c r="L167" i="4"/>
  <c r="K167" i="4"/>
  <c r="J167" i="4"/>
  <c r="P160" i="4"/>
  <c r="O160" i="4"/>
  <c r="N160" i="4"/>
  <c r="M160" i="4"/>
  <c r="L160" i="4"/>
  <c r="K160" i="4"/>
  <c r="J160" i="4"/>
  <c r="N147" i="4"/>
  <c r="N148" i="4"/>
  <c r="N149" i="4"/>
  <c r="N150" i="4"/>
  <c r="N151" i="4"/>
  <c r="N152" i="4"/>
  <c r="N146" i="4"/>
  <c r="H307" i="4"/>
  <c r="H308" i="4"/>
  <c r="H309" i="4"/>
  <c r="H310" i="4"/>
  <c r="H311" i="4"/>
  <c r="H312" i="4"/>
  <c r="H313" i="4"/>
  <c r="H314" i="4"/>
  <c r="H315" i="4"/>
  <c r="H316" i="4"/>
  <c r="H317" i="4"/>
  <c r="H306" i="4"/>
  <c r="H271" i="4"/>
  <c r="H272" i="4"/>
  <c r="H273" i="4"/>
  <c r="H274" i="4"/>
  <c r="H275" i="4"/>
  <c r="H276" i="4"/>
  <c r="H277" i="4"/>
  <c r="H278" i="4"/>
  <c r="H279" i="4"/>
  <c r="H280" i="4"/>
  <c r="H281" i="4"/>
  <c r="H270" i="4"/>
  <c r="H238" i="4"/>
  <c r="H239" i="4"/>
  <c r="H240" i="4"/>
  <c r="H241" i="4"/>
  <c r="H242" i="4"/>
  <c r="H243" i="4"/>
  <c r="H244" i="4"/>
  <c r="H245" i="4"/>
  <c r="H246" i="4"/>
  <c r="H247" i="4"/>
  <c r="H248" i="4"/>
  <c r="H237" i="4"/>
  <c r="Q175" i="4"/>
  <c r="Q172" i="4"/>
  <c r="Q171" i="4"/>
  <c r="K63" i="4"/>
  <c r="K62" i="4"/>
  <c r="K61" i="4"/>
  <c r="K60" i="4"/>
  <c r="K59" i="4"/>
  <c r="K58" i="4"/>
  <c r="K57" i="4"/>
  <c r="O22" i="4"/>
  <c r="O23" i="4"/>
  <c r="O24" i="4"/>
  <c r="O25" i="4"/>
  <c r="O26" i="4"/>
  <c r="O27" i="4"/>
  <c r="O28" i="4"/>
  <c r="I22" i="4"/>
  <c r="I23" i="4"/>
  <c r="I24" i="4"/>
  <c r="I25" i="4"/>
  <c r="I26" i="4"/>
  <c r="I27" i="4"/>
  <c r="I28" i="4"/>
  <c r="F203" i="4" l="1"/>
  <c r="V184" i="4"/>
  <c r="F205" i="4"/>
  <c r="V186" i="4"/>
  <c r="F206" i="4"/>
  <c r="V187" i="4"/>
  <c r="F207" i="4"/>
  <c r="V188" i="4"/>
  <c r="F208" i="4"/>
  <c r="V189" i="4"/>
  <c r="F209" i="4"/>
  <c r="V190" i="4"/>
  <c r="F204" i="4"/>
  <c r="V185" i="4"/>
  <c r="Q22" i="4"/>
  <c r="C57" i="4" s="1"/>
  <c r="Q23" i="4"/>
  <c r="C58" i="4" s="1"/>
  <c r="Q24" i="4"/>
  <c r="C59" i="4" s="1"/>
  <c r="Q28" i="4"/>
  <c r="C63" i="4" s="1"/>
  <c r="Q27" i="4"/>
  <c r="C62" i="4" s="1"/>
  <c r="Q26" i="4"/>
  <c r="C61" i="4" s="1"/>
  <c r="Q25" i="4"/>
  <c r="C60" i="4" s="1"/>
  <c r="Q170" i="4" l="1"/>
  <c r="Q169" i="4"/>
  <c r="K56" i="4"/>
  <c r="K55" i="4"/>
  <c r="O19" i="4"/>
  <c r="O20" i="4"/>
  <c r="O21" i="4"/>
  <c r="I19" i="4"/>
  <c r="I20" i="4"/>
  <c r="Y522" i="4"/>
  <c r="M518" i="4"/>
  <c r="Y521" i="4" s="1"/>
  <c r="N455" i="4"/>
  <c r="Q455" i="4" s="1"/>
  <c r="N456" i="4"/>
  <c r="Q456" i="4" s="1"/>
  <c r="N457" i="4"/>
  <c r="Q457" i="4" s="1"/>
  <c r="N458" i="4"/>
  <c r="Q458" i="4" s="1"/>
  <c r="N459" i="4"/>
  <c r="Q459" i="4" s="1"/>
  <c r="N460" i="4"/>
  <c r="Q460" i="4" s="1"/>
  <c r="N461" i="4"/>
  <c r="Q461" i="4" s="1"/>
  <c r="N462" i="4"/>
  <c r="Q462" i="4" s="1"/>
  <c r="N463" i="4"/>
  <c r="Q463" i="4" s="1"/>
  <c r="N464" i="4"/>
  <c r="Q464" i="4" s="1"/>
  <c r="N465" i="4"/>
  <c r="Q465" i="4" s="1"/>
  <c r="N466" i="4"/>
  <c r="Q466" i="4" s="1"/>
  <c r="N467" i="4"/>
  <c r="Q467" i="4" s="1"/>
  <c r="N468" i="4"/>
  <c r="Q468" i="4" s="1"/>
  <c r="N469" i="4"/>
  <c r="Q469" i="4" s="1"/>
  <c r="N470" i="4"/>
  <c r="Q470" i="4" s="1"/>
  <c r="N471" i="4"/>
  <c r="Q471" i="4" s="1"/>
  <c r="N472" i="4"/>
  <c r="Q472" i="4" s="1"/>
  <c r="N473" i="4"/>
  <c r="Q473" i="4" s="1"/>
  <c r="N474" i="4"/>
  <c r="Q474" i="4" s="1"/>
  <c r="N454" i="4"/>
  <c r="Q454" i="4" s="1"/>
  <c r="G455" i="4"/>
  <c r="G456" i="4"/>
  <c r="G457" i="4"/>
  <c r="G458" i="4"/>
  <c r="G459" i="4"/>
  <c r="G460" i="4"/>
  <c r="G461" i="4"/>
  <c r="G462" i="4"/>
  <c r="G463" i="4"/>
  <c r="G464" i="4"/>
  <c r="G465" i="4"/>
  <c r="G466" i="4"/>
  <c r="G467" i="4"/>
  <c r="G468" i="4"/>
  <c r="G469" i="4"/>
  <c r="G470" i="4"/>
  <c r="G471" i="4"/>
  <c r="G472" i="4"/>
  <c r="G473" i="4"/>
  <c r="G474" i="4"/>
  <c r="G454" i="4"/>
  <c r="K421" i="4"/>
  <c r="N401" i="4"/>
  <c r="F202" i="4" l="1"/>
  <c r="V183" i="4"/>
  <c r="F201" i="4"/>
  <c r="V182" i="4"/>
  <c r="Q20" i="4"/>
  <c r="C55" i="4" s="1"/>
  <c r="Q19" i="4"/>
  <c r="C54" i="4" s="1"/>
  <c r="Y523" i="4" a="1"/>
  <c r="Y523" i="4" s="1"/>
  <c r="N524" i="4" s="1"/>
  <c r="Q478" i="4"/>
  <c r="R480" i="4" l="1"/>
  <c r="M503" i="4"/>
  <c r="P505" i="4" s="1"/>
  <c r="P506" i="4" s="1"/>
  <c r="P507" i="4" s="1"/>
  <c r="N402" i="4"/>
  <c r="N509" i="4" s="1"/>
  <c r="N510" i="4" l="1"/>
  <c r="N512" i="4" s="1"/>
  <c r="N521" i="4" s="1"/>
  <c r="F409" i="4" l="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Y70" i="26"/>
  <c r="W63" i="26"/>
  <c r="AJ41" i="26"/>
  <c r="Y41" i="26" s="1"/>
  <c r="Y65" i="26" s="1"/>
  <c r="AH41" i="26"/>
  <c r="X41" i="26" s="1"/>
  <c r="X63" i="26" s="1"/>
  <c r="AF41" i="26"/>
  <c r="AD41" i="26"/>
  <c r="V41" i="26" s="1"/>
  <c r="W41" i="26"/>
  <c r="U41" i="26"/>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AJ40" i="26"/>
  <c r="Y40" i="26" s="1"/>
  <c r="AH40" i="26"/>
  <c r="AF40" i="26"/>
  <c r="W40" i="26" s="1"/>
  <c r="AD40" i="26"/>
  <c r="V40" i="26" s="1"/>
  <c r="X40" i="26"/>
  <c r="U40" i="26"/>
  <c r="AJ39" i="26"/>
  <c r="Y39" i="26" s="1"/>
  <c r="AH39" i="26"/>
  <c r="X39" i="26" s="1"/>
  <c r="AF39" i="26"/>
  <c r="W39" i="26" s="1"/>
  <c r="AD39" i="26"/>
  <c r="V39" i="26" s="1"/>
  <c r="U39" i="26"/>
  <c r="AJ38" i="26"/>
  <c r="Y38" i="26" s="1"/>
  <c r="AH38" i="26"/>
  <c r="AF38" i="26"/>
  <c r="AD38" i="26"/>
  <c r="V38" i="26" s="1"/>
  <c r="X38" i="26"/>
  <c r="W38" i="26"/>
  <c r="U38" i="26"/>
  <c r="AJ37" i="26"/>
  <c r="Y37" i="26" s="1"/>
  <c r="AH37" i="26"/>
  <c r="X37" i="26" s="1"/>
  <c r="AF37" i="26"/>
  <c r="AD37" i="26"/>
  <c r="V37" i="26" s="1"/>
  <c r="W37" i="26"/>
  <c r="U37" i="26"/>
  <c r="AJ36" i="26"/>
  <c r="Y36" i="26" s="1"/>
  <c r="AH36" i="26"/>
  <c r="X36" i="26" s="1"/>
  <c r="AF36" i="26"/>
  <c r="W36" i="26" s="1"/>
  <c r="AD36" i="26"/>
  <c r="V36" i="26" s="1"/>
  <c r="U36" i="26"/>
  <c r="AJ35" i="26"/>
  <c r="AH35" i="26"/>
  <c r="X35" i="26" s="1"/>
  <c r="AF35" i="26"/>
  <c r="W35" i="26" s="1"/>
  <c r="AD35" i="26"/>
  <c r="V35" i="26" s="1"/>
  <c r="Y35" i="26"/>
  <c r="U35" i="26"/>
  <c r="AJ34" i="26"/>
  <c r="Y34" i="26" s="1"/>
  <c r="AH34" i="26"/>
  <c r="X34" i="26" s="1"/>
  <c r="AF34" i="26"/>
  <c r="W34" i="26" s="1"/>
  <c r="AD34" i="26"/>
  <c r="V34" i="26" s="1"/>
  <c r="U34" i="26"/>
  <c r="AJ33" i="26"/>
  <c r="Y33" i="26" s="1"/>
  <c r="AH33" i="26"/>
  <c r="X33" i="26" s="1"/>
  <c r="AF33" i="26"/>
  <c r="W33" i="26" s="1"/>
  <c r="AD33" i="26"/>
  <c r="V33" i="26"/>
  <c r="U33" i="26"/>
  <c r="AJ32" i="26"/>
  <c r="Y32" i="26" s="1"/>
  <c r="AH32" i="26"/>
  <c r="X32" i="26" s="1"/>
  <c r="AF32" i="26"/>
  <c r="W32" i="26" s="1"/>
  <c r="AE32" i="26"/>
  <c r="AG32" i="26" s="1"/>
  <c r="AI32" i="26" s="1"/>
  <c r="AD32" i="26"/>
  <c r="V32" i="26"/>
  <c r="U32" i="26"/>
  <c r="AJ31" i="26"/>
  <c r="AH31" i="26"/>
  <c r="AF31" i="26"/>
  <c r="W31" i="26" s="1"/>
  <c r="AD31" i="26"/>
  <c r="V31" i="26" s="1"/>
  <c r="Y31" i="26"/>
  <c r="X31" i="26"/>
  <c r="U31" i="26"/>
  <c r="AJ30" i="26"/>
  <c r="Y30" i="26" s="1"/>
  <c r="AH30" i="26"/>
  <c r="X30" i="26" s="1"/>
  <c r="AF30" i="26"/>
  <c r="W30" i="26" s="1"/>
  <c r="AD30" i="26"/>
  <c r="V30" i="26" s="1"/>
  <c r="U30" i="26"/>
  <c r="AJ29" i="26"/>
  <c r="AH29" i="26"/>
  <c r="AF29" i="26"/>
  <c r="W29" i="26" s="1"/>
  <c r="AD29" i="26"/>
  <c r="V29" i="26" s="1"/>
  <c r="Y29" i="26"/>
  <c r="X29" i="26"/>
  <c r="U29" i="26"/>
  <c r="AJ28" i="26"/>
  <c r="Y28" i="26" s="1"/>
  <c r="AH28" i="26"/>
  <c r="X28" i="26" s="1"/>
  <c r="AF28" i="26"/>
  <c r="W28" i="26" s="1"/>
  <c r="AD28" i="26"/>
  <c r="V28" i="26" s="1"/>
  <c r="U28" i="26"/>
  <c r="AJ27" i="26"/>
  <c r="Y27" i="26" s="1"/>
  <c r="AH27" i="26"/>
  <c r="X27" i="26" s="1"/>
  <c r="AF27" i="26"/>
  <c r="W27" i="26" s="1"/>
  <c r="AD27" i="26"/>
  <c r="V27" i="26" s="1"/>
  <c r="U27" i="26"/>
  <c r="AJ26" i="26"/>
  <c r="Y26" i="26" s="1"/>
  <c r="AH26" i="26"/>
  <c r="X26" i="26" s="1"/>
  <c r="AF26" i="26"/>
  <c r="W26" i="26" s="1"/>
  <c r="AD26" i="26"/>
  <c r="V26" i="26"/>
  <c r="U26" i="26"/>
  <c r="AJ25" i="26"/>
  <c r="Y25" i="26" s="1"/>
  <c r="AH25" i="26"/>
  <c r="X25" i="26" s="1"/>
  <c r="AF25" i="26"/>
  <c r="W25" i="26" s="1"/>
  <c r="AD25" i="26"/>
  <c r="V25" i="26"/>
  <c r="U25" i="26"/>
  <c r="AJ24" i="26"/>
  <c r="Y24" i="26" s="1"/>
  <c r="AH24" i="26"/>
  <c r="X24" i="26" s="1"/>
  <c r="AF24" i="26"/>
  <c r="AD24" i="26"/>
  <c r="W24" i="26"/>
  <c r="V24" i="26"/>
  <c r="U24" i="26"/>
  <c r="AJ23" i="26"/>
  <c r="Y23" i="26" s="1"/>
  <c r="AH23" i="26"/>
  <c r="X23" i="26" s="1"/>
  <c r="AF23" i="26"/>
  <c r="W23" i="26" s="1"/>
  <c r="AD23" i="26"/>
  <c r="V23" i="26" s="1"/>
  <c r="U23" i="26"/>
  <c r="AJ22" i="26"/>
  <c r="AH22" i="26"/>
  <c r="AF22" i="26"/>
  <c r="W22" i="26" s="1"/>
  <c r="AD22" i="26"/>
  <c r="V22" i="26" s="1"/>
  <c r="Y22" i="26"/>
  <c r="X22" i="26"/>
  <c r="U22" i="26"/>
  <c r="AJ21" i="26"/>
  <c r="Y21" i="26" s="1"/>
  <c r="AH21" i="26"/>
  <c r="X21" i="26" s="1"/>
  <c r="AF21" i="26"/>
  <c r="AD21" i="26"/>
  <c r="W21" i="26"/>
  <c r="V21" i="26"/>
  <c r="U21" i="26"/>
  <c r="AJ20" i="26"/>
  <c r="Y20" i="26" s="1"/>
  <c r="AH20" i="26"/>
  <c r="X20" i="26" s="1"/>
  <c r="AF20" i="26"/>
  <c r="W20" i="26" s="1"/>
  <c r="AD20" i="26"/>
  <c r="V20" i="26"/>
  <c r="U20" i="26"/>
  <c r="AJ19" i="26"/>
  <c r="AH19" i="26"/>
  <c r="AF19" i="26"/>
  <c r="W19" i="26" s="1"/>
  <c r="AD19" i="26"/>
  <c r="V19" i="26" s="1"/>
  <c r="Y19" i="26"/>
  <c r="X19" i="26"/>
  <c r="U19" i="26"/>
  <c r="AJ18" i="26"/>
  <c r="Y18" i="26" s="1"/>
  <c r="AH18" i="26"/>
  <c r="X18" i="26" s="1"/>
  <c r="AF18" i="26"/>
  <c r="W18" i="26" s="1"/>
  <c r="AD18" i="26"/>
  <c r="V18" i="26" s="1"/>
  <c r="U18" i="26"/>
  <c r="AJ17" i="26"/>
  <c r="AH17" i="26"/>
  <c r="AF17" i="26"/>
  <c r="W17" i="26" s="1"/>
  <c r="AD17" i="26"/>
  <c r="V17" i="26" s="1"/>
  <c r="Y17" i="26"/>
  <c r="X17" i="26"/>
  <c r="U17" i="26"/>
  <c r="AJ16" i="26"/>
  <c r="Y16" i="26" s="1"/>
  <c r="AH16" i="26"/>
  <c r="X16" i="26" s="1"/>
  <c r="AF16" i="26"/>
  <c r="W16" i="26" s="1"/>
  <c r="AD16" i="26"/>
  <c r="V16" i="26"/>
  <c r="U16" i="26"/>
  <c r="AJ15" i="26"/>
  <c r="Y15" i="26" s="1"/>
  <c r="AH15" i="26"/>
  <c r="X15" i="26" s="1"/>
  <c r="AF15" i="26"/>
  <c r="W15" i="26" s="1"/>
  <c r="AD15" i="26"/>
  <c r="V15" i="26" s="1"/>
  <c r="U15" i="26"/>
  <c r="AJ14" i="26"/>
  <c r="AH14" i="26"/>
  <c r="X14" i="26" s="1"/>
  <c r="AF14" i="26"/>
  <c r="W14" i="26" s="1"/>
  <c r="AD14" i="26"/>
  <c r="Y14" i="26"/>
  <c r="V14" i="26"/>
  <c r="U14" i="26"/>
  <c r="AJ13" i="26"/>
  <c r="Y13" i="26" s="1"/>
  <c r="AH13" i="26"/>
  <c r="X13" i="26" s="1"/>
  <c r="AF13" i="26"/>
  <c r="W13" i="26" s="1"/>
  <c r="AD13" i="26"/>
  <c r="V13" i="26"/>
  <c r="U13" i="26"/>
  <c r="AJ12" i="26"/>
  <c r="Y12" i="26" s="1"/>
  <c r="AH12" i="26"/>
  <c r="X12" i="26" s="1"/>
  <c r="AF12" i="26"/>
  <c r="AD12" i="26"/>
  <c r="W12" i="26"/>
  <c r="V12" i="26"/>
  <c r="U12" i="26"/>
  <c r="N154" i="4"/>
  <c r="V52" i="26" l="1"/>
  <c r="V74" i="26"/>
  <c r="V59" i="26"/>
  <c r="V47" i="26"/>
  <c r="V73" i="26"/>
  <c r="V64" i="26"/>
  <c r="V58" i="26"/>
  <c r="V81" i="26"/>
  <c r="V62" i="26"/>
  <c r="V54" i="26"/>
  <c r="V57" i="26"/>
  <c r="V44" i="26"/>
  <c r="V71" i="26"/>
  <c r="V63" i="26"/>
  <c r="V56" i="26"/>
  <c r="V70" i="26"/>
  <c r="V61" i="26"/>
  <c r="V69" i="26"/>
  <c r="V76" i="26"/>
  <c r="V78" i="26"/>
  <c r="V68" i="26"/>
  <c r="V51" i="26"/>
  <c r="V50" i="26"/>
  <c r="Y59" i="26"/>
  <c r="Y66" i="26"/>
  <c r="Y77" i="26"/>
  <c r="X60" i="26"/>
  <c r="X49" i="26"/>
  <c r="X59" i="26"/>
  <c r="X66" i="26"/>
  <c r="X53" i="26"/>
  <c r="Y60" i="26"/>
  <c r="X80" i="26"/>
  <c r="Y53" i="26"/>
  <c r="Y80" i="26"/>
  <c r="Y42" i="26"/>
  <c r="Y63" i="26"/>
  <c r="X73" i="26"/>
  <c r="X56" i="26"/>
  <c r="X46" i="26"/>
  <c r="Y73" i="26"/>
  <c r="X70" i="26"/>
  <c r="Y56" i="26"/>
  <c r="C123" i="27"/>
  <c r="C194" i="27" s="1"/>
  <c r="C261" i="27" s="1"/>
  <c r="A194" i="27"/>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W70" i="26"/>
  <c r="W72" i="26"/>
  <c r="W60" i="26"/>
  <c r="W48" i="26"/>
  <c r="W79" i="26"/>
  <c r="W67" i="26"/>
  <c r="W55" i="26"/>
  <c r="W43" i="26"/>
  <c r="W74" i="26"/>
  <c r="W62" i="26"/>
  <c r="W50" i="26"/>
  <c r="W81" i="26"/>
  <c r="W77" i="26"/>
  <c r="W73" i="26"/>
  <c r="W69" i="26"/>
  <c r="W59" i="26"/>
  <c r="W56" i="26"/>
  <c r="W53" i="26"/>
  <c r="W76" i="26"/>
  <c r="W52" i="26"/>
  <c r="W49" i="26"/>
  <c r="W46" i="26"/>
  <c r="W80" i="26"/>
  <c r="W65" i="26"/>
  <c r="W45" i="26"/>
  <c r="W42" i="26"/>
  <c r="W68" i="26"/>
  <c r="W64" i="26"/>
  <c r="W61" i="26"/>
  <c r="W58" i="26"/>
  <c r="W75" i="26"/>
  <c r="W71" i="26"/>
  <c r="W57" i="26"/>
  <c r="W54" i="26"/>
  <c r="W51" i="26"/>
  <c r="W78" i="26"/>
  <c r="W47" i="26"/>
  <c r="W44" i="26"/>
  <c r="W66" i="26"/>
  <c r="X77" i="26"/>
  <c r="X65" i="26"/>
  <c r="X79" i="26"/>
  <c r="X67" i="26"/>
  <c r="X55" i="26"/>
  <c r="X43" i="26"/>
  <c r="X74" i="26"/>
  <c r="X62" i="26"/>
  <c r="X50" i="26"/>
  <c r="X81" i="26"/>
  <c r="X69" i="26"/>
  <c r="X57" i="26"/>
  <c r="X45" i="26"/>
  <c r="X76" i="26"/>
  <c r="X44" i="26"/>
  <c r="X47" i="26"/>
  <c r="Y72" i="26"/>
  <c r="Y74" i="26"/>
  <c r="Y62" i="26"/>
  <c r="Y50" i="26"/>
  <c r="Y81" i="26"/>
  <c r="Y69" i="26"/>
  <c r="Y57" i="26"/>
  <c r="Y45" i="26"/>
  <c r="Y76" i="26"/>
  <c r="Y64" i="26"/>
  <c r="Y52" i="26"/>
  <c r="Y44" i="26"/>
  <c r="Y47" i="26"/>
  <c r="Y67" i="26"/>
  <c r="X78" i="26"/>
  <c r="X48" i="26"/>
  <c r="X51" i="26"/>
  <c r="X54" i="26"/>
  <c r="Y78" i="26"/>
  <c r="V42" i="26"/>
  <c r="V45" i="26"/>
  <c r="Y48" i="26"/>
  <c r="Y51" i="26"/>
  <c r="Y54" i="26"/>
  <c r="X71" i="26"/>
  <c r="X75" i="26"/>
  <c r="Y79" i="26"/>
  <c r="X58" i="26"/>
  <c r="X61" i="26"/>
  <c r="X64" i="26"/>
  <c r="X68" i="26"/>
  <c r="Y71" i="26"/>
  <c r="Y75" i="26"/>
  <c r="V80" i="26"/>
  <c r="X42" i="26"/>
  <c r="V46" i="26"/>
  <c r="V49" i="26"/>
  <c r="Y55" i="26"/>
  <c r="Y58" i="26"/>
  <c r="Y61" i="26"/>
  <c r="Y68" i="26"/>
  <c r="X72" i="26"/>
  <c r="X52" i="26"/>
  <c r="V75" i="26"/>
  <c r="V77" i="26"/>
  <c r="V65" i="26"/>
  <c r="V53" i="26"/>
  <c r="V72" i="26"/>
  <c r="V60" i="26"/>
  <c r="V48" i="26"/>
  <c r="V79" i="26"/>
  <c r="V67" i="26"/>
  <c r="V55" i="26"/>
  <c r="V43" i="26"/>
  <c r="Y43" i="26"/>
  <c r="Y46" i="26"/>
  <c r="Y49" i="26"/>
  <c r="V66" i="26"/>
  <c r="A125" i="27" l="1"/>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O18" i="4" l="1"/>
  <c r="K154" i="4" l="1"/>
  <c r="K53" i="4"/>
  <c r="Q168" i="4"/>
  <c r="V181" i="4" s="1"/>
  <c r="Q178" i="4"/>
  <c r="V191" i="4" s="1"/>
  <c r="Q167" i="4"/>
  <c r="V180" i="4" s="1"/>
  <c r="Q147" i="4" l="1"/>
  <c r="Q148" i="4"/>
  <c r="Q149" i="4"/>
  <c r="Q150" i="4"/>
  <c r="Q151" i="4"/>
  <c r="Q152" i="4"/>
  <c r="Q146" i="4"/>
  <c r="Q160" i="4" l="1"/>
  <c r="Q156" i="4"/>
  <c r="I200" i="4" l="1"/>
  <c r="I201" i="4"/>
  <c r="I202" i="4"/>
  <c r="I203" i="4"/>
  <c r="I204" i="4"/>
  <c r="I205" i="4"/>
  <c r="I206" i="4"/>
  <c r="I207" i="4"/>
  <c r="I208" i="4"/>
  <c r="I209" i="4"/>
  <c r="I210" i="4"/>
  <c r="I199" i="4"/>
  <c r="F360" i="4"/>
  <c r="L207" i="4" l="1"/>
  <c r="V220" i="4"/>
  <c r="L202" i="4"/>
  <c r="V215" i="4"/>
  <c r="L209" i="4"/>
  <c r="V222" i="4"/>
  <c r="L208" i="4"/>
  <c r="V221" i="4"/>
  <c r="L206" i="4"/>
  <c r="V219" i="4"/>
  <c r="L205" i="4"/>
  <c r="V218" i="4"/>
  <c r="L204" i="4"/>
  <c r="V217" i="4"/>
  <c r="L203" i="4"/>
  <c r="V216" i="4"/>
  <c r="L201" i="4"/>
  <c r="V214" i="4"/>
  <c r="Z343" i="4"/>
  <c r="Z344" i="4"/>
  <c r="Z342" i="4"/>
  <c r="R307" i="4"/>
  <c r="R306" i="4" a="1"/>
  <c r="R306" i="4" s="1"/>
  <c r="Y318" i="4" l="1"/>
  <c r="Y319" i="4" s="1"/>
  <c r="R308" i="4" s="1"/>
  <c r="R270" i="4" l="1"/>
  <c r="I18" i="4"/>
  <c r="F200" i="4"/>
  <c r="F210" i="4"/>
  <c r="F199" i="4"/>
  <c r="C166" i="4"/>
  <c r="C198" i="4" s="1"/>
  <c r="K50" i="4"/>
  <c r="K54" i="4"/>
  <c r="K64" i="4"/>
  <c r="C52" i="4"/>
  <c r="M59" i="4" l="1"/>
  <c r="O59" i="4" s="1"/>
  <c r="Q59" i="4" s="1"/>
  <c r="C173" i="4" s="1"/>
  <c r="C205" i="4" s="1"/>
  <c r="O205" i="4" s="1"/>
  <c r="C312" i="4" s="1"/>
  <c r="M63" i="4"/>
  <c r="O63" i="4" s="1"/>
  <c r="Q63" i="4" s="1"/>
  <c r="C177" i="4" s="1"/>
  <c r="C209" i="4" s="1"/>
  <c r="O209" i="4" s="1"/>
  <c r="C316" i="4" s="1"/>
  <c r="M57" i="4"/>
  <c r="O57" i="4" s="1"/>
  <c r="Q57" i="4" s="1"/>
  <c r="C171" i="4" s="1"/>
  <c r="C203" i="4" s="1"/>
  <c r="O203" i="4" s="1"/>
  <c r="C310" i="4" s="1"/>
  <c r="M61" i="4"/>
  <c r="O61" i="4" s="1"/>
  <c r="Q61" i="4" s="1"/>
  <c r="C175" i="4" s="1"/>
  <c r="C207" i="4" s="1"/>
  <c r="O207" i="4" s="1"/>
  <c r="C314" i="4" s="1"/>
  <c r="M58" i="4"/>
  <c r="O58" i="4" s="1"/>
  <c r="Q58" i="4" s="1"/>
  <c r="C172" i="4" s="1"/>
  <c r="C204" i="4" s="1"/>
  <c r="O204" i="4" s="1"/>
  <c r="C311" i="4" s="1"/>
  <c r="M62" i="4"/>
  <c r="O62" i="4" s="1"/>
  <c r="Q62" i="4" s="1"/>
  <c r="C176" i="4" s="1"/>
  <c r="C208" i="4" s="1"/>
  <c r="O208" i="4" s="1"/>
  <c r="C315" i="4" s="1"/>
  <c r="M60" i="4"/>
  <c r="O60" i="4" s="1"/>
  <c r="Q60" i="4" s="1"/>
  <c r="C174" i="4" s="1"/>
  <c r="C206" i="4" s="1"/>
  <c r="O206" i="4" s="1"/>
  <c r="C313" i="4" s="1"/>
  <c r="M53" i="4"/>
  <c r="O53" i="4" s="1"/>
  <c r="M56" i="4"/>
  <c r="O56" i="4" s="1"/>
  <c r="M55" i="4"/>
  <c r="O55" i="4" s="1"/>
  <c r="Q55" i="4" s="1"/>
  <c r="C169" i="4" s="1"/>
  <c r="C201" i="4" s="1"/>
  <c r="O201" i="4" s="1"/>
  <c r="C308" i="4" s="1"/>
  <c r="M64" i="4"/>
  <c r="O64" i="4" s="1"/>
  <c r="M54" i="4"/>
  <c r="O54" i="4" s="1"/>
  <c r="C246" i="4" l="1"/>
  <c r="C279" i="4"/>
  <c r="C244" i="4"/>
  <c r="C277" i="4"/>
  <c r="C241" i="4"/>
  <c r="C274" i="4"/>
  <c r="C245" i="4"/>
  <c r="C278" i="4"/>
  <c r="C247" i="4"/>
  <c r="C280" i="4"/>
  <c r="C242" i="4"/>
  <c r="C275" i="4"/>
  <c r="C243" i="4"/>
  <c r="C276" i="4"/>
  <c r="C239" i="4"/>
  <c r="C272" i="4"/>
  <c r="L210" i="4" l="1"/>
  <c r="V223" i="4"/>
  <c r="L200" i="4"/>
  <c r="V213" i="4"/>
  <c r="L199" i="4"/>
  <c r="V212" i="4"/>
  <c r="O29" i="4"/>
  <c r="I21" i="4"/>
  <c r="I29" i="4"/>
  <c r="Q29" i="4" l="1"/>
  <c r="C64" i="4" s="1"/>
  <c r="Q64" i="4" s="1"/>
  <c r="C178" i="4" s="1"/>
  <c r="C210" i="4" s="1"/>
  <c r="O210" i="4" s="1"/>
  <c r="Q21" i="4"/>
  <c r="Q18" i="4"/>
  <c r="C281" i="4" l="1"/>
  <c r="C317" i="4"/>
  <c r="C248" i="4"/>
  <c r="Q54" i="4"/>
  <c r="C56" i="4"/>
  <c r="Q56" i="4" s="1"/>
  <c r="C170" i="4" s="1"/>
  <c r="C202" i="4" s="1"/>
  <c r="O202" i="4" s="1"/>
  <c r="C53" i="4"/>
  <c r="Q53" i="4" s="1"/>
  <c r="C167" i="4" s="1"/>
  <c r="C199" i="4" s="1"/>
  <c r="O199" i="4" s="1"/>
  <c r="Q32" i="4"/>
  <c r="Q31" i="4"/>
  <c r="C309" i="4" l="1"/>
  <c r="C240" i="4"/>
  <c r="C273" i="4"/>
  <c r="C168" i="4"/>
  <c r="C200" i="4" s="1"/>
  <c r="O200" i="4" s="1"/>
  <c r="C306" i="4"/>
  <c r="C270" i="4"/>
  <c r="C237" i="4"/>
  <c r="Q66" i="4"/>
  <c r="Q67" i="4"/>
  <c r="Q33" i="4"/>
  <c r="C307" i="4" l="1"/>
  <c r="Q311" i="4" s="1"/>
  <c r="C238" i="4"/>
  <c r="Q242" i="4" s="1"/>
  <c r="C271" i="4"/>
  <c r="Q273" i="4" s="1"/>
  <c r="L343" i="4" s="1"/>
  <c r="AB343" i="4" s="1"/>
  <c r="Q212" i="4"/>
  <c r="Q213" i="4"/>
  <c r="Q68" i="4"/>
  <c r="Q316" i="4" l="1"/>
  <c r="Q278" i="4"/>
  <c r="Q247" i="4"/>
  <c r="L342" i="4" s="1"/>
  <c r="AB342" i="4" s="1"/>
  <c r="Q238" i="4"/>
  <c r="Z246" i="4" s="1"/>
  <c r="Q241" i="4"/>
  <c r="Q310" i="4"/>
  <c r="Z335" i="4" s="1"/>
  <c r="Q277" i="4"/>
  <c r="Q272" i="4"/>
  <c r="H343" i="4" s="1"/>
  <c r="AA343" i="4" s="1"/>
  <c r="Q315" i="4"/>
  <c r="Q214" i="4"/>
  <c r="Q283" i="4"/>
  <c r="Z249" i="4" l="1"/>
  <c r="Z252" i="4"/>
  <c r="Z297" i="4"/>
  <c r="Z244" i="4"/>
  <c r="Z293" i="4"/>
  <c r="Z287" i="4"/>
  <c r="Q248" i="4"/>
  <c r="P342" i="4" s="1"/>
  <c r="Y342" i="4" s="1"/>
  <c r="Z245" i="4"/>
  <c r="Z243" i="4"/>
  <c r="Z242" i="4"/>
  <c r="Z295" i="4"/>
  <c r="Z290" i="4"/>
  <c r="Z250" i="4"/>
  <c r="Z289" i="4"/>
  <c r="Q239" i="4"/>
  <c r="Y246" i="4" s="1"/>
  <c r="Q240" i="4"/>
  <c r="H342" i="4"/>
  <c r="AA342" i="4" s="1"/>
  <c r="Z292" i="4"/>
  <c r="Z294" i="4"/>
  <c r="Z286" i="4"/>
  <c r="Z296" i="4"/>
  <c r="Z288" i="4"/>
  <c r="Z251" i="4"/>
  <c r="Z291" i="4"/>
  <c r="Z241" i="4"/>
  <c r="Z247" i="4"/>
  <c r="Z248" i="4"/>
  <c r="Z328" i="4"/>
  <c r="Z330" i="4"/>
  <c r="Z327" i="4"/>
  <c r="Z334" i="4"/>
  <c r="Z332" i="4"/>
  <c r="Z331" i="4"/>
  <c r="Z333" i="4"/>
  <c r="Z329" i="4"/>
  <c r="Q275" i="4"/>
  <c r="Y288" i="4" s="1"/>
  <c r="Q276" i="4"/>
  <c r="X289" i="4" s="1"/>
  <c r="Q284" i="4"/>
  <c r="P343" i="4" s="1"/>
  <c r="Y343" i="4" s="1"/>
  <c r="X249" i="4" l="1"/>
  <c r="X241" i="4"/>
  <c r="X242" i="4"/>
  <c r="X243" i="4"/>
  <c r="Y242" i="4"/>
  <c r="X288" i="4"/>
  <c r="Q244" i="4" a="1"/>
  <c r="Q244" i="4" s="1"/>
  <c r="O244" i="4" s="1"/>
  <c r="X251" i="4"/>
  <c r="X247" i="4"/>
  <c r="Y241" i="4"/>
  <c r="Y248" i="4"/>
  <c r="Y250" i="4"/>
  <c r="X250" i="4"/>
  <c r="X244" i="4"/>
  <c r="X246" i="4"/>
  <c r="X245" i="4"/>
  <c r="Y252" i="4"/>
  <c r="Y245" i="4"/>
  <c r="Y251" i="4"/>
  <c r="Y243" i="4"/>
  <c r="Y247" i="4"/>
  <c r="Y244" i="4"/>
  <c r="Y249" i="4"/>
  <c r="X252" i="4"/>
  <c r="X248" i="4"/>
  <c r="Y290" i="4"/>
  <c r="X290" i="4"/>
  <c r="X291" i="4"/>
  <c r="X295" i="4"/>
  <c r="X294" i="4"/>
  <c r="X292" i="4"/>
  <c r="X296" i="4"/>
  <c r="X293" i="4"/>
  <c r="X297" i="4"/>
  <c r="Y289" i="4"/>
  <c r="Y291" i="4"/>
  <c r="Y295" i="4"/>
  <c r="Y294" i="4"/>
  <c r="Y292" i="4"/>
  <c r="Y296" i="4"/>
  <c r="Y293" i="4"/>
  <c r="Y297" i="4"/>
  <c r="Y287" i="4"/>
  <c r="Q280" i="4" a="1"/>
  <c r="Q280" i="4" s="1"/>
  <c r="Y286" i="4"/>
  <c r="X287" i="4"/>
  <c r="X286" i="4"/>
  <c r="Q245" i="4" l="1"/>
  <c r="O280" i="4"/>
  <c r="Q281" i="4"/>
  <c r="Z325" i="4"/>
  <c r="Z324" i="4"/>
  <c r="Z326" i="4"/>
  <c r="H344" i="4"/>
  <c r="AA344" i="4" s="1"/>
  <c r="Q314" i="4"/>
  <c r="Q313" i="4"/>
  <c r="Q322" i="4"/>
  <c r="P344" i="4" s="1"/>
  <c r="Q321" i="4"/>
  <c r="L344" i="4" s="1"/>
  <c r="AB344" i="4" s="1"/>
  <c r="X329" i="4" l="1"/>
  <c r="X332" i="4"/>
  <c r="X333" i="4"/>
  <c r="X330" i="4"/>
  <c r="X334" i="4"/>
  <c r="X335" i="4"/>
  <c r="X331" i="4"/>
  <c r="Y329" i="4"/>
  <c r="Y333" i="4"/>
  <c r="Y335" i="4"/>
  <c r="Y332" i="4"/>
  <c r="Y330" i="4"/>
  <c r="Y334" i="4"/>
  <c r="Y331" i="4"/>
  <c r="Y327" i="4"/>
  <c r="Y328" i="4"/>
  <c r="X327" i="4"/>
  <c r="X328" i="4"/>
  <c r="Y326" i="4"/>
  <c r="Y324" i="4"/>
  <c r="Y325" i="4"/>
  <c r="X325" i="4"/>
  <c r="X326" i="4"/>
  <c r="X324" i="4"/>
  <c r="Y344" i="4"/>
  <c r="H346" i="4"/>
  <c r="H349" i="4" s="1"/>
  <c r="F357" i="4" s="1"/>
  <c r="Q318" i="4" a="1"/>
  <c r="Q318" i="4" s="1"/>
  <c r="H348" i="4" l="1"/>
  <c r="F356" i="4" s="1"/>
  <c r="H347" i="4"/>
  <c r="O318" i="4"/>
  <c r="Q319" i="4"/>
  <c r="N385" i="4" l="1"/>
  <c r="N386" i="4" s="1"/>
  <c r="N520" i="4" s="1"/>
  <c r="F366" i="4"/>
  <c r="F365" i="4"/>
  <c r="P366" i="4"/>
  <c r="Y531" i="4" l="1"/>
  <c r="N523" i="4"/>
  <c r="N526" i="4" s="1"/>
  <c r="N548" i="4" s="1"/>
  <c r="N545" i="4" s="1"/>
  <c r="N546" i="4" s="1"/>
  <c r="T544" i="4" s="1"/>
  <c r="Y530" i="4"/>
  <c r="P365" i="4"/>
  <c r="P367" i="4" s="1"/>
  <c r="A369" i="4" s="1" a="1"/>
  <c r="A36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<sst xmlns="http://schemas.openxmlformats.org/spreadsheetml/2006/main" count="759" uniqueCount="508">
  <si>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</si>
  <si>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</si>
  <si>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</si>
  <si>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</si>
  <si>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</si>
  <si>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</si>
  <si>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</si>
  <si>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</si>
  <si>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</si>
  <si>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</si>
  <si>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</si>
  <si>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</si>
  <si>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</si>
  <si>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</si>
  <si>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</si>
  <si>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</si>
  <si>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</si>
  <si>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</si>
  <si>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</si>
  <si>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</si>
  <si>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</si>
  <si>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</si>
  <si>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</si>
  <si>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</si>
  <si>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</si>
  <si>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</si>
  <si>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</si>
  <si>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</si>
  <si>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</si>
  <si>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</si>
  <si>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</si>
  <si>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</si>
  <si>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</si>
  <si>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</si>
  <si>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</si>
  <si>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</si>
  <si>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</si>
  <si>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</si>
  <si>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</si>
  <si>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</si>
  <si>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</si>
  <si>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</si>
  <si>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</si>
  <si>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</si>
  <si>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</si>
  <si>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</si>
  <si>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</si>
  <si>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</si>
  <si>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</si>
  <si>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</si>
  <si>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</si>
  <si>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</si>
  <si>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</si>
  <si>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</si>
  <si>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</si>
  <si>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</si>
  <si>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</si>
  <si>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</si>
  <si>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</si>
  <si>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</si>
  <si>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</si>
  <si>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</si>
  <si>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</si>
  <si>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</si>
  <si>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</si>
  <si>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</si>
  <si>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</si>
  <si>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</si>
  <si>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</si>
  <si>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 GRAU DE PRECISÃO, CAMPO DE ARBÍTRIO</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</si>
  <si>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</si>
  <si>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</si>
  <si>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</si>
  <si>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</si>
  <si>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</si>
  <si>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</si>
  <si>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</si>
  <si>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</si>
  <si>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</si>
  <si>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</si>
  <si>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</si>
  <si>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</si>
  <si>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</si>
  <si>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</si>
  <si>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</si>
  <si>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</si>
  <si>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</si>
  <si>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</si>
  <si>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</si>
  <si>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</si>
  <si>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</si>
  <si>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</si>
  <si>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</si>
  <si>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</si>
  <si>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</si>
  <si>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</si>
  <si>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</si>
  <si>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</si>
  <si>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</si>
  <si>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</si>
  <si>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</si>
  <si>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</si>
  <si>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</si>
  <si>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</si>
  <si>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</si>
  <si>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</si>
  <si>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</si>
  <si>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</si>
  <si>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</si>
  <si>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</si>
  <si>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</si>
  <si>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</si>
  <si>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</si>
  <si>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</si>
  <si>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</si>
  <si>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</si>
  <si>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</si>
  <si>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</si>
  <si>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</si>
  <si>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</si>
  <si>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</si>
  <si>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</si>
  <si>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</si>
  <si>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</si>
  <si>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</si>
  <si>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</si>
  <si>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</si>
  <si>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</si>
  <si>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</si>
  <si>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</si>
  <si>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</si>
  <si>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</si>
  <si>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</si>
  <si>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</si>
  <si>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</si>
  <si>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</si>
  <si>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</si>
  <si>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</si>
  <si>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</si>
  <si>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</si>
  <si>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</si>
  <si>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</si>
  <si>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</si>
  <si>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</si>
  <si>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</si>
  <si>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</si>
  <si>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</si>
  <si>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</si>
  <si>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</si>
  <si>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</si>
  <si>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</si>
  <si>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</si>
  <si>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</si>
  <si>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</si>
  <si>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</si>
  <si>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</si>
  <si>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</si>
  <si>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</si>
  <si>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</si>
  <si>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</si>
  <si>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</si>
  <si>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</si>
  <si>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</si>
  <si>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</si>
  <si>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</si>
  <si>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</si>
  <si>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</si>
  <si>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</si>
  <si>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</si>
  <si>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</si>
  <si>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</si>
  <si>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</si>
  <si>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</si>
  <si>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</si>
  <si>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</si>
  <si>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</si>
  <si>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</si>
  <si>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</si>
  <si>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</si>
  <si>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</si>
  <si>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</si>
  <si>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</si>
  <si>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</si>
  <si>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</si>
  <si>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</si>
  <si>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</si>
  <si>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</si>
  <si>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</si>
  <si>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</si>
  <si>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</si>
  <si>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</si>
  <si>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</si>
  <si>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</si>
  <si>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</si>
  <si>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</si>
  <si>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</si>
  <si>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</si>
  <si>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</si>
  <si>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</si>
  <si>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</si>
  <si>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</si>
  <si>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</si>
  <si>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</si>
  <si>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</si>
  <si>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</si>
  <si>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</si>
  <si>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</si>
  <si>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</si>
  <si>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</si>
  <si>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</si>
  <si>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</si>
  <si>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</si>
  <si>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</si>
  <si>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</si>
  <si>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</si>
  <si>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</si>
  <si>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</si>
  <si>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</si>
  <si>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</si>
  <si>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</si>
  <si>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</si>
  <si>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</si>
  <si>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</si>
  <si>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</si>
  <si>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</si>
  <si>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</si>
  <si>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</si>
  <si>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</si>
  <si>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</si>
  <si>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</si>
  <si>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</si>
  <si>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</si>
  <si>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</si>
  <si>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</si>
  <si>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</si>
  <si>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</si>
  <si>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</si>
  <si>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</si>
  <si>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</si>
  <si>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</si>
  <si>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</si>
  <si>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</si>
  <si>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</si>
  <si>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</si>
  <si>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</si>
  <si>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</si>
  <si>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</si>
  <si>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</si>
  <si>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</si>
  <si>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</si>
  <si>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</si>
  <si>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</si>
  <si>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</si>
  <si>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</si>
  <si>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</si>
  <si>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</si>
  <si>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</si>
  <si>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</si>
  <si>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</si>
  <si>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</si>
  <si>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</si>
  <si>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</si>
  <si>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</si>
  <si>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</si>
  <si>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</si>
  <si>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</si>
  <si>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</si>
  <si>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Pequena estrutura e residencial de luxo</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</si>
  <si>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</si>
  <si>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</si>
  <si>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</si>
  <si>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</si>
  <si>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</si>
  <si>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</si>
  <si>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</si>
  <si>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</si>
  <si>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</si>
  <si>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</si>
  <si>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</si>
  <si>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</si>
  <si>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</si>
  <si>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</si>
  <si>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</si>
  <si>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</si>
  <si>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</si>
  <si>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</si>
  <si>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</si>
  <si>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</si>
  <si>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</si>
  <si>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</si>
  <si>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</si>
  <si>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</si>
  <si>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</si>
  <si>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</si>
  <si>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</si>
  <si>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</si>
  <si>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</si>
  <si>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</si>
  <si>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</si>
  <si>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</si>
  <si>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</si>
  <si>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</si>
  <si>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</si>
  <si>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</si>
  <si>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</si>
  <si>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</si>
  <si>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</si>
  <si>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</si>
  <si>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</si>
  <si>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</si>
  <si>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</si>
  <si>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</si>
  <si>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</si>
  <si>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</si>
  <si>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</si>
  <si>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</si>
  <si>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</si>
  <si>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</si>
  <si>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</si>
  <si>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</si>
  <si>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</si>
  <si>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</si>
  <si>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</si>
  <si>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</si>
  <si>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</si>
  <si>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</si>
  <si>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</si>
  <si>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</si>
  <si>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</si>
  <si>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</si>
  <si>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</si>
  <si>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</si>
  <si>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</si>
  <si>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</si>
  <si>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</si>
  <si>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</si>
  <si>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</si>
  <si>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</si>
  <si>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</si>
  <si>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</si>
  <si>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</si>
  <si>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</si>
  <si>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</si>
  <si>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</si>
  <si>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</si>
  <si>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</si>
  <si>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</si>
  <si>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</si>
  <si>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</si>
  <si>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</si>
  <si>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</si>
  <si>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</si>
  <si>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</si>
  <si>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</si>
  <si>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</si>
  <si>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</si>
  <si>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</si>
  <si>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</si>
  <si>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</si>
  <si>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</si>
  <si>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</si>
  <si>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</si>
  <si>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t>E, por fim, os coeficiente foram convertidos para fatores multiplicadores, providência essa que simplifica e torna mais prático o cálculo da depreciação. Essa conversão foi feita com o auxílio da seguinte equação:</t>
  </si>
  <si>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</si>
  <si>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</si>
  <si>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</si>
  <si>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</si>
  <si>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</si>
  <si>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</si>
  <si>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</si>
  <si>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</si>
  <si>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</si>
  <si>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</si>
  <si>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</si>
  <si>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</si>
  <si>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</si>
  <si>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</si>
  <si>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</si>
  <si>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</si>
  <si>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</si>
  <si>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</si>
  <si>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</si>
  <si>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</si>
  <si>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</si>
  <si>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Custo unitário específico para o projeto:</t>
  </si>
  <si>
    <t>Custo de reprodução da benfeitoria</t>
  </si>
  <si>
    <t>Cálculo da depreciação pelo método Ross-Heidecke</t>
  </si>
  <si>
    <t>Idade aparente da benfeitoria:</t>
  </si>
  <si>
    <t>Vida útil referencial</t>
  </si>
  <si>
    <t>Relação percentual:</t>
  </si>
  <si>
    <t>O resultado bruto da equação acima deve ser convertido para o respectivo de fator de depreciação, sendo feito:</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</si>
  <si>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</si>
  <si>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</si>
  <si>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</si>
  <si>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</si>
  <si>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</si>
  <si>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</si>
  <si>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</si>
  <si>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</si>
  <si>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</si>
  <si>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</si>
  <si>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</si>
  <si>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</si>
  <si>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</si>
  <si>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</si>
  <si>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</si>
  <si>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</si>
  <si>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</si>
  <si>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</si>
  <si>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</si>
  <si>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</si>
  <si>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</si>
  <si>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</si>
  <si>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</si>
  <si>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r>
      <t>M</t>
    </r>
    <r>
      <rPr>
        <vertAlign val="subscript"/>
        <sz val="10"/>
        <rFont val="Aptos"/>
        <family val="2"/>
      </rPr>
      <t>p1</t>
    </r>
  </si>
  <si>
    <r>
      <t>M</t>
    </r>
    <r>
      <rPr>
        <vertAlign val="subscript"/>
        <sz val="10"/>
        <rFont val="Aptos"/>
        <family val="2"/>
      </rPr>
      <t>p2</t>
    </r>
  </si>
  <si>
    <r>
      <t>M</t>
    </r>
    <r>
      <rPr>
        <vertAlign val="subscript"/>
        <sz val="10"/>
        <rFont val="Aptos"/>
        <family val="2"/>
      </rPr>
      <t>p3</t>
    </r>
  </si>
  <si>
    <r>
      <t>M</t>
    </r>
    <r>
      <rPr>
        <vertAlign val="subscript"/>
        <sz val="10"/>
        <rFont val="Aptos"/>
        <family val="2"/>
      </rPr>
      <t>p4</t>
    </r>
  </si>
  <si>
    <r>
      <t>M</t>
    </r>
    <r>
      <rPr>
        <vertAlign val="subscript"/>
        <sz val="10"/>
        <rFont val="Aptos"/>
        <family val="2"/>
      </rPr>
      <t>p5</t>
    </r>
  </si>
  <si>
    <r>
      <t>M</t>
    </r>
    <r>
      <rPr>
        <vertAlign val="subscript"/>
        <sz val="10"/>
        <rFont val="Aptos"/>
        <family val="2"/>
      </rPr>
      <t>p6</t>
    </r>
  </si>
  <si>
    <r>
      <t>M</t>
    </r>
    <r>
      <rPr>
        <vertAlign val="subscript"/>
        <sz val="10"/>
        <rFont val="Aptos"/>
        <family val="2"/>
      </rPr>
      <t>p7</t>
    </r>
  </si>
  <si>
    <r>
      <t xml:space="preserve">Somatório das porcentagens correspondentes aos melhoramentos públicos </t>
    </r>
    <r>
      <rPr>
        <b/>
        <sz val="10"/>
        <rFont val="Aptos"/>
        <family val="2"/>
      </rPr>
      <t>presentes no paradigma e ausentes no bem avaliando</t>
    </r>
  </si>
  <si>
    <r>
      <t>Fator do item da amostra (f</t>
    </r>
    <r>
      <rPr>
        <vertAlign val="subscript"/>
        <sz val="10"/>
        <rFont val="Aptos"/>
        <family val="2"/>
      </rPr>
      <t>tr</t>
    </r>
    <r>
      <rPr>
        <sz val="10"/>
        <rFont val="Aptos"/>
        <family val="2"/>
      </rPr>
      <t>)</t>
    </r>
  </si>
  <si>
    <r>
      <t>Fator do bem avaliando (f</t>
    </r>
    <r>
      <rPr>
        <vertAlign val="subscript"/>
        <sz val="10"/>
        <rFont val="Aptos"/>
        <family val="2"/>
      </rPr>
      <t>a</t>
    </r>
    <r>
      <rPr>
        <sz val="10"/>
        <rFont val="Aptos"/>
        <family val="2"/>
      </rPr>
      <t>)</t>
    </r>
  </si>
  <si>
    <r>
      <t>t</t>
    </r>
    <r>
      <rPr>
        <vertAlign val="subscript"/>
        <sz val="10"/>
        <rFont val="Aptos"/>
        <family val="2"/>
      </rPr>
      <t>crítico</t>
    </r>
  </si>
  <si>
    <r>
      <rPr>
        <b/>
        <sz val="10"/>
        <rFont val="Aptos"/>
        <family val="2"/>
      </rPr>
      <t>NBR 14653-2:2011. Avaliação de bens. Parte 2: Imóveis urbanos.
Item 9.2.3</t>
    </r>
    <r>
      <rPr>
        <sz val="10"/>
        <rFont val="Aptos"/>
        <family val="2"/>
      </rPr>
      <t xml:space="preserve"> O grau de precisão deve estar conforme a Tabela 5.</t>
    </r>
  </si>
  <si>
    <t>Calculo da depreciação Ross (alfa)</t>
  </si>
  <si>
    <t>Os valores brutos de depreciação do método Ross correspondem ao ponto médio entre o método da reta (linear) e o método Kuentzle (parábola); portanto, os valores de depreciação Ross podem ser calculados com o auxílio da seguinte equação:</t>
  </si>
  <si>
    <t>alfa:</t>
  </si>
  <si>
    <t>Considerando-se que, durante a vistoria, foram constatados mais de um estado de conservação, será aplicada a tabela de depreciação por etapas, observando-se os itens e os pesos apresentador por Fiker (2019, p. 76).</t>
  </si>
  <si>
    <t>Etapas</t>
  </si>
  <si>
    <t>Peso percentual</t>
  </si>
  <si>
    <t>a) serviços para instalação da obra: preparo e limpeza do terreno, casa do guarda, instalações; b) projeto: cálculos, desenhos, detalhes e cópias; c) início da obra: emolumentos, impostos, taxas, ligações (água, luz e força)</t>
  </si>
  <si>
    <t>Movimento de terra: abertura de valas para alicerces *</t>
  </si>
  <si>
    <t>Alvenarias (inclusive andaimes e impermeabilizações)</t>
  </si>
  <si>
    <t>Estruturas (concreto armado, inclusive para fundações)</t>
  </si>
  <si>
    <t>Cobertura (armação e telhas)</t>
  </si>
  <si>
    <t>Forros</t>
  </si>
  <si>
    <t>Revestimento (inclusive barras)</t>
  </si>
  <si>
    <t>Pisos, rodapés e soleiras (inclusive concreto magro nos pisos sobre a terra e enchimento das lajes rebaixadas, pavimentações externas e impermeabilizações)</t>
  </si>
  <si>
    <t>Serviços de encanador (inclusive funilaria e águas pluviais)</t>
  </si>
  <si>
    <t>Aparelhos sanitários (inclusive caixas d'água)</t>
  </si>
  <si>
    <t>Serviços de eletricidade</t>
  </si>
  <si>
    <t>Aparelhos elétricos e de iluminação (com colocação)</t>
  </si>
  <si>
    <t>Esquadrias de madeira (com colocação)</t>
  </si>
  <si>
    <t>Serviços de marcenaria (que se integram à obra)</t>
  </si>
  <si>
    <t>Serralheria</t>
  </si>
  <si>
    <t>Ferragens (com colocação)</t>
  </si>
  <si>
    <t>Vidros (com colocação)</t>
  </si>
  <si>
    <t>Serviços de pintura</t>
  </si>
  <si>
    <t>Jardins (muito variável)</t>
  </si>
  <si>
    <t>Diversos: mármores ou outro material para pias, degraus, soleiras, tanques, prateleiras; lareira; embutimento de pias, banheiras, saboneteiras, porta-papéis, espelhos e eventuais</t>
  </si>
  <si>
    <t>Raspagem e limpeza</t>
  </si>
  <si>
    <t>Coeficiente Heidecke</t>
  </si>
  <si>
    <t>Depreciação parcial</t>
  </si>
  <si>
    <t>* nas residências assobradadas, este item corresponde a percentuais maiores (cerca de 30% ou mais).</t>
  </si>
  <si>
    <t>Soma</t>
  </si>
  <si>
    <t>Coeficiente específico</t>
  </si>
  <si>
    <r>
      <t xml:space="preserve">Portanto, levando em consideração o </t>
    </r>
    <r>
      <rPr>
        <b/>
        <sz val="10"/>
        <rFont val="Arial Nova"/>
        <family val="2"/>
      </rPr>
      <t>peso atribuído a cada etapa da obra</t>
    </r>
    <r>
      <rPr>
        <sz val="10"/>
        <rFont val="Arial Nova"/>
        <family val="2"/>
      </rPr>
      <t>, conforme tabela apresentada acima, o coeficiente de depreciação específico apurado pelo método Heidecke (c) é de</t>
    </r>
  </si>
  <si>
    <t>Por fim, a depreciação Ross-Heidecke será calculada com o auxílio das seguintes equações:</t>
  </si>
  <si>
    <t>Linha</t>
  </si>
  <si>
    <t>Coluna</t>
  </si>
  <si>
    <t>Índice</t>
  </si>
  <si>
    <t>Valor relativo específico da tabela Heidecke:</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</si>
  <si>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</si>
  <si>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</si>
  <si>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</si>
  <si>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</si>
  <si>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</si>
  <si>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</si>
  <si>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</si>
  <si>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</si>
  <si>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</si>
  <si>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</si>
  <si>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</si>
  <si>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</si>
  <si>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______. Prática de avaliação de imóveis: método moderno. 2. ed. revista melhorada. São Paulo: Edições Livraria Legislação Brasileira. 1968.</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</si>
  <si>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rFont val="Arial Nova"/>
        <family val="2"/>
      </rPr>
      <t xml:space="preserve">: A, B, C, D, E, F, G, H, e I.
2. </t>
    </r>
    <r>
      <rPr>
        <b/>
        <sz val="10"/>
        <rFont val="Arial Nova"/>
        <family val="2"/>
      </rPr>
      <t>por números</t>
    </r>
    <r>
      <rPr>
        <sz val="10"/>
        <rFont val="Arial Nova"/>
        <family val="2"/>
      </rPr>
      <t xml:space="preserve">: 1; 1,5; 2; 2,5; 3; 3,5; 4; 4,5, e 5.
3. </t>
    </r>
    <r>
      <rPr>
        <b/>
        <sz val="10"/>
        <rFont val="Arial Nova"/>
        <family val="2"/>
      </rPr>
      <t>pela situação das edificações</t>
    </r>
    <r>
      <rPr>
        <sz val="10"/>
        <rFont val="Arial Nova"/>
        <family val="2"/>
      </rPr>
      <t xml:space="preserve">: ótimo, muito bom, bom, intermédio, regular, deficiente, mau, muito mau, e demolição.
</t>
    </r>
    <r>
      <rPr>
        <b/>
        <sz val="10"/>
        <rFont val="Arial Nova"/>
        <family val="2"/>
      </rPr>
      <t>4. pelos códigos</t>
    </r>
    <r>
      <rPr>
        <sz val="10"/>
        <rFont val="Arial Nova"/>
        <family val="2"/>
      </rPr>
      <t>: O, MB, B, I, R, D, M, MM, e DM.</t>
    </r>
  </si>
  <si>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rFont val="Arial Nova"/>
        <family val="2"/>
      </rPr>
      <t>)</t>
    </r>
  </si>
  <si>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rFont val="Arial Nova"/>
        <family val="2"/>
      </rPr>
      <t xml:space="preserve"> )</t>
    </r>
  </si>
  <si>
    <t>Preço</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</si>
  <si>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</si>
  <si>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</si>
  <si>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</si>
  <si>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</si>
  <si>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</si>
  <si>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Fator mínimo</t>
  </si>
  <si>
    <t>Elementos da amostra antes da homogeneização</t>
  </si>
  <si>
    <t>Fator máximo</t>
  </si>
  <si>
    <t>Faixa inalterável</t>
  </si>
  <si>
    <t>Elementos da amostra após a homogeneização</t>
  </si>
  <si>
    <t>Frente padrão para a zona</t>
  </si>
  <si>
    <t>Plano, em nível</t>
  </si>
  <si>
    <t>Seco</t>
  </si>
  <si>
    <t>Dentro dos limites mínimo e máximo</t>
  </si>
  <si>
    <t>Meio de quadra</t>
  </si>
  <si>
    <t>Característica do terreno padrão</t>
  </si>
  <si>
    <t>Fator do terreno padrão</t>
  </si>
  <si>
    <t>Área da benfeitoria:</t>
  </si>
  <si>
    <t>Terreno à venda</t>
  </si>
  <si>
    <t>Elemento comparativo</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</si>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</sst>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_ ;[Red]\-#,##0.0000\ "/>
    <numFmt numFmtId="176" formatCode="0.0%"/>
  </numFmts>
  <fonts count="23"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i/>
      <vertAlign val="subscript"/>
      <sz val="10"/>
      <name val="Arial Nova"/>
      <family val="2"/>
    </font>
    <font>
      <b/>
      <sz val="10"/>
      <name val="Aptos"/>
      <family val="2"/>
    </font>
    <font>
      <sz val="10"/>
      <name val="Aptos"/>
      <family val="2"/>
    </font>
    <font>
      <i/>
      <sz val="10"/>
      <name val="Aptos"/>
      <family val="2"/>
    </font>
    <font>
      <vertAlign val="subscript"/>
      <sz val="10"/>
      <name val="Aptos"/>
      <family val="2"/>
    </font>
    <font>
      <b/>
      <sz val="10.5"/>
      <name val="Aptos"/>
      <family val="2"/>
    </font>
    <font>
      <sz val="11"/>
      <color theme="0"/>
      <name val="Aptos"/>
      <family val="2"/>
    </font>
    <font>
      <sz val="10"/>
      <color theme="0"/>
      <name val="Arial Nova"/>
      <family val="2"/>
    </font>
    <font>
      <b/>
      <sz val="11"/>
      <color theme="0"/>
      <name val="Arial"/>
      <family val="2"/>
    </font>
    <font>
      <sz val="10"/>
      <color theme="0"/>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
      <patternFill patternType="solid">
        <fgColor theme="0"/>
        <bgColor indexed="64"/>
      </patternFill>
    </fill>
  </fills>
  <borders count="4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2">
    <xf numFmtId="0" fontId="0" fillId="0" borderId="0" xfId="0"/>
    <xf numFmtId="0" fontId="3" fillId="0" borderId="0" xfId="0" applyFont="1" applyAlignment="1" applyProtection="1">
      <alignment horizontal="justify" vertical="center" wrapText="1"/>
      <protection hidden="1"/>
    </xf>
    <xf numFmtId="0" fontId="4" fillId="0" borderId="0" xfId="0" applyFont="1" applyAlignment="1" applyProtection="1">
      <alignment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top" wrapText="1"/>
      <protection hidden="1"/>
    </xf>
    <xf numFmtId="0" fontId="3" fillId="0" borderId="26" xfId="0" applyFont="1" applyBorder="1" applyAlignment="1" applyProtection="1">
      <alignment horizontal="justify" vertical="center" wrapText="1"/>
      <protection hidden="1"/>
    </xf>
    <xf numFmtId="0" fontId="3" fillId="0" borderId="31" xfId="0" applyFont="1" applyBorder="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0" fontId="0" fillId="0" borderId="0" xfId="0" applyProtection="1">
      <protection hidden="1"/>
    </xf>
    <xf numFmtId="0" fontId="15" fillId="4" borderId="0" xfId="0" applyFont="1" applyFill="1" applyAlignment="1" applyProtection="1">
      <alignment vertical="center" wrapText="1"/>
      <protection hidden="1"/>
    </xf>
    <xf numFmtId="0" fontId="15" fillId="0" borderId="0" xfId="0" applyFont="1" applyAlignment="1" applyProtection="1">
      <alignment vertical="center" wrapText="1"/>
      <protection hidden="1"/>
    </xf>
    <xf numFmtId="0" fontId="15" fillId="3" borderId="2" xfId="0" applyFont="1" applyFill="1" applyBorder="1" applyAlignment="1" applyProtection="1">
      <alignment horizontal="center" vertical="center" wrapText="1"/>
      <protection hidden="1"/>
    </xf>
    <xf numFmtId="0" fontId="15" fillId="0" borderId="5" xfId="0" applyFont="1" applyBorder="1" applyAlignment="1" applyProtection="1">
      <alignment vertical="center" wrapText="1"/>
      <protection hidden="1"/>
    </xf>
    <xf numFmtId="164" fontId="15" fillId="0" borderId="5" xfId="0" applyNumberFormat="1" applyFont="1" applyBorder="1" applyAlignment="1" applyProtection="1">
      <alignment vertical="center" wrapText="1"/>
      <protection locked="0"/>
    </xf>
    <xf numFmtId="164" fontId="15" fillId="0" borderId="14" xfId="0" applyNumberFormat="1" applyFont="1" applyBorder="1" applyAlignment="1" applyProtection="1">
      <alignment vertical="center" wrapText="1"/>
      <protection locked="0"/>
    </xf>
    <xf numFmtId="164" fontId="15" fillId="0" borderId="0" xfId="0" applyNumberFormat="1" applyFont="1" applyAlignment="1" applyProtection="1">
      <alignment vertical="center" wrapText="1"/>
      <protection hidden="1"/>
    </xf>
    <xf numFmtId="0" fontId="16" fillId="0" borderId="0" xfId="0" applyFont="1" applyAlignment="1" applyProtection="1">
      <alignment horizontal="center" vertical="center" wrapText="1"/>
      <protection hidden="1"/>
    </xf>
    <xf numFmtId="164" fontId="15" fillId="3" borderId="14" xfId="0" applyNumberFormat="1" applyFont="1" applyFill="1" applyBorder="1" applyAlignment="1" applyProtection="1">
      <alignment vertical="center" wrapText="1"/>
      <protection hidden="1"/>
    </xf>
    <xf numFmtId="9" fontId="15" fillId="0" borderId="0" xfId="2" applyFont="1" applyAlignment="1" applyProtection="1">
      <alignment vertical="center" wrapText="1"/>
      <protection hidden="1"/>
    </xf>
    <xf numFmtId="9" fontId="15" fillId="0" borderId="0" xfId="0" applyNumberFormat="1" applyFont="1" applyAlignment="1" applyProtection="1">
      <alignment vertical="center" wrapText="1"/>
      <protection hidden="1"/>
    </xf>
    <xf numFmtId="43" fontId="15" fillId="0" borderId="0" xfId="1" applyFont="1" applyAlignment="1" applyProtection="1">
      <alignment vertical="center" wrapText="1"/>
      <protection hidden="1"/>
    </xf>
    <xf numFmtId="0" fontId="15" fillId="3" borderId="2" xfId="0" applyFont="1" applyFill="1" applyBorder="1" applyAlignment="1" applyProtection="1">
      <alignment vertical="center" wrapText="1"/>
      <protection hidden="1"/>
    </xf>
    <xf numFmtId="4" fontId="15" fillId="0" borderId="5" xfId="2" applyNumberFormat="1" applyFont="1" applyFill="1" applyBorder="1" applyAlignment="1" applyProtection="1">
      <alignment horizontal="right" vertical="center" wrapText="1" readingOrder="1"/>
      <protection locked="0"/>
    </xf>
    <xf numFmtId="4" fontId="15" fillId="0" borderId="14" xfId="2" applyNumberFormat="1" applyFont="1" applyFill="1" applyBorder="1" applyAlignment="1" applyProtection="1">
      <alignment horizontal="right" vertical="center" wrapText="1" readingOrder="1"/>
      <protection locked="0"/>
    </xf>
    <xf numFmtId="10" fontId="15" fillId="0" borderId="0" xfId="2" applyNumberFormat="1" applyFont="1" applyBorder="1" applyAlignment="1" applyProtection="1">
      <alignment horizontal="right" vertical="center" wrapText="1"/>
      <protection hidden="1"/>
    </xf>
    <xf numFmtId="0" fontId="15" fillId="0" borderId="0" xfId="0" applyFont="1" applyAlignment="1" applyProtection="1">
      <alignment horizontal="justify" wrapText="1"/>
      <protection hidden="1"/>
    </xf>
    <xf numFmtId="0" fontId="3" fillId="0" borderId="0" xfId="0" applyFont="1" applyAlignment="1" applyProtection="1">
      <alignment vertical="center" wrapText="1"/>
      <protection hidden="1"/>
    </xf>
    <xf numFmtId="4" fontId="15" fillId="0" borderId="1" xfId="2" applyNumberFormat="1" applyFont="1" applyFill="1" applyBorder="1" applyAlignment="1" applyProtection="1">
      <alignment horizontal="right" vertical="center" wrapText="1" readingOrder="1"/>
      <protection hidden="1"/>
    </xf>
    <xf numFmtId="0" fontId="7" fillId="0" borderId="0" xfId="0" applyFont="1" applyAlignment="1" applyProtection="1">
      <alignment vertical="center" wrapText="1"/>
      <protection hidden="1"/>
    </xf>
    <xf numFmtId="0" fontId="7" fillId="0" borderId="0" xfId="0" applyFont="1" applyAlignment="1" applyProtection="1">
      <alignment horizontal="justify" vertical="center" wrapText="1" readingOrder="1"/>
      <protection hidden="1"/>
    </xf>
    <xf numFmtId="0" fontId="6" fillId="0" borderId="2" xfId="0" applyFont="1" applyBorder="1" applyAlignment="1" applyProtection="1">
      <alignment vertical="center" wrapText="1"/>
      <protection hidden="1"/>
    </xf>
    <xf numFmtId="0" fontId="3" fillId="0" borderId="35" xfId="0" applyFont="1" applyBorder="1" applyAlignment="1" applyProtection="1">
      <alignment vertical="center" wrapText="1"/>
      <protection hidden="1"/>
    </xf>
    <xf numFmtId="0" fontId="3" fillId="0" borderId="8" xfId="0" applyFont="1" applyBorder="1" applyAlignment="1" applyProtection="1">
      <alignment vertical="center" wrapText="1"/>
      <protection hidden="1"/>
    </xf>
    <xf numFmtId="0" fontId="3" fillId="0" borderId="8" xfId="0" applyFont="1" applyBorder="1" applyProtection="1">
      <protection hidden="1"/>
    </xf>
    <xf numFmtId="0" fontId="3" fillId="0" borderId="36" xfId="0" applyFont="1" applyBorder="1" applyAlignment="1" applyProtection="1">
      <alignment vertical="center" wrapText="1"/>
      <protection hidden="1"/>
    </xf>
    <xf numFmtId="0" fontId="3" fillId="0" borderId="16"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3" fillId="0" borderId="37" xfId="0" applyFont="1" applyBorder="1" applyAlignment="1" applyProtection="1">
      <alignment vertical="center" wrapText="1"/>
      <protection hidden="1"/>
    </xf>
    <xf numFmtId="0" fontId="3" fillId="0" borderId="2" xfId="0" applyFont="1" applyBorder="1" applyAlignment="1" applyProtection="1">
      <alignment vertical="center" wrapText="1"/>
      <protection hidden="1"/>
    </xf>
    <xf numFmtId="0" fontId="3" fillId="0" borderId="0" xfId="0" applyFont="1" applyAlignment="1" applyProtection="1">
      <alignment horizontal="justify" wrapText="1"/>
      <protection hidden="1"/>
    </xf>
    <xf numFmtId="0" fontId="3" fillId="0" borderId="38" xfId="0"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0" borderId="0" xfId="0" applyFont="1" applyProtection="1">
      <protection hidden="1"/>
    </xf>
    <xf numFmtId="0" fontId="3" fillId="0" borderId="0" xfId="0" applyFont="1" applyAlignment="1" applyProtection="1">
      <alignment horizontal="distributed" wrapText="1"/>
      <protection hidden="1"/>
    </xf>
    <xf numFmtId="0" fontId="20" fillId="0" borderId="0" xfId="0" applyFont="1" applyAlignment="1" applyProtection="1">
      <alignment wrapText="1"/>
      <protection hidden="1"/>
    </xf>
    <xf numFmtId="0" fontId="3" fillId="0" borderId="2" xfId="0" applyFont="1" applyBorder="1" applyAlignment="1" applyProtection="1">
      <alignment horizontal="center" vertical="center" wrapText="1"/>
      <protection locked="0"/>
    </xf>
    <xf numFmtId="0" fontId="19" fillId="0" borderId="0" xfId="0" applyFont="1" applyAlignment="1" applyProtection="1">
      <alignment horizontal="justify" vertical="top" wrapText="1"/>
      <protection hidden="1"/>
    </xf>
    <xf numFmtId="0" fontId="21"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10"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right" vertical="center" wrapText="1"/>
      <protection hidden="1"/>
    </xf>
    <xf numFmtId="170" fontId="19" fillId="0" borderId="0" xfId="0" applyNumberFormat="1" applyFont="1" applyAlignment="1" applyProtection="1">
      <alignment horizontal="right" vertical="center" wrapText="1"/>
      <protection hidden="1"/>
    </xf>
    <xf numFmtId="170" fontId="19" fillId="0" borderId="0" xfId="0" applyNumberFormat="1" applyFont="1" applyAlignment="1" applyProtection="1">
      <alignment horizontal="justify" vertical="top" wrapText="1"/>
      <protection hidden="1"/>
    </xf>
    <xf numFmtId="0" fontId="20" fillId="0" borderId="0" xfId="0" applyFont="1" applyAlignment="1" applyProtection="1">
      <alignment horizontal="justify" vertical="top" wrapText="1"/>
      <protection hidden="1"/>
    </xf>
    <xf numFmtId="0" fontId="20" fillId="0" borderId="0" xfId="0" applyFont="1" applyAlignment="1" applyProtection="1">
      <alignment vertical="center"/>
      <protection hidden="1"/>
    </xf>
    <xf numFmtId="0" fontId="20" fillId="0" borderId="0" xfId="0" applyFont="1" applyAlignment="1" applyProtection="1">
      <alignment horizontal="justify" vertical="center" wrapText="1"/>
      <protection hidden="1"/>
    </xf>
    <xf numFmtId="171" fontId="3" fillId="0" borderId="0" xfId="0" applyNumberFormat="1" applyFont="1" applyAlignment="1" applyProtection="1">
      <alignment horizontal="right" vertical="center" wrapText="1" readingOrder="1"/>
      <protection hidden="1"/>
    </xf>
    <xf numFmtId="172" fontId="3" fillId="0" borderId="0" xfId="0" applyNumberFormat="1" applyFont="1" applyAlignment="1" applyProtection="1">
      <alignment horizontal="right" vertical="center" wrapText="1" readingOrder="1"/>
      <protection hidden="1"/>
    </xf>
    <xf numFmtId="173" fontId="3" fillId="0" borderId="0" xfId="0" applyNumberFormat="1" applyFont="1" applyAlignment="1" applyProtection="1">
      <alignment horizontal="right" vertical="center" wrapText="1" readingOrder="1"/>
      <protection hidden="1"/>
    </xf>
    <xf numFmtId="0" fontId="3" fillId="0" borderId="0" xfId="0" applyFont="1" applyAlignment="1" applyProtection="1">
      <alignment horizontal="right" vertical="center" wrapText="1" readingOrder="1"/>
      <protection hidden="1"/>
    </xf>
    <xf numFmtId="1" fontId="3" fillId="0" borderId="31" xfId="0" applyNumberFormat="1" applyFont="1" applyBorder="1" applyAlignment="1" applyProtection="1">
      <alignment horizontal="right" vertical="center" wrapText="1"/>
      <protection hidden="1"/>
    </xf>
    <xf numFmtId="0" fontId="3" fillId="0" borderId="3" xfId="0" applyFont="1" applyBorder="1" applyAlignment="1" applyProtection="1">
      <alignment horizontal="center" vertical="center" wrapText="1"/>
      <protection hidden="1"/>
    </xf>
    <xf numFmtId="9" fontId="3" fillId="3" borderId="3" xfId="2" applyFont="1" applyFill="1" applyBorder="1" applyAlignment="1" applyProtection="1">
      <alignment horizontal="center" vertical="center" wrapText="1"/>
      <protection hidden="1"/>
    </xf>
    <xf numFmtId="4" fontId="3" fillId="0" borderId="3" xfId="0" applyNumberFormat="1" applyFont="1" applyBorder="1" applyAlignment="1" applyProtection="1">
      <alignment horizontal="right" vertical="center" wrapText="1"/>
      <protection hidden="1"/>
    </xf>
    <xf numFmtId="0" fontId="15" fillId="0" borderId="0" xfId="0" applyFont="1" applyAlignment="1" applyProtection="1">
      <alignment vertical="center"/>
      <protection hidden="1"/>
    </xf>
    <xf numFmtId="9" fontId="3" fillId="0" borderId="3" xfId="2" applyFont="1" applyBorder="1" applyAlignment="1" applyProtection="1">
      <alignment horizontal="center" vertical="center" wrapText="1"/>
      <protection hidden="1"/>
    </xf>
    <xf numFmtId="10" fontId="3" fillId="0" borderId="3" xfId="2" applyNumberFormat="1" applyFont="1" applyBorder="1" applyAlignment="1" applyProtection="1">
      <alignment horizontal="right" vertical="center" wrapText="1"/>
      <protection hidden="1"/>
    </xf>
    <xf numFmtId="0" fontId="7" fillId="0" borderId="0" xfId="0" applyFont="1" applyProtection="1">
      <protection hidden="1"/>
    </xf>
    <xf numFmtId="167" fontId="3" fillId="0" borderId="3" xfId="0" applyNumberFormat="1" applyFont="1" applyBorder="1" applyAlignment="1" applyProtection="1">
      <alignment horizontal="right" vertical="center" wrapText="1"/>
      <protection hidden="1"/>
    </xf>
    <xf numFmtId="0" fontId="0" fillId="0" borderId="0" xfId="0" applyAlignment="1" applyProtection="1">
      <alignment vertical="center"/>
      <protection hidden="1"/>
    </xf>
    <xf numFmtId="0" fontId="10" fillId="0" borderId="0" xfId="0" applyFont="1" applyAlignment="1" applyProtection="1">
      <alignment horizontal="center" vertical="center"/>
      <protection hidden="1"/>
    </xf>
    <xf numFmtId="0" fontId="0" fillId="0" borderId="1"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10" xfId="0" applyBorder="1" applyProtection="1">
      <protection hidden="1"/>
    </xf>
    <xf numFmtId="0" fontId="0" fillId="0" borderId="3" xfId="0" applyBorder="1" applyAlignment="1" applyProtection="1">
      <alignment vertical="center"/>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21" xfId="0" applyBorder="1" applyProtection="1">
      <protection hidden="1"/>
    </xf>
    <xf numFmtId="0" fontId="6" fillId="0" borderId="0" xfId="0" applyFont="1" applyAlignment="1" applyProtection="1">
      <alignment vertical="center"/>
      <protection hidden="1"/>
    </xf>
    <xf numFmtId="0" fontId="6" fillId="0" borderId="10"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16"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0" fillId="0" borderId="1" xfId="0" applyBorder="1" applyAlignment="1" applyProtection="1">
      <alignment vertical="center"/>
      <protection hidden="1"/>
    </xf>
    <xf numFmtId="0" fontId="7" fillId="0" borderId="1" xfId="0" applyFont="1" applyBorder="1" applyAlignment="1" applyProtection="1">
      <alignment vertical="center"/>
      <protection hidden="1"/>
    </xf>
    <xf numFmtId="0" fontId="6" fillId="0" borderId="0" xfId="0" applyFont="1" applyAlignment="1" applyProtection="1">
      <alignment vertical="center" wrapText="1"/>
      <protection hidden="1"/>
    </xf>
    <xf numFmtId="14" fontId="7" fillId="0" borderId="0" xfId="0" applyNumberFormat="1" applyFont="1" applyAlignment="1" applyProtection="1">
      <alignment vertical="center"/>
      <protection hidden="1"/>
    </xf>
    <xf numFmtId="49" fontId="7" fillId="0" borderId="0" xfId="0" applyNumberFormat="1" applyFont="1" applyAlignment="1" applyProtection="1">
      <alignment vertical="center"/>
      <protection hidden="1"/>
    </xf>
    <xf numFmtId="0" fontId="6" fillId="0" borderId="10" xfId="0" applyFont="1" applyBorder="1" applyAlignment="1" applyProtection="1">
      <alignment vertical="center" wrapText="1"/>
      <protection hidden="1"/>
    </xf>
    <xf numFmtId="0" fontId="7" fillId="0" borderId="3" xfId="0" applyFont="1" applyBorder="1" applyAlignment="1" applyProtection="1">
      <alignment vertical="center"/>
      <protection hidden="1"/>
    </xf>
    <xf numFmtId="0" fontId="7" fillId="0" borderId="17" xfId="0" applyFont="1" applyBorder="1" applyAlignment="1" applyProtection="1">
      <alignment vertical="center"/>
      <protection hidden="1"/>
    </xf>
    <xf numFmtId="0" fontId="6" fillId="0" borderId="13"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8" fillId="0" borderId="0" xfId="0" applyFont="1" applyAlignment="1" applyProtection="1">
      <alignment vertical="center"/>
      <protection hidden="1"/>
    </xf>
    <xf numFmtId="0" fontId="6"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0" fontId="22" fillId="0" borderId="0" xfId="0" applyFont="1" applyAlignment="1" applyProtection="1">
      <alignment vertical="center" wrapText="1"/>
      <protection hidden="1"/>
    </xf>
    <xf numFmtId="164" fontId="22" fillId="0" borderId="0" xfId="0" applyNumberFormat="1" applyFont="1" applyAlignment="1" applyProtection="1">
      <alignment vertical="center" wrapText="1"/>
      <protection hidden="1"/>
    </xf>
    <xf numFmtId="0" fontId="19" fillId="0" borderId="0" xfId="0" applyFont="1" applyAlignment="1" applyProtection="1">
      <alignment vertical="center" wrapText="1"/>
      <protection hidden="1"/>
    </xf>
    <xf numFmtId="165" fontId="22" fillId="0" borderId="0" xfId="1" applyNumberFormat="1" applyFont="1" applyBorder="1" applyAlignment="1" applyProtection="1">
      <alignment horizontal="right" vertical="center" wrapText="1"/>
      <protection hidden="1"/>
    </xf>
    <xf numFmtId="10" fontId="22" fillId="0" borderId="0" xfId="0" applyNumberFormat="1" applyFont="1" applyAlignment="1" applyProtection="1">
      <alignment vertical="center" wrapText="1"/>
      <protection hidden="1"/>
    </xf>
    <xf numFmtId="4" fontId="22" fillId="0" borderId="0" xfId="0" applyNumberFormat="1" applyFont="1" applyAlignment="1" applyProtection="1">
      <alignment vertical="center" wrapText="1"/>
      <protection hidden="1"/>
    </xf>
    <xf numFmtId="0" fontId="19" fillId="0" borderId="0" xfId="0" applyFont="1" applyAlignment="1" applyProtection="1">
      <alignment horizontal="left" vertical="center" wrapText="1"/>
      <protection hidden="1"/>
    </xf>
    <xf numFmtId="0" fontId="20" fillId="0" borderId="0" xfId="0" applyFont="1" applyAlignment="1" applyProtection="1">
      <alignment vertical="center" wrapText="1"/>
      <protection hidden="1"/>
    </xf>
    <xf numFmtId="10" fontId="20" fillId="0" borderId="0" xfId="2" applyNumberFormat="1" applyFont="1" applyAlignment="1" applyProtection="1">
      <alignment vertical="center" wrapText="1"/>
      <protection hidden="1"/>
    </xf>
    <xf numFmtId="176" fontId="20" fillId="0" borderId="0" xfId="2" applyNumberFormat="1" applyFont="1" applyAlignment="1" applyProtection="1">
      <alignment vertical="center" wrapText="1"/>
      <protection hidden="1"/>
    </xf>
    <xf numFmtId="0" fontId="15" fillId="0" borderId="0" xfId="0" applyFont="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2" fontId="15" fillId="0" borderId="5" xfId="0" applyNumberFormat="1" applyFont="1" applyBorder="1" applyAlignment="1" applyProtection="1">
      <alignment horizontal="left" vertical="center" wrapText="1"/>
      <protection hidden="1"/>
    </xf>
    <xf numFmtId="164" fontId="19" fillId="0" borderId="0" xfId="0" applyNumberFormat="1" applyFont="1" applyAlignment="1" applyProtection="1">
      <alignment horizontal="left" vertical="center" wrapText="1"/>
      <protection hidden="1"/>
    </xf>
    <xf numFmtId="164" fontId="22" fillId="0" borderId="0" xfId="0" applyNumberFormat="1" applyFont="1" applyAlignment="1" applyProtection="1">
      <alignment horizontal="left" vertical="center" wrapText="1"/>
      <protection hidden="1"/>
    </xf>
    <xf numFmtId="4" fontId="22" fillId="0" borderId="0" xfId="0" applyNumberFormat="1"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3" fillId="0" borderId="0" xfId="0" applyFont="1" applyAlignment="1" applyProtection="1">
      <alignment horizontal="justify" vertical="center" wrapText="1"/>
      <protection hidden="1"/>
    </xf>
    <xf numFmtId="0" fontId="3" fillId="0" borderId="0" xfId="0" applyFont="1" applyAlignment="1" applyProtection="1">
      <alignment horizontal="left" vertical="center" wrapText="1"/>
      <protection hidden="1"/>
    </xf>
    <xf numFmtId="0" fontId="3" fillId="0" borderId="5" xfId="0"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10" fontId="3" fillId="0" borderId="5" xfId="2" applyNumberFormat="1"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164" fontId="2" fillId="0" borderId="2" xfId="0" applyNumberFormat="1" applyFont="1" applyBorder="1" applyAlignment="1" applyProtection="1">
      <alignment horizontal="right" vertical="center" wrapText="1"/>
      <protection hidden="1"/>
    </xf>
    <xf numFmtId="0" fontId="3" fillId="0" borderId="0" xfId="0" applyFont="1" applyAlignment="1" applyProtection="1">
      <alignment horizontal="center" vertical="center" wrapText="1"/>
      <protection hidden="1"/>
    </xf>
    <xf numFmtId="176" fontId="3" fillId="0" borderId="3" xfId="2" applyNumberFormat="1" applyFont="1" applyBorder="1" applyAlignment="1" applyProtection="1">
      <alignment horizontal="right" wrapText="1"/>
      <protection hidden="1"/>
    </xf>
    <xf numFmtId="0" fontId="3" fillId="0" borderId="3" xfId="0" applyFont="1" applyBorder="1" applyAlignment="1" applyProtection="1">
      <alignment horizontal="center" wrapText="1"/>
      <protection locked="0"/>
    </xf>
    <xf numFmtId="0" fontId="3" fillId="0" borderId="3" xfId="0" applyFont="1" applyBorder="1" applyAlignment="1" applyProtection="1">
      <alignment wrapText="1"/>
      <protection hidden="1"/>
    </xf>
    <xf numFmtId="2" fontId="3" fillId="0" borderId="3" xfId="0" applyNumberFormat="1" applyFont="1" applyBorder="1" applyAlignment="1" applyProtection="1">
      <alignment horizontal="right" wrapText="1"/>
      <protection hidden="1"/>
    </xf>
    <xf numFmtId="175" fontId="3" fillId="0" borderId="3" xfId="2" applyNumberFormat="1" applyFont="1" applyBorder="1" applyAlignment="1" applyProtection="1">
      <alignment horizontal="right" wrapText="1"/>
      <protection hidden="1"/>
    </xf>
    <xf numFmtId="0" fontId="3" fillId="0" borderId="2" xfId="0"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175" fontId="3" fillId="0" borderId="5" xfId="0" applyNumberFormat="1" applyFont="1" applyBorder="1" applyAlignment="1" applyProtection="1">
      <alignment vertical="center" wrapText="1"/>
      <protection hidden="1"/>
    </xf>
    <xf numFmtId="0" fontId="3" fillId="0" borderId="0" xfId="0" applyFont="1" applyAlignment="1" applyProtection="1">
      <alignment horizontal="justify" wrapText="1"/>
      <protection hidden="1"/>
    </xf>
    <xf numFmtId="0" fontId="3" fillId="0" borderId="2" xfId="0" applyFont="1" applyBorder="1" applyAlignment="1" applyProtection="1">
      <alignment horizontal="justify" wrapText="1"/>
      <protection hidden="1"/>
    </xf>
    <xf numFmtId="175" fontId="3" fillId="0" borderId="2" xfId="0" applyNumberFormat="1" applyFont="1" applyBorder="1" applyAlignment="1" applyProtection="1">
      <alignment wrapText="1"/>
      <protection hidden="1"/>
    </xf>
    <xf numFmtId="10" fontId="3" fillId="0" borderId="2" xfId="2" applyNumberFormat="1" applyFont="1" applyBorder="1" applyAlignment="1" applyProtection="1">
      <alignment horizontal="right" wrapText="1" indent="1"/>
      <protection hidden="1"/>
    </xf>
    <xf numFmtId="0" fontId="2" fillId="0" borderId="2" xfId="0" applyFont="1" applyBorder="1" applyAlignment="1" applyProtection="1">
      <alignment wrapText="1"/>
      <protection hidden="1"/>
    </xf>
    <xf numFmtId="175" fontId="3" fillId="0" borderId="2" xfId="0" applyNumberFormat="1" applyFont="1" applyBorder="1" applyAlignment="1" applyProtection="1">
      <alignment vertical="center" wrapText="1"/>
      <protection hidden="1"/>
    </xf>
    <xf numFmtId="0" fontId="3" fillId="0" borderId="3" xfId="0" applyFont="1" applyBorder="1" applyAlignment="1" applyProtection="1">
      <alignment vertical="top" wrapText="1"/>
      <protection hidden="1"/>
    </xf>
    <xf numFmtId="176" fontId="3" fillId="0" borderId="3" xfId="2" applyNumberFormat="1" applyFont="1" applyBorder="1" applyAlignment="1" applyProtection="1">
      <alignment horizontal="right" vertical="top" wrapText="1"/>
      <protection hidden="1"/>
    </xf>
    <xf numFmtId="171" fontId="3" fillId="9" borderId="4" xfId="0" applyNumberFormat="1" applyFont="1" applyFill="1" applyBorder="1" applyAlignment="1" applyProtection="1">
      <alignment horizontal="center" vertical="top" wrapText="1"/>
      <protection hidden="1"/>
    </xf>
    <xf numFmtId="171" fontId="3" fillId="9" borderId="6" xfId="0" applyNumberFormat="1" applyFont="1" applyFill="1" applyBorder="1" applyAlignment="1" applyProtection="1">
      <alignment horizontal="center" vertical="top" wrapText="1"/>
      <protection hidden="1"/>
    </xf>
    <xf numFmtId="171" fontId="3" fillId="9" borderId="35" xfId="0" applyNumberFormat="1" applyFont="1" applyFill="1" applyBorder="1" applyAlignment="1" applyProtection="1">
      <alignment horizontal="center" vertical="top" wrapText="1"/>
      <protection hidden="1"/>
    </xf>
    <xf numFmtId="171" fontId="3" fillId="9" borderId="36" xfId="0" applyNumberFormat="1" applyFont="1" applyFill="1" applyBorder="1" applyAlignment="1" applyProtection="1">
      <alignment horizontal="center" vertical="top" wrapText="1"/>
      <protection hidden="1"/>
    </xf>
    <xf numFmtId="171" fontId="3" fillId="9" borderId="37" xfId="0" applyNumberFormat="1" applyFont="1" applyFill="1" applyBorder="1" applyAlignment="1" applyProtection="1">
      <alignment horizontal="center" vertical="top" wrapText="1"/>
      <protection hidden="1"/>
    </xf>
    <xf numFmtId="171" fontId="3" fillId="9" borderId="38" xfId="0" applyNumberFormat="1" applyFont="1" applyFill="1" applyBorder="1" applyAlignment="1" applyProtection="1">
      <alignment horizontal="center" vertical="top" wrapText="1"/>
      <protection hidden="1"/>
    </xf>
    <xf numFmtId="0" fontId="2" fillId="9" borderId="3" xfId="0" applyFont="1" applyFill="1" applyBorder="1" applyAlignment="1" applyProtection="1">
      <alignment horizontal="center" vertical="center" wrapText="1"/>
      <protection hidden="1"/>
    </xf>
    <xf numFmtId="0" fontId="4" fillId="0" borderId="2" xfId="0" applyFont="1" applyBorder="1" applyAlignment="1" applyProtection="1">
      <alignment vertical="center" wrapText="1"/>
      <protection hidden="1"/>
    </xf>
    <xf numFmtId="170" fontId="3" fillId="0" borderId="2" xfId="0" applyNumberFormat="1" applyFont="1" applyBorder="1" applyAlignment="1" applyProtection="1">
      <alignment vertical="center" wrapText="1"/>
      <protection hidden="1"/>
    </xf>
    <xf numFmtId="170" fontId="3" fillId="0" borderId="38" xfId="0" applyNumberFormat="1" applyFont="1" applyBorder="1" applyAlignment="1" applyProtection="1">
      <alignment vertical="center" wrapText="1"/>
      <protection hidden="1"/>
    </xf>
    <xf numFmtId="0" fontId="3" fillId="0" borderId="2" xfId="0" applyFont="1" applyBorder="1" applyAlignment="1" applyProtection="1">
      <alignment horizontal="justify"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3" fillId="0" borderId="2" xfId="0" applyFont="1" applyBorder="1" applyAlignment="1" applyProtection="1">
      <alignment vertical="center" wrapText="1"/>
      <protection locked="0"/>
    </xf>
    <xf numFmtId="164" fontId="3" fillId="0" borderId="2" xfId="0" applyNumberFormat="1" applyFont="1" applyBorder="1" applyAlignment="1" applyProtection="1">
      <alignment horizontal="right" vertical="center" wrapText="1"/>
      <protection hidden="1"/>
    </xf>
    <xf numFmtId="175" fontId="3" fillId="0" borderId="5" xfId="0"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2" fontId="3" fillId="0" borderId="2" xfId="0" applyNumberFormat="1" applyFont="1" applyBorder="1" applyAlignment="1" applyProtection="1">
      <alignment vertical="center" wrapText="1"/>
      <protection hidden="1"/>
    </xf>
    <xf numFmtId="0" fontId="3" fillId="0" borderId="2" xfId="0" applyFont="1" applyBorder="1" applyAlignment="1" applyProtection="1">
      <alignment horizontal="center" vertical="center" wrapText="1"/>
      <protection hidden="1"/>
    </xf>
    <xf numFmtId="171" fontId="3" fillId="9" borderId="4" xfId="0" applyNumberFormat="1" applyFont="1" applyFill="1" applyBorder="1" applyAlignment="1" applyProtection="1">
      <alignment horizontal="center" vertical="center" wrapText="1"/>
      <protection hidden="1"/>
    </xf>
    <xf numFmtId="171" fontId="3" fillId="9" borderId="6" xfId="0" applyNumberFormat="1" applyFont="1" applyFill="1" applyBorder="1" applyAlignment="1" applyProtection="1">
      <alignment horizontal="center" vertical="center" wrapText="1"/>
      <protection hidden="1"/>
    </xf>
    <xf numFmtId="0" fontId="2" fillId="9" borderId="4" xfId="0" applyFont="1" applyFill="1" applyBorder="1" applyAlignment="1" applyProtection="1">
      <alignment horizontal="center" vertical="center" wrapText="1"/>
      <protection hidden="1"/>
    </xf>
    <xf numFmtId="0" fontId="2" fillId="9" borderId="6" xfId="0" applyFont="1" applyFill="1" applyBorder="1" applyAlignment="1" applyProtection="1">
      <alignment horizontal="center" vertical="center" wrapText="1"/>
      <protection hidden="1"/>
    </xf>
    <xf numFmtId="0" fontId="7" fillId="0" borderId="5" xfId="0" applyFont="1" applyBorder="1" applyAlignment="1" applyProtection="1">
      <alignment vertical="center" wrapText="1"/>
      <protection hidden="1"/>
    </xf>
    <xf numFmtId="0" fontId="7" fillId="0" borderId="5"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164" fontId="7" fillId="0" borderId="2" xfId="0" applyNumberFormat="1" applyFont="1" applyBorder="1" applyAlignment="1" applyProtection="1">
      <alignment horizontal="right" vertical="center" wrapText="1"/>
      <protection locked="0"/>
    </xf>
    <xf numFmtId="164" fontId="7" fillId="0" borderId="5" xfId="0" applyNumberFormat="1" applyFont="1" applyBorder="1" applyAlignment="1" applyProtection="1">
      <alignment horizontal="right" vertical="center" wrapText="1"/>
      <protection hidden="1"/>
    </xf>
    <xf numFmtId="164" fontId="7" fillId="0" borderId="2" xfId="0" applyNumberFormat="1" applyFont="1" applyBorder="1" applyAlignment="1" applyProtection="1">
      <alignment horizontal="right" vertical="center" wrapText="1"/>
      <protection hidden="1"/>
    </xf>
    <xf numFmtId="0" fontId="15" fillId="0" borderId="5"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hidden="1"/>
    </xf>
    <xf numFmtId="0" fontId="15" fillId="0" borderId="2" xfId="0" applyFont="1" applyBorder="1" applyAlignment="1" applyProtection="1">
      <alignment vertical="center" wrapText="1"/>
      <protection hidden="1"/>
    </xf>
    <xf numFmtId="0" fontId="2" fillId="0" borderId="2" xfId="0" applyFont="1" applyBorder="1" applyAlignment="1" applyProtection="1">
      <alignment horizontal="left" vertical="center" wrapText="1"/>
      <protection hidden="1"/>
    </xf>
    <xf numFmtId="0" fontId="7" fillId="0" borderId="2" xfId="0" applyFont="1" applyBorder="1" applyAlignment="1" applyProtection="1">
      <alignment vertical="center" wrapText="1"/>
      <protection hidden="1"/>
    </xf>
    <xf numFmtId="0" fontId="6" fillId="0" borderId="2" xfId="0" applyFont="1" applyBorder="1" applyAlignment="1" applyProtection="1">
      <alignment vertical="center" wrapText="1"/>
      <protection hidden="1"/>
    </xf>
    <xf numFmtId="0" fontId="7" fillId="0" borderId="5" xfId="0" applyFont="1" applyBorder="1" applyAlignment="1" applyProtection="1">
      <alignment horizontal="right" vertical="center" wrapText="1"/>
      <protection locked="0"/>
    </xf>
    <xf numFmtId="10" fontId="7" fillId="0" borderId="5" xfId="2" applyNumberFormat="1" applyFont="1" applyBorder="1" applyAlignment="1" applyProtection="1">
      <alignment vertical="center" wrapText="1"/>
      <protection hidden="1"/>
    </xf>
    <xf numFmtId="0" fontId="6" fillId="5" borderId="2" xfId="0" applyFont="1" applyFill="1" applyBorder="1" applyAlignment="1" applyProtection="1">
      <alignment vertical="center" wrapText="1"/>
      <protection hidden="1"/>
    </xf>
    <xf numFmtId="0" fontId="7" fillId="0" borderId="0" xfId="0" applyFont="1" applyAlignment="1" applyProtection="1">
      <alignment horizontal="justify" wrapText="1"/>
      <protection hidden="1"/>
    </xf>
    <xf numFmtId="0" fontId="7" fillId="0" borderId="2" xfId="0" applyFont="1" applyBorder="1" applyAlignment="1" applyProtection="1">
      <alignment vertical="center" wrapText="1"/>
      <protection locked="0"/>
    </xf>
    <xf numFmtId="164" fontId="7" fillId="0" borderId="2" xfId="0" applyNumberFormat="1" applyFont="1" applyBorder="1" applyAlignment="1" applyProtection="1">
      <alignment horizontal="left" vertical="center" wrapText="1"/>
      <protection locked="0"/>
    </xf>
    <xf numFmtId="168" fontId="7" fillId="0" borderId="5" xfId="0" applyNumberFormat="1" applyFont="1" applyBorder="1" applyAlignment="1" applyProtection="1">
      <alignment vertical="center" wrapText="1"/>
      <protection locked="0"/>
    </xf>
    <xf numFmtId="0" fontId="15" fillId="0" borderId="0" xfId="0" applyFont="1" applyAlignment="1" applyProtection="1">
      <alignment horizontal="justify"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right" vertical="center" wrapText="1"/>
      <protection hidden="1"/>
    </xf>
    <xf numFmtId="9" fontId="15" fillId="0" borderId="3" xfId="2" applyFont="1" applyFill="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164" fontId="15" fillId="0" borderId="2" xfId="0" applyNumberFormat="1" applyFont="1" applyBorder="1" applyAlignment="1" applyProtection="1">
      <alignment horizontal="right" vertical="center" wrapText="1"/>
      <protection hidden="1"/>
    </xf>
    <xf numFmtId="0" fontId="15" fillId="0" borderId="2" xfId="0" applyFont="1" applyBorder="1" applyAlignment="1" applyProtection="1">
      <alignment horizontal="right" vertical="center" wrapText="1"/>
      <protection hidden="1"/>
    </xf>
    <xf numFmtId="0" fontId="15" fillId="0" borderId="5" xfId="0" applyFont="1" applyBorder="1" applyAlignment="1" applyProtection="1">
      <alignment vertical="center" wrapText="1"/>
      <protection hidden="1"/>
    </xf>
    <xf numFmtId="10" fontId="15" fillId="0" borderId="2" xfId="2" applyNumberFormat="1" applyFont="1" applyBorder="1" applyAlignment="1" applyProtection="1">
      <alignment horizontal="right" vertical="center" wrapText="1"/>
      <protection hidden="1"/>
    </xf>
    <xf numFmtId="0" fontId="15" fillId="0" borderId="5" xfId="0" applyFont="1" applyBorder="1" applyAlignment="1" applyProtection="1">
      <alignment horizontal="right" vertical="center" wrapText="1"/>
      <protection hidden="1"/>
    </xf>
    <xf numFmtId="0" fontId="14" fillId="5" borderId="0" xfId="0" applyFont="1" applyFill="1" applyAlignment="1" applyProtection="1">
      <alignment horizontal="center" vertical="center" wrapText="1"/>
      <protection hidden="1"/>
    </xf>
    <xf numFmtId="10" fontId="15" fillId="0" borderId="0" xfId="0" applyNumberFormat="1" applyFont="1" applyAlignment="1" applyProtection="1">
      <alignment vertical="center" wrapText="1"/>
      <protection hidden="1"/>
    </xf>
    <xf numFmtId="166" fontId="15" fillId="0" borderId="5" xfId="0" applyNumberFormat="1" applyFont="1" applyBorder="1" applyAlignment="1" applyProtection="1">
      <alignment horizontal="right" vertical="center" wrapText="1"/>
      <protection hidden="1"/>
    </xf>
    <xf numFmtId="0" fontId="14" fillId="5" borderId="2" xfId="0" applyFont="1" applyFill="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0" fontId="7" fillId="0" borderId="0" xfId="0" applyFont="1" applyAlignment="1" applyProtection="1">
      <alignment horizontal="right" vertical="center" wrapText="1"/>
      <protection locked="0"/>
    </xf>
    <xf numFmtId="4" fontId="15" fillId="0" borderId="2" xfId="0" applyNumberFormat="1" applyFont="1" applyBorder="1" applyAlignment="1" applyProtection="1">
      <alignment horizontal="right" vertical="center" wrapText="1"/>
      <protection hidden="1"/>
    </xf>
    <xf numFmtId="4" fontId="15" fillId="0" borderId="0" xfId="2" applyNumberFormat="1" applyFont="1" applyFill="1" applyAlignment="1" applyProtection="1">
      <alignment horizontal="right" vertical="center" wrapText="1" readingOrder="1"/>
      <protection hidden="1"/>
    </xf>
    <xf numFmtId="4" fontId="15" fillId="0" borderId="5" xfId="2" applyNumberFormat="1" applyFont="1" applyFill="1" applyBorder="1" applyAlignment="1" applyProtection="1">
      <alignment horizontal="right" vertical="center" wrapText="1" readingOrder="1"/>
      <protection hidden="1"/>
    </xf>
    <xf numFmtId="0" fontId="15" fillId="0" borderId="0" xfId="0" applyFont="1" applyAlignment="1" applyProtection="1">
      <alignment horizontal="justify" vertical="center" wrapText="1"/>
      <protection hidden="1"/>
    </xf>
    <xf numFmtId="164" fontId="15" fillId="0" borderId="5" xfId="0" applyNumberFormat="1" applyFont="1" applyBorder="1" applyAlignment="1" applyProtection="1">
      <alignment vertical="center" wrapText="1"/>
      <protection hidden="1"/>
    </xf>
    <xf numFmtId="164" fontId="15" fillId="0" borderId="14" xfId="0" applyNumberFormat="1" applyFont="1" applyBorder="1" applyAlignment="1" applyProtection="1">
      <alignment vertical="center" wrapText="1"/>
      <protection hidden="1"/>
    </xf>
    <xf numFmtId="0" fontId="15" fillId="0" borderId="14" xfId="0" applyFont="1" applyBorder="1" applyAlignment="1" applyProtection="1">
      <alignment vertical="center" wrapText="1"/>
      <protection hidden="1"/>
    </xf>
    <xf numFmtId="0" fontId="22" fillId="0" borderId="0" xfId="0" applyFont="1" applyAlignment="1" applyProtection="1">
      <alignment vertical="center" wrapText="1"/>
      <protection hidden="1"/>
    </xf>
    <xf numFmtId="164" fontId="15" fillId="0" borderId="2" xfId="0" applyNumberFormat="1" applyFont="1" applyBorder="1" applyAlignment="1" applyProtection="1">
      <alignment vertical="center" wrapText="1"/>
      <protection hidden="1"/>
    </xf>
    <xf numFmtId="164" fontId="15" fillId="0" borderId="5" xfId="0" applyNumberFormat="1" applyFont="1" applyBorder="1" applyAlignment="1" applyProtection="1">
      <alignment horizontal="right" vertical="center" wrapText="1"/>
      <protection hidden="1"/>
    </xf>
    <xf numFmtId="10" fontId="15" fillId="0" borderId="2" xfId="2" applyNumberFormat="1" applyFont="1" applyFill="1" applyBorder="1" applyAlignment="1" applyProtection="1">
      <alignment horizontal="right" vertical="center" wrapText="1"/>
      <protection hidden="1"/>
    </xf>
    <xf numFmtId="0" fontId="14" fillId="2" borderId="2" xfId="0" applyFont="1" applyFill="1" applyBorder="1" applyAlignment="1" applyProtection="1">
      <alignment vertical="center" wrapText="1"/>
      <protection hidden="1"/>
    </xf>
    <xf numFmtId="10" fontId="15" fillId="0" borderId="2" xfId="0" applyNumberFormat="1" applyFont="1" applyBorder="1" applyAlignment="1" applyProtection="1">
      <alignment vertical="center" wrapText="1"/>
      <protection hidden="1"/>
    </xf>
    <xf numFmtId="164" fontId="15" fillId="0" borderId="5" xfId="0" applyNumberFormat="1" applyFont="1" applyBorder="1" applyAlignment="1" applyProtection="1">
      <alignment vertical="center" wrapText="1"/>
      <protection locked="0"/>
    </xf>
    <xf numFmtId="165" fontId="15" fillId="0" borderId="5" xfId="1" applyNumberFormat="1" applyFont="1" applyBorder="1" applyAlignment="1" applyProtection="1">
      <alignment horizontal="right" vertical="center" wrapText="1"/>
      <protection hidden="1"/>
    </xf>
    <xf numFmtId="0" fontId="14" fillId="0" borderId="3" xfId="0" applyFont="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14" fillId="3" borderId="0" xfId="0" applyFont="1" applyFill="1" applyAlignment="1" applyProtection="1">
      <alignment horizontal="left" vertical="center" wrapText="1"/>
      <protection hidden="1"/>
    </xf>
    <xf numFmtId="10" fontId="15" fillId="0" borderId="5" xfId="0" applyNumberFormat="1" applyFont="1" applyBorder="1" applyAlignment="1" applyProtection="1">
      <alignment vertical="center" wrapText="1"/>
      <protection hidden="1"/>
    </xf>
    <xf numFmtId="0" fontId="15" fillId="0" borderId="5" xfId="0" applyFont="1" applyBorder="1" applyAlignment="1" applyProtection="1">
      <alignment horizontal="right" vertical="center" wrapText="1"/>
      <protection locked="0"/>
    </xf>
    <xf numFmtId="164" fontId="15" fillId="0" borderId="0" xfId="0" applyNumberFormat="1" applyFont="1" applyAlignment="1" applyProtection="1">
      <alignment vertical="center" wrapText="1"/>
      <protection hidden="1"/>
    </xf>
    <xf numFmtId="164" fontId="15" fillId="0" borderId="0" xfId="0" applyNumberFormat="1" applyFont="1" applyAlignment="1" applyProtection="1">
      <alignment vertical="center" wrapText="1"/>
      <protection locked="0"/>
    </xf>
    <xf numFmtId="10" fontId="15" fillId="0" borderId="2" xfId="2" applyNumberFormat="1" applyFont="1" applyBorder="1" applyAlignment="1" applyProtection="1">
      <alignment vertical="center" wrapText="1"/>
      <protection hidden="1"/>
    </xf>
    <xf numFmtId="9" fontId="15" fillId="0" borderId="2" xfId="2" applyFont="1" applyBorder="1" applyAlignment="1" applyProtection="1">
      <alignment vertical="center" wrapText="1"/>
      <protection hidden="1"/>
    </xf>
    <xf numFmtId="0" fontId="15" fillId="3" borderId="0" xfId="0" applyFont="1" applyFill="1" applyAlignment="1" applyProtection="1">
      <alignment horizontal="center" vertical="center" wrapText="1"/>
      <protection hidden="1"/>
    </xf>
    <xf numFmtId="164" fontId="15" fillId="0" borderId="14" xfId="0" applyNumberFormat="1" applyFont="1" applyBorder="1" applyAlignment="1" applyProtection="1">
      <alignment vertical="center" wrapText="1"/>
      <protection locked="0"/>
    </xf>
    <xf numFmtId="164" fontId="15" fillId="0" borderId="5" xfId="0" applyNumberFormat="1" applyFont="1" applyBorder="1" applyAlignment="1" applyProtection="1">
      <alignment horizontal="center" vertical="center" wrapText="1"/>
      <protection hidden="1"/>
    </xf>
    <xf numFmtId="164" fontId="15" fillId="0" borderId="14"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5" borderId="0" xfId="0" applyFont="1" applyFill="1" applyAlignment="1" applyProtection="1">
      <alignment vertical="center" wrapText="1"/>
      <protection hidden="1"/>
    </xf>
    <xf numFmtId="0" fontId="15" fillId="0" borderId="5"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1" fontId="15" fillId="0" borderId="2" xfId="1" applyNumberFormat="1" applyFont="1" applyBorder="1" applyAlignment="1" applyProtection="1">
      <alignment horizontal="right" vertical="center" wrapText="1"/>
      <protection locked="0"/>
    </xf>
    <xf numFmtId="1" fontId="15" fillId="0" borderId="2" xfId="1" applyNumberFormat="1" applyFont="1" applyBorder="1" applyAlignment="1" applyProtection="1">
      <alignment vertical="center" wrapText="1"/>
      <protection locked="0"/>
    </xf>
    <xf numFmtId="10" fontId="15" fillId="0" borderId="5" xfId="2" applyNumberFormat="1" applyFont="1" applyBorder="1" applyAlignment="1" applyProtection="1">
      <alignment vertical="center" wrapText="1"/>
      <protection hidden="1"/>
    </xf>
    <xf numFmtId="1" fontId="15" fillId="0" borderId="5" xfId="1" applyNumberFormat="1" applyFont="1" applyBorder="1" applyAlignment="1" applyProtection="1">
      <alignment horizontal="right" vertical="center" wrapText="1"/>
      <protection hidden="1"/>
    </xf>
    <xf numFmtId="9" fontId="15" fillId="0" borderId="5" xfId="2" applyFont="1" applyBorder="1" applyAlignment="1" applyProtection="1">
      <alignment horizontal="right" vertical="center" wrapText="1"/>
      <protection hidden="1"/>
    </xf>
    <xf numFmtId="0" fontId="15" fillId="0" borderId="2" xfId="0" applyFont="1" applyBorder="1" applyAlignment="1" applyProtection="1">
      <alignment horizontal="justify" vertical="center" wrapText="1"/>
      <protection hidden="1"/>
    </xf>
    <xf numFmtId="164" fontId="15" fillId="0" borderId="1" xfId="0" applyNumberFormat="1" applyFont="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164" fontId="15" fillId="0" borderId="14" xfId="0" applyNumberFormat="1" applyFont="1" applyBorder="1" applyAlignment="1" applyProtection="1">
      <alignment horizontal="right" vertical="center" wrapText="1"/>
      <protection hidden="1"/>
    </xf>
    <xf numFmtId="0" fontId="14" fillId="3" borderId="2" xfId="0" applyFont="1" applyFill="1" applyBorder="1" applyAlignment="1" applyProtection="1">
      <alignment horizontal="center" vertical="center" wrapText="1"/>
      <protection hidden="1"/>
    </xf>
    <xf numFmtId="164" fontId="15" fillId="0" borderId="0" xfId="0" applyNumberFormat="1" applyFont="1" applyAlignment="1" applyProtection="1">
      <alignment horizontal="right" vertical="center" wrapText="1"/>
      <protection hidden="1"/>
    </xf>
    <xf numFmtId="0" fontId="3" fillId="3" borderId="2" xfId="0"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10" fontId="3" fillId="0" borderId="24" xfId="0" applyNumberFormat="1" applyFont="1" applyBorder="1" applyAlignment="1" applyProtection="1">
      <alignment horizontal="center" vertical="center" wrapText="1"/>
      <protection hidden="1"/>
    </xf>
    <xf numFmtId="0" fontId="3" fillId="6" borderId="24" xfId="0" applyFont="1" applyFill="1" applyBorder="1" applyAlignment="1" applyProtection="1">
      <alignment horizontal="justify" vertical="center" wrapText="1"/>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textRotation="90"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4"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3" fillId="0" borderId="3" xfId="0" applyNumberFormat="1" applyFont="1" applyBorder="1" applyAlignment="1" applyProtection="1">
      <alignment horizontal="right" vertical="center" wrapText="1"/>
      <protection hidden="1"/>
    </xf>
    <xf numFmtId="0" fontId="3"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3" fillId="0" borderId="31" xfId="0" applyFont="1" applyBorder="1" applyAlignment="1" applyProtection="1">
      <alignment horizontal="left" vertical="center" wrapText="1"/>
      <protection hidden="1"/>
    </xf>
    <xf numFmtId="0" fontId="3" fillId="0" borderId="31" xfId="0" applyFont="1" applyBorder="1" applyAlignment="1" applyProtection="1">
      <alignment horizontal="justify" vertical="center" wrapText="1"/>
      <protection hidden="1"/>
    </xf>
    <xf numFmtId="0" fontId="3" fillId="0" borderId="24" xfId="0" applyFont="1" applyBorder="1" applyAlignment="1" applyProtection="1">
      <alignment horizontal="center" vertical="center" wrapText="1"/>
      <protection hidden="1"/>
    </xf>
    <xf numFmtId="0" fontId="3" fillId="0" borderId="24" xfId="0" applyFont="1" applyBorder="1" applyAlignment="1" applyProtection="1">
      <alignment horizontal="left" vertical="center" wrapText="1"/>
      <protection hidden="1"/>
    </xf>
    <xf numFmtId="174" fontId="3" fillId="0" borderId="24" xfId="0" applyNumberFormat="1" applyFont="1" applyBorder="1" applyAlignment="1" applyProtection="1">
      <alignment horizontal="right" vertical="center" wrapText="1"/>
      <protection hidden="1"/>
    </xf>
    <xf numFmtId="0" fontId="3" fillId="0" borderId="24" xfId="0" applyFont="1" applyBorder="1" applyAlignment="1" applyProtection="1">
      <alignment horizontal="justify" vertical="center" wrapText="1"/>
      <protection hidden="1"/>
    </xf>
    <xf numFmtId="2" fontId="3" fillId="0" borderId="24" xfId="0" applyNumberFormat="1" applyFont="1" applyBorder="1" applyAlignment="1" applyProtection="1">
      <alignment horizontal="right" vertical="center" wrapText="1"/>
      <protection hidden="1"/>
    </xf>
    <xf numFmtId="0" fontId="3" fillId="3" borderId="0" xfId="0" applyFont="1" applyFill="1" applyAlignment="1" applyProtection="1">
      <alignment horizontal="center" vertical="center" wrapText="1" readingOrder="1"/>
      <protection hidden="1"/>
    </xf>
    <xf numFmtId="0" fontId="3" fillId="3" borderId="25" xfId="0" applyFont="1" applyFill="1" applyBorder="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0" borderId="24" xfId="0" applyFont="1" applyBorder="1" applyAlignment="1" applyProtection="1">
      <alignment horizontal="right" vertical="center" wrapText="1"/>
      <protection hidden="1"/>
    </xf>
    <xf numFmtId="9" fontId="3" fillId="0" borderId="24" xfId="0" applyNumberFormat="1" applyFont="1" applyBorder="1" applyAlignment="1" applyProtection="1">
      <alignment horizontal="right" vertical="center" wrapText="1"/>
      <protection hidden="1"/>
    </xf>
    <xf numFmtId="0" fontId="3" fillId="7" borderId="24" xfId="0" applyFont="1" applyFill="1" applyBorder="1" applyAlignment="1" applyProtection="1">
      <alignment horizontal="center" vertical="center" textRotation="90" wrapText="1"/>
      <protection hidden="1"/>
    </xf>
    <xf numFmtId="0" fontId="2" fillId="3" borderId="25" xfId="0" applyFont="1" applyFill="1" applyBorder="1" applyAlignment="1" applyProtection="1">
      <alignment horizontal="center" vertical="center" wrapText="1" readingOrder="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0" fontId="6"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6" fillId="0" borderId="4" xfId="0"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8" fillId="0" borderId="4" xfId="0" applyFont="1" applyBorder="1" applyProtection="1">
      <protection hidden="1"/>
    </xf>
    <xf numFmtId="0" fontId="8" fillId="0" borderId="5" xfId="0" applyFont="1" applyBorder="1" applyProtection="1">
      <protection hidden="1"/>
    </xf>
    <xf numFmtId="0" fontId="8" fillId="0" borderId="6" xfId="0" applyFont="1" applyBorder="1" applyProtection="1">
      <protection hidden="1"/>
    </xf>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0" fontId="8" fillId="0" borderId="3" xfId="0" applyFont="1" applyBorder="1" applyProtection="1">
      <protection hidden="1"/>
    </xf>
    <xf numFmtId="0" fontId="6" fillId="0" borderId="0" xfId="0" applyFont="1" applyAlignment="1" applyProtection="1">
      <alignment vertical="center"/>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3" fontId="0" fillId="0" borderId="3" xfId="0" applyNumberFormat="1" applyBorder="1" applyAlignment="1" applyProtection="1">
      <alignment vertical="center"/>
      <protection hidden="1"/>
    </xf>
    <xf numFmtId="0" fontId="0" fillId="0" borderId="0" xfId="0" applyProtection="1">
      <protection hidden="1"/>
    </xf>
    <xf numFmtId="0" fontId="7"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20" fontId="0" fillId="0" borderId="22" xfId="0" applyNumberFormat="1" applyBorder="1" applyProtection="1">
      <protection hidden="1"/>
    </xf>
    <xf numFmtId="20" fontId="0" fillId="0" borderId="21" xfId="0" applyNumberFormat="1" applyBorder="1" applyProtection="1">
      <protection hidden="1"/>
    </xf>
    <xf numFmtId="20" fontId="0" fillId="0" borderId="23" xfId="0" applyNumberFormat="1" applyBorder="1" applyProtection="1">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1" xfId="0" applyBorder="1" applyAlignment="1" applyProtection="1">
      <alignment vertical="center"/>
      <protection hidden="1"/>
    </xf>
    <xf numFmtId="0" fontId="0" fillId="0" borderId="23" xfId="0" applyBorder="1" applyAlignment="1" applyProtection="1">
      <alignment vertical="center"/>
      <protection hidden="1"/>
    </xf>
    <xf numFmtId="0" fontId="0" fillId="0" borderId="2" xfId="0" applyBorder="1" applyProtection="1">
      <protection hidden="1"/>
    </xf>
  </cellXfs>
  <cellStyles count="3">
    <cellStyle name="Normal" xfId="0" builtinId="0"/>
    <cellStyle name="Porcentagem" xfId="2" builtinId="5"/>
    <cellStyle name="Vírgula" xfId="1" builtinId="3"/>
  </cellStyles>
  <dxfs count="21">
    <dxf>
      <fill>
        <patternFill>
          <bgColor rgb="FFFF0000"/>
        </patternFill>
      </fill>
    </dxf>
    <dxf>
      <fill>
        <patternFill>
          <bgColor rgb="FFFF0000"/>
        </patternFill>
      </fill>
    </dxf>
    <dxf>
      <fill>
        <patternFill>
          <bgColor rgb="FFFFFF00"/>
        </patternFill>
      </fill>
    </dxf>
    <dxf>
      <font>
        <color rgb="FFFF0000"/>
      </font>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213A8F"/>
      <color rgb="FFB9CFD9"/>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BENFEITORIAS'!$K$53:$K$64</c:f>
              <c:numCache>
                <c:formatCode>#,##0.00_ ;[Red]\-#,##0.00\ </c:formatCode>
                <c:ptCount val="12"/>
                <c:pt idx="0">
                  <c:v>0.95000000000000018</c:v>
                </c:pt>
                <c:pt idx="1">
                  <c:v>1</c:v>
                </c:pt>
                <c:pt idx="2">
                  <c:v>1</c:v>
                </c:pt>
                <c:pt idx="3">
                  <c:v>1</c:v>
                </c:pt>
                <c:pt idx="4">
                  <c:v>1</c:v>
                </c:pt>
                <c:pt idx="5">
                  <c:v>1</c:v>
                </c:pt>
                <c:pt idx="6">
                  <c:v>0.90000000000000036</c:v>
                </c:pt>
                <c:pt idx="7">
                  <c:v>1</c:v>
                </c:pt>
                <c:pt idx="8">
                  <c:v>1</c:v>
                </c:pt>
                <c:pt idx="9">
                  <c:v>1</c:v>
                </c:pt>
                <c:pt idx="10">
                  <c:v>0.90000000000000036</c:v>
                </c:pt>
                <c:pt idx="11">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BENFEITORIAS'!$M$53:$M$64</c:f>
              <c:numCache>
                <c:formatCode>#,##0.00_ ;[Red]\-#,##0.00\ </c:formatCode>
                <c:ptCount val="12"/>
                <c:pt idx="0">
                  <c:v>0.95000000000000018</c:v>
                </c:pt>
                <c:pt idx="1">
                  <c:v>0.95000000000000018</c:v>
                </c:pt>
                <c:pt idx="2">
                  <c:v>0.95000000000000018</c:v>
                </c:pt>
                <c:pt idx="3">
                  <c:v>0.95000000000000018</c:v>
                </c:pt>
                <c:pt idx="4">
                  <c:v>0.95000000000000018</c:v>
                </c:pt>
                <c:pt idx="5">
                  <c:v>0.95000000000000018</c:v>
                </c:pt>
                <c:pt idx="6">
                  <c:v>0.95000000000000018</c:v>
                </c:pt>
                <c:pt idx="7">
                  <c:v>0.95000000000000018</c:v>
                </c:pt>
                <c:pt idx="8">
                  <c:v>0.95000000000000018</c:v>
                </c:pt>
                <c:pt idx="9">
                  <c:v>0.95000000000000018</c:v>
                </c:pt>
                <c:pt idx="10">
                  <c:v>0.95000000000000018</c:v>
                </c:pt>
                <c:pt idx="11">
                  <c:v>0.95000000000000018</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1C04-4B3B-9C74-E95F21BA7D4C}"/>
              </c:ext>
            </c:extLst>
          </c:dPt>
          <c:dPt>
            <c:idx val="1"/>
            <c:bubble3D val="0"/>
            <c:spPr>
              <a:solidFill>
                <a:srgbClr val="B9CFD9"/>
              </a:solidFill>
              <a:ln w="19050">
                <a:noFill/>
              </a:ln>
              <a:effectLst/>
            </c:spPr>
            <c:extLst>
              <c:ext xmlns:c16="http://schemas.microsoft.com/office/drawing/2014/chart" uri="{C3380CC4-5D6E-409C-BE32-E72D297353CC}">
                <c16:uniqueId val="{00000003-1C04-4B3B-9C74-E95F21BA7D4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BENFEITORIAS'!$Y$530:$Y$531</c:f>
              <c:numCache>
                <c:formatCode>0.0%</c:formatCode>
                <c:ptCount val="2"/>
                <c:pt idx="0">
                  <c:v>0.37004216837739701</c:v>
                </c:pt>
                <c:pt idx="1">
                  <c:v>0.62995783162260299</c:v>
                </c:pt>
              </c:numCache>
            </c:numRef>
          </c:val>
          <c:extLst>
            <c:ext xmlns:c16="http://schemas.microsoft.com/office/drawing/2014/chart" uri="{C3380CC4-5D6E-409C-BE32-E72D297353CC}">
              <c16:uniqueId val="{00000004-1C04-4B3B-9C74-E95F21BA7D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BENFEITORIAS'!$Z$285</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BENFEITORIAS'!$Z$286:$Z$297</c:f>
              <c:numCache>
                <c:formatCode>#,##0.00_ ;[Red]\-#,##0.00\ </c:formatCode>
                <c:ptCount val="12"/>
                <c:pt idx="0">
                  <c:v>515.50378884180793</c:v>
                </c:pt>
                <c:pt idx="1">
                  <c:v>515.50378884180793</c:v>
                </c:pt>
                <c:pt idx="2">
                  <c:v>515.50378884180793</c:v>
                </c:pt>
                <c:pt idx="3">
                  <c:v>515.50378884180793</c:v>
                </c:pt>
                <c:pt idx="4">
                  <c:v>515.50378884180793</c:v>
                </c:pt>
                <c:pt idx="5">
                  <c:v>515.50378884180793</c:v>
                </c:pt>
                <c:pt idx="6">
                  <c:v>515.50378884180793</c:v>
                </c:pt>
                <c:pt idx="7">
                  <c:v>515.50378884180793</c:v>
                </c:pt>
                <c:pt idx="8">
                  <c:v>515.50378884180793</c:v>
                </c:pt>
                <c:pt idx="9">
                  <c:v>515.50378884180793</c:v>
                </c:pt>
                <c:pt idx="10">
                  <c:v>515.50378884180793</c:v>
                </c:pt>
                <c:pt idx="11">
                  <c:v>515.50378884180793</c:v>
                </c:pt>
              </c:numCache>
            </c:numRef>
          </c:val>
          <c:smooth val="0"/>
          <c:extLst>
            <c:ext xmlns:c16="http://schemas.microsoft.com/office/drawing/2014/chart" uri="{C3380CC4-5D6E-409C-BE32-E72D297353CC}">
              <c16:uniqueId val="{00000000-0632-4DEC-9678-95031CD4802C}"/>
            </c:ext>
          </c:extLst>
        </c:ser>
        <c:ser>
          <c:idx val="1"/>
          <c:order val="2"/>
          <c:tx>
            <c:strRef>
              <c:f>'TERRENO E BENFEITORIAS'!$X$285</c:f>
              <c:strCache>
                <c:ptCount val="1"/>
                <c:pt idx="0">
                  <c:v>Limite inferior</c:v>
                </c:pt>
              </c:strCache>
            </c:strRef>
          </c:tx>
          <c:spPr>
            <a:ln w="12700" cap="sq">
              <a:solidFill>
                <a:srgbClr val="FF0000"/>
              </a:solidFill>
              <a:round/>
            </a:ln>
            <a:effectLst/>
          </c:spPr>
          <c:marker>
            <c:symbol val="none"/>
          </c:marker>
          <c:val>
            <c:numRef>
              <c:f>'TERRENO E BENFEITORIAS'!$X$286:$X$297</c:f>
              <c:numCache>
                <c:formatCode>#,##0.00_ ;[Red]\-#,##0.00\ </c:formatCode>
                <c:ptCount val="12"/>
                <c:pt idx="0">
                  <c:v>461.31670811164832</c:v>
                </c:pt>
                <c:pt idx="1">
                  <c:v>461.31670811164832</c:v>
                </c:pt>
                <c:pt idx="2">
                  <c:v>461.31670811164832</c:v>
                </c:pt>
                <c:pt idx="3">
                  <c:v>461.31670811164832</c:v>
                </c:pt>
                <c:pt idx="4">
                  <c:v>461.31670811164832</c:v>
                </c:pt>
                <c:pt idx="5">
                  <c:v>461.31670811164832</c:v>
                </c:pt>
                <c:pt idx="6">
                  <c:v>461.31670811164832</c:v>
                </c:pt>
                <c:pt idx="7">
                  <c:v>461.31670811164832</c:v>
                </c:pt>
                <c:pt idx="8">
                  <c:v>461.31670811164832</c:v>
                </c:pt>
                <c:pt idx="9">
                  <c:v>461.31670811164832</c:v>
                </c:pt>
                <c:pt idx="10">
                  <c:v>461.31670811164832</c:v>
                </c:pt>
                <c:pt idx="11">
                  <c:v>461.31670811164832</c:v>
                </c:pt>
              </c:numCache>
            </c:numRef>
          </c:val>
          <c:smooth val="0"/>
          <c:extLst>
            <c:ext xmlns:c16="http://schemas.microsoft.com/office/drawing/2014/chart" uri="{C3380CC4-5D6E-409C-BE32-E72D297353CC}">
              <c16:uniqueId val="{00000001-0632-4DEC-9678-95031CD4802C}"/>
            </c:ext>
          </c:extLst>
        </c:ser>
        <c:ser>
          <c:idx val="3"/>
          <c:order val="3"/>
          <c:tx>
            <c:strRef>
              <c:f>'TERRENO E BENFEITORIAS'!$Y$285</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BENFEITORIAS'!$Y$286:$Y$297</c:f>
              <c:numCache>
                <c:formatCode>#,##0.00_ ;[Red]\-#,##0.00\ </c:formatCode>
                <c:ptCount val="12"/>
                <c:pt idx="0">
                  <c:v>569.6908695719676</c:v>
                </c:pt>
                <c:pt idx="1">
                  <c:v>569.6908695719676</c:v>
                </c:pt>
                <c:pt idx="2">
                  <c:v>569.6908695719676</c:v>
                </c:pt>
                <c:pt idx="3">
                  <c:v>569.6908695719676</c:v>
                </c:pt>
                <c:pt idx="4">
                  <c:v>569.6908695719676</c:v>
                </c:pt>
                <c:pt idx="5">
                  <c:v>569.6908695719676</c:v>
                </c:pt>
                <c:pt idx="6">
                  <c:v>569.6908695719676</c:v>
                </c:pt>
                <c:pt idx="7">
                  <c:v>569.6908695719676</c:v>
                </c:pt>
                <c:pt idx="8">
                  <c:v>569.6908695719676</c:v>
                </c:pt>
                <c:pt idx="9">
                  <c:v>569.6908695719676</c:v>
                </c:pt>
                <c:pt idx="10">
                  <c:v>569.6908695719676</c:v>
                </c:pt>
                <c:pt idx="11">
                  <c:v>569.6908695719676</c:v>
                </c:pt>
              </c:numCache>
            </c:numRef>
          </c:val>
          <c:smooth val="0"/>
          <c:extLst>
            <c:ext xmlns:c16="http://schemas.microsoft.com/office/drawing/2014/chart" uri="{C3380CC4-5D6E-409C-BE32-E72D297353CC}">
              <c16:uniqueId val="{00000002-0632-4DEC-9678-95031CD4802C}"/>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BENFEITORIAS'!$C$269</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BENFEITORIAS'!$C$270:$C$281</c:f>
              <c:numCache>
                <c:formatCode>#,##0.00_ ;[Red]\-#,##0.00\ </c:formatCode>
                <c:ptCount val="12"/>
                <c:pt idx="0">
                  <c:v>500</c:v>
                </c:pt>
                <c:pt idx="1">
                  <c:v>480.93750000000011</c:v>
                </c:pt>
                <c:pt idx="2">
                  <c:v>527.25000000000011</c:v>
                </c:pt>
                <c:pt idx="3">
                  <c:v>541.50000000000011</c:v>
                </c:pt>
                <c:pt idx="4">
                  <c:v>527.25000000000011</c:v>
                </c:pt>
                <c:pt idx="5">
                  <c:v>513.00000000000011</c:v>
                </c:pt>
                <c:pt idx="6">
                  <c:v>474.99999999999989</c:v>
                </c:pt>
                <c:pt idx="7">
                  <c:v>530.10000000000014</c:v>
                </c:pt>
                <c:pt idx="8">
                  <c:v>526.68000000000006</c:v>
                </c:pt>
                <c:pt idx="9">
                  <c:v>538.65000000000009</c:v>
                </c:pt>
                <c:pt idx="10">
                  <c:v>474.99999999999989</c:v>
                </c:pt>
                <c:pt idx="11">
                  <c:v>550.67796610169501</c:v>
                </c:pt>
              </c:numCache>
            </c:numRef>
          </c:yVal>
          <c:smooth val="0"/>
          <c:extLst>
            <c:ext xmlns:c16="http://schemas.microsoft.com/office/drawing/2014/chart" uri="{C3380CC4-5D6E-409C-BE32-E72D297353CC}">
              <c16:uniqueId val="{00000003-0632-4DEC-9678-95031CD4802C}"/>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BENFEITORIAS'!$Z$323</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BENFEITORIAS'!$Z$324:$Z$335</c:f>
              <c:numCache>
                <c:formatCode>#,##0.00_ ;[Red]\-#,##0.00\ </c:formatCode>
                <c:ptCount val="12"/>
                <c:pt idx="0">
                  <c:v>515.50378884180793</c:v>
                </c:pt>
                <c:pt idx="1">
                  <c:v>515.50378884180793</c:v>
                </c:pt>
                <c:pt idx="2">
                  <c:v>515.50378884180793</c:v>
                </c:pt>
                <c:pt idx="3">
                  <c:v>515.50378884180793</c:v>
                </c:pt>
                <c:pt idx="4">
                  <c:v>515.50378884180793</c:v>
                </c:pt>
                <c:pt idx="5">
                  <c:v>515.50378884180793</c:v>
                </c:pt>
                <c:pt idx="6">
                  <c:v>515.50378884180793</c:v>
                </c:pt>
                <c:pt idx="7">
                  <c:v>515.50378884180793</c:v>
                </c:pt>
                <c:pt idx="8">
                  <c:v>515.50378884180793</c:v>
                </c:pt>
                <c:pt idx="9">
                  <c:v>515.50378884180793</c:v>
                </c:pt>
                <c:pt idx="10">
                  <c:v>515.50378884180793</c:v>
                </c:pt>
                <c:pt idx="11">
                  <c:v>515.50378884180793</c:v>
                </c:pt>
              </c:numCache>
            </c:numRef>
          </c:val>
          <c:smooth val="0"/>
          <c:extLst>
            <c:ext xmlns:c16="http://schemas.microsoft.com/office/drawing/2014/chart" uri="{C3380CC4-5D6E-409C-BE32-E72D297353CC}">
              <c16:uniqueId val="{00000000-D193-4B30-9374-003D7D49367B}"/>
            </c:ext>
          </c:extLst>
        </c:ser>
        <c:ser>
          <c:idx val="3"/>
          <c:order val="2"/>
          <c:tx>
            <c:strRef>
              <c:f>'TERRENO E BENFEITORIAS'!$X$323</c:f>
              <c:strCache>
                <c:ptCount val="1"/>
                <c:pt idx="0">
                  <c:v>Limite inferior</c:v>
                </c:pt>
              </c:strCache>
            </c:strRef>
          </c:tx>
          <c:spPr>
            <a:ln w="12700" cap="sq">
              <a:solidFill>
                <a:srgbClr val="FF0000"/>
              </a:solidFill>
              <a:round/>
            </a:ln>
            <a:effectLst/>
          </c:spPr>
          <c:marker>
            <c:symbol val="none"/>
          </c:marker>
          <c:val>
            <c:numRef>
              <c:f>'TERRENO E BENFEITORIAS'!$X$324:$X$335</c:f>
              <c:numCache>
                <c:formatCode>#,##0.00_ ;[Red]\-#,##0.00\ </c:formatCode>
                <c:ptCount val="12"/>
                <c:pt idx="0">
                  <c:v>453.04397173916351</c:v>
                </c:pt>
                <c:pt idx="1">
                  <c:v>453.04397173916351</c:v>
                </c:pt>
                <c:pt idx="2">
                  <c:v>453.04397173916351</c:v>
                </c:pt>
                <c:pt idx="3">
                  <c:v>453.04397173916351</c:v>
                </c:pt>
                <c:pt idx="4">
                  <c:v>453.04397173916351</c:v>
                </c:pt>
                <c:pt idx="5">
                  <c:v>453.04397173916351</c:v>
                </c:pt>
                <c:pt idx="6">
                  <c:v>453.04397173916351</c:v>
                </c:pt>
                <c:pt idx="7">
                  <c:v>453.04397173916351</c:v>
                </c:pt>
                <c:pt idx="8">
                  <c:v>453.04397173916351</c:v>
                </c:pt>
                <c:pt idx="9">
                  <c:v>453.04397173916351</c:v>
                </c:pt>
                <c:pt idx="10">
                  <c:v>453.04397173916351</c:v>
                </c:pt>
                <c:pt idx="11">
                  <c:v>453.04397173916351</c:v>
                </c:pt>
              </c:numCache>
            </c:numRef>
          </c:val>
          <c:smooth val="0"/>
          <c:extLst>
            <c:ext xmlns:c16="http://schemas.microsoft.com/office/drawing/2014/chart" uri="{C3380CC4-5D6E-409C-BE32-E72D297353CC}">
              <c16:uniqueId val="{00000001-D193-4B30-9374-003D7D49367B}"/>
            </c:ext>
          </c:extLst>
        </c:ser>
        <c:ser>
          <c:idx val="2"/>
          <c:order val="3"/>
          <c:tx>
            <c:strRef>
              <c:f>'TERRENO E BENFEITORIAS'!$Y$323</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BENFEITORIAS'!$Y$324:$Y$335</c:f>
              <c:numCache>
                <c:formatCode>#,##0.00_ ;[Red]\-#,##0.00\ </c:formatCode>
                <c:ptCount val="12"/>
                <c:pt idx="0">
                  <c:v>577.96360594445241</c:v>
                </c:pt>
                <c:pt idx="1">
                  <c:v>577.96360594445241</c:v>
                </c:pt>
                <c:pt idx="2">
                  <c:v>577.96360594445241</c:v>
                </c:pt>
                <c:pt idx="3">
                  <c:v>577.96360594445241</c:v>
                </c:pt>
                <c:pt idx="4">
                  <c:v>577.96360594445241</c:v>
                </c:pt>
                <c:pt idx="5">
                  <c:v>577.96360594445241</c:v>
                </c:pt>
                <c:pt idx="6">
                  <c:v>577.96360594445241</c:v>
                </c:pt>
                <c:pt idx="7">
                  <c:v>577.96360594445241</c:v>
                </c:pt>
                <c:pt idx="8">
                  <c:v>577.96360594445241</c:v>
                </c:pt>
                <c:pt idx="9">
                  <c:v>577.96360594445241</c:v>
                </c:pt>
                <c:pt idx="10">
                  <c:v>577.96360594445241</c:v>
                </c:pt>
                <c:pt idx="11">
                  <c:v>577.96360594445241</c:v>
                </c:pt>
              </c:numCache>
            </c:numRef>
          </c:val>
          <c:smooth val="0"/>
          <c:extLst>
            <c:ext xmlns:c16="http://schemas.microsoft.com/office/drawing/2014/chart" uri="{C3380CC4-5D6E-409C-BE32-E72D297353CC}">
              <c16:uniqueId val="{00000002-D193-4B30-9374-003D7D49367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BENFEITORIAS'!$C$305</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BENFEITORIAS'!$C$306:$C$317</c:f>
              <c:numCache>
                <c:formatCode>#,##0.00_ ;[Red]\-#,##0.00\ </c:formatCode>
                <c:ptCount val="12"/>
                <c:pt idx="0">
                  <c:v>500</c:v>
                </c:pt>
                <c:pt idx="1">
                  <c:v>480.93750000000011</c:v>
                </c:pt>
                <c:pt idx="2">
                  <c:v>527.25000000000011</c:v>
                </c:pt>
                <c:pt idx="3">
                  <c:v>541.50000000000011</c:v>
                </c:pt>
                <c:pt idx="4">
                  <c:v>527.25000000000011</c:v>
                </c:pt>
                <c:pt idx="5">
                  <c:v>513.00000000000011</c:v>
                </c:pt>
                <c:pt idx="6">
                  <c:v>474.99999999999989</c:v>
                </c:pt>
                <c:pt idx="7">
                  <c:v>530.10000000000014</c:v>
                </c:pt>
                <c:pt idx="8">
                  <c:v>526.68000000000006</c:v>
                </c:pt>
                <c:pt idx="9">
                  <c:v>538.65000000000009</c:v>
                </c:pt>
                <c:pt idx="10">
                  <c:v>474.99999999999989</c:v>
                </c:pt>
                <c:pt idx="11">
                  <c:v>550.67796610169501</c:v>
                </c:pt>
              </c:numCache>
            </c:numRef>
          </c:yVal>
          <c:smooth val="0"/>
          <c:extLst>
            <c:ext xmlns:c16="http://schemas.microsoft.com/office/drawing/2014/chart" uri="{C3380CC4-5D6E-409C-BE32-E72D297353CC}">
              <c16:uniqueId val="{00000003-D193-4B30-9374-003D7D49367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BENFEITORIAS'!$Z$240</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BENFEITORIAS'!$Z$241:$Z$252</c:f>
              <c:numCache>
                <c:formatCode>#,##0.00_ ;[Red]\-#,##0.00\ </c:formatCode>
                <c:ptCount val="12"/>
                <c:pt idx="0">
                  <c:v>515.50378884180793</c:v>
                </c:pt>
                <c:pt idx="1">
                  <c:v>515.50378884180793</c:v>
                </c:pt>
                <c:pt idx="2">
                  <c:v>515.50378884180793</c:v>
                </c:pt>
                <c:pt idx="3">
                  <c:v>515.50378884180793</c:v>
                </c:pt>
                <c:pt idx="4">
                  <c:v>515.50378884180793</c:v>
                </c:pt>
                <c:pt idx="5">
                  <c:v>515.50378884180793</c:v>
                </c:pt>
                <c:pt idx="6">
                  <c:v>515.50378884180793</c:v>
                </c:pt>
                <c:pt idx="7">
                  <c:v>515.50378884180793</c:v>
                </c:pt>
                <c:pt idx="8">
                  <c:v>515.50378884180793</c:v>
                </c:pt>
                <c:pt idx="9">
                  <c:v>515.50378884180793</c:v>
                </c:pt>
                <c:pt idx="10">
                  <c:v>515.50378884180793</c:v>
                </c:pt>
                <c:pt idx="11">
                  <c:v>515.50378884180793</c:v>
                </c:pt>
              </c:numCache>
            </c:numRef>
          </c:val>
          <c:smooth val="0"/>
          <c:extLst>
            <c:ext xmlns:c16="http://schemas.microsoft.com/office/drawing/2014/chart" uri="{C3380CC4-5D6E-409C-BE32-E72D297353CC}">
              <c16:uniqueId val="{00000000-E286-40BD-84C6-03D3EDAECB7D}"/>
            </c:ext>
          </c:extLst>
        </c:ser>
        <c:ser>
          <c:idx val="2"/>
          <c:order val="2"/>
          <c:tx>
            <c:strRef>
              <c:f>'TERRENO E BENFEITORIAS'!$Y$240</c:f>
              <c:strCache>
                <c:ptCount val="1"/>
                <c:pt idx="0">
                  <c:v>Limite superior</c:v>
                </c:pt>
              </c:strCache>
            </c:strRef>
          </c:tx>
          <c:spPr>
            <a:ln w="12700" cap="sq">
              <a:solidFill>
                <a:srgbClr val="0070C0"/>
              </a:solidFill>
              <a:prstDash val="solid"/>
              <a:round/>
            </a:ln>
            <a:effectLst/>
          </c:spPr>
          <c:marker>
            <c:symbol val="none"/>
          </c:marker>
          <c:val>
            <c:numRef>
              <c:f>'TERRENO E BENFEITORIAS'!$Y$241:$Y$252</c:f>
              <c:numCache>
                <c:formatCode>#,##0.00_ ;[Red]\-#,##0.00\ </c:formatCode>
                <c:ptCount val="12"/>
                <c:pt idx="0">
                  <c:v>670.15492549435032</c:v>
                </c:pt>
                <c:pt idx="1">
                  <c:v>670.15492549435032</c:v>
                </c:pt>
                <c:pt idx="2">
                  <c:v>670.15492549435032</c:v>
                </c:pt>
                <c:pt idx="3">
                  <c:v>670.15492549435032</c:v>
                </c:pt>
                <c:pt idx="4">
                  <c:v>670.15492549435032</c:v>
                </c:pt>
                <c:pt idx="5">
                  <c:v>670.15492549435032</c:v>
                </c:pt>
                <c:pt idx="6">
                  <c:v>670.15492549435032</c:v>
                </c:pt>
                <c:pt idx="7">
                  <c:v>670.15492549435032</c:v>
                </c:pt>
                <c:pt idx="8">
                  <c:v>670.15492549435032</c:v>
                </c:pt>
                <c:pt idx="9">
                  <c:v>670.15492549435032</c:v>
                </c:pt>
                <c:pt idx="10">
                  <c:v>670.15492549435032</c:v>
                </c:pt>
                <c:pt idx="11">
                  <c:v>670.15492549435032</c:v>
                </c:pt>
              </c:numCache>
            </c:numRef>
          </c:val>
          <c:smooth val="0"/>
          <c:extLst>
            <c:ext xmlns:c16="http://schemas.microsoft.com/office/drawing/2014/chart" uri="{C3380CC4-5D6E-409C-BE32-E72D297353CC}">
              <c16:uniqueId val="{00000001-E286-40BD-84C6-03D3EDAECB7D}"/>
            </c:ext>
          </c:extLst>
        </c:ser>
        <c:ser>
          <c:idx val="1"/>
          <c:order val="3"/>
          <c:tx>
            <c:strRef>
              <c:f>'TERRENO E BENFEITORIAS'!$X$240</c:f>
              <c:strCache>
                <c:ptCount val="1"/>
                <c:pt idx="0">
                  <c:v>Limite inferior</c:v>
                </c:pt>
              </c:strCache>
            </c:strRef>
          </c:tx>
          <c:spPr>
            <a:ln w="12700" cap="sq">
              <a:solidFill>
                <a:srgbClr val="FF0000"/>
              </a:solidFill>
              <a:round/>
            </a:ln>
            <a:effectLst/>
          </c:spPr>
          <c:marker>
            <c:symbol val="none"/>
          </c:marker>
          <c:val>
            <c:numRef>
              <c:f>'TERRENO E BENFEITORIAS'!$X$241:$X$252</c:f>
              <c:numCache>
                <c:formatCode>#,##0.00_ ;[Red]\-#,##0.00\ </c:formatCode>
                <c:ptCount val="12"/>
                <c:pt idx="0">
                  <c:v>360.85265218926554</c:v>
                </c:pt>
                <c:pt idx="1">
                  <c:v>360.85265218926554</c:v>
                </c:pt>
                <c:pt idx="2">
                  <c:v>360.85265218926554</c:v>
                </c:pt>
                <c:pt idx="3">
                  <c:v>360.85265218926554</c:v>
                </c:pt>
                <c:pt idx="4">
                  <c:v>360.85265218926554</c:v>
                </c:pt>
                <c:pt idx="5">
                  <c:v>360.85265218926554</c:v>
                </c:pt>
                <c:pt idx="6">
                  <c:v>360.85265218926554</c:v>
                </c:pt>
                <c:pt idx="7">
                  <c:v>360.85265218926554</c:v>
                </c:pt>
                <c:pt idx="8">
                  <c:v>360.85265218926554</c:v>
                </c:pt>
                <c:pt idx="9">
                  <c:v>360.85265218926554</c:v>
                </c:pt>
                <c:pt idx="10">
                  <c:v>360.85265218926554</c:v>
                </c:pt>
                <c:pt idx="11">
                  <c:v>360.85265218926554</c:v>
                </c:pt>
              </c:numCache>
            </c:numRef>
          </c:val>
          <c:smooth val="0"/>
          <c:extLst>
            <c:ext xmlns:c16="http://schemas.microsoft.com/office/drawing/2014/chart" uri="{C3380CC4-5D6E-409C-BE32-E72D297353CC}">
              <c16:uniqueId val="{00000002-E286-40BD-84C6-03D3EDAECB7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BENFEITORIAS'!$C$236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BENFEITORIAS'!$C$237:$C$248</c:f>
              <c:numCache>
                <c:formatCode>#,##0.00_ ;[Red]\-#,##0.00\ </c:formatCode>
                <c:ptCount val="12"/>
                <c:pt idx="0">
                  <c:v>500</c:v>
                </c:pt>
                <c:pt idx="1">
                  <c:v>480.93750000000011</c:v>
                </c:pt>
                <c:pt idx="2">
                  <c:v>527.25000000000011</c:v>
                </c:pt>
                <c:pt idx="3">
                  <c:v>541.50000000000011</c:v>
                </c:pt>
                <c:pt idx="4">
                  <c:v>527.25000000000011</c:v>
                </c:pt>
                <c:pt idx="5">
                  <c:v>513.00000000000011</c:v>
                </c:pt>
                <c:pt idx="6">
                  <c:v>474.99999999999989</c:v>
                </c:pt>
                <c:pt idx="7">
                  <c:v>530.10000000000014</c:v>
                </c:pt>
                <c:pt idx="8">
                  <c:v>526.68000000000006</c:v>
                </c:pt>
                <c:pt idx="9">
                  <c:v>538.65000000000009</c:v>
                </c:pt>
                <c:pt idx="10">
                  <c:v>474.99999999999989</c:v>
                </c:pt>
                <c:pt idx="11">
                  <c:v>550.67796610169501</c:v>
                </c:pt>
              </c:numCache>
            </c:numRef>
          </c:yVal>
          <c:smooth val="0"/>
          <c:extLst>
            <c:ext xmlns:c16="http://schemas.microsoft.com/office/drawing/2014/chart" uri="{C3380CC4-5D6E-409C-BE32-E72D297353CC}">
              <c16:uniqueId val="{00000003-E286-40BD-84C6-03D3EDAECB7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BENFEITORIAS'!$K$53:$K$64</c:f>
              <c:numCache>
                <c:formatCode>#,##0.00_ ;[Red]\-#,##0.00\ </c:formatCode>
                <c:ptCount val="12"/>
                <c:pt idx="0">
                  <c:v>0.95000000000000018</c:v>
                </c:pt>
                <c:pt idx="1">
                  <c:v>1</c:v>
                </c:pt>
                <c:pt idx="2">
                  <c:v>1</c:v>
                </c:pt>
                <c:pt idx="3">
                  <c:v>1</c:v>
                </c:pt>
                <c:pt idx="4">
                  <c:v>1</c:v>
                </c:pt>
                <c:pt idx="5">
                  <c:v>1</c:v>
                </c:pt>
                <c:pt idx="6">
                  <c:v>0.90000000000000036</c:v>
                </c:pt>
                <c:pt idx="7">
                  <c:v>1</c:v>
                </c:pt>
                <c:pt idx="8">
                  <c:v>1</c:v>
                </c:pt>
                <c:pt idx="9">
                  <c:v>1</c:v>
                </c:pt>
                <c:pt idx="10">
                  <c:v>0.90000000000000036</c:v>
                </c:pt>
                <c:pt idx="11">
                  <c:v>1</c:v>
                </c:pt>
              </c:numCache>
            </c:numRef>
          </c:val>
          <c:extLst>
            <c:ext xmlns:c16="http://schemas.microsoft.com/office/drawing/2014/chart" uri="{C3380CC4-5D6E-409C-BE32-E72D297353CC}">
              <c16:uniqueId val="{00000000-1B84-45E2-B417-7417E772985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1B84-45E2-B417-7417E772985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Faixa de variação dos fatores por melhoramentos públicos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1"/>
          <c:order val="1"/>
          <c:tx>
            <c:strRef>
              <c:f>'TERRENO E BENFEITORIAS'!$V$211</c:f>
              <c:strCache>
                <c:ptCount val="1"/>
                <c:pt idx="0">
                  <c:v>Elementos da amostra após a homogeneização</c:v>
                </c:pt>
              </c:strCache>
            </c:strRef>
          </c:tx>
          <c:spPr>
            <a:solidFill>
              <a:srgbClr val="213A8F"/>
            </a:solidFill>
            <a:ln>
              <a:noFill/>
            </a:ln>
            <a:effectLst/>
          </c:spPr>
          <c:invertIfNegative val="0"/>
          <c:val>
            <c:numRef>
              <c:f>'TERRENO E BENFEITORIAS'!$V$212:$V$223</c:f>
              <c:numCache>
                <c:formatCode>#,##0.00_ ;[Red]\-#,##0.00\ </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extLst>
            <c:ext xmlns:c16="http://schemas.microsoft.com/office/drawing/2014/chart" uri="{C3380CC4-5D6E-409C-BE32-E72D297353CC}">
              <c16:uniqueId val="{0000000C-6880-4919-9517-3840079058D3}"/>
            </c:ext>
          </c:extLst>
        </c:ser>
        <c:ser>
          <c:idx val="3"/>
          <c:order val="3"/>
          <c:tx>
            <c:strRef>
              <c:f>'TERRENO E BENFEITORIAS'!$X$211</c:f>
              <c:strCache>
                <c:ptCount val="1"/>
                <c:pt idx="0">
                  <c:v>Faixa inalterável</c:v>
                </c:pt>
              </c:strCache>
            </c:strRef>
          </c:tx>
          <c:spPr>
            <a:solidFill>
              <a:schemeClr val="bg1">
                <a:lumMod val="85000"/>
              </a:schemeClr>
            </a:solidFill>
            <a:ln>
              <a:noFill/>
            </a:ln>
            <a:effectLst/>
          </c:spPr>
          <c:invertIfNegative val="0"/>
          <c:val>
            <c:numRef>
              <c:f>'TERRENO E BENFEITORIAS'!$X$212:$X$223</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D-6880-4919-9517-3840079058D3}"/>
            </c:ext>
          </c:extLst>
        </c:ser>
        <c:dLbls>
          <c:showLegendKey val="0"/>
          <c:showVal val="0"/>
          <c:showCatName val="0"/>
          <c:showSerName val="0"/>
          <c:showPercent val="0"/>
          <c:showBubbleSize val="0"/>
        </c:dLbls>
        <c:gapWidth val="219"/>
        <c:overlap val="100"/>
        <c:axId val="1095974352"/>
        <c:axId val="1095975312"/>
      </c:barChart>
      <c:lineChart>
        <c:grouping val="standard"/>
        <c:varyColors val="0"/>
        <c:ser>
          <c:idx val="0"/>
          <c:order val="0"/>
          <c:tx>
            <c:strRef>
              <c:f>'TERRENO E BENFEITORIAS'!$U$179</c:f>
              <c:strCache>
                <c:ptCount val="1"/>
                <c:pt idx="0">
                  <c:v>Fator mínimo</c:v>
                </c:pt>
              </c:strCache>
            </c:strRef>
          </c:tx>
          <c:spPr>
            <a:ln w="28575" cap="rnd">
              <a:solidFill>
                <a:schemeClr val="tx2">
                  <a:lumMod val="50000"/>
                  <a:lumOff val="50000"/>
                </a:schemeClr>
              </a:solidFill>
              <a:round/>
            </a:ln>
            <a:effectLst/>
          </c:spPr>
          <c:marker>
            <c:symbol val="none"/>
          </c:marker>
          <c:val>
            <c:numRef>
              <c:f>'TERRENO E BENFEITORIAS'!$U$180:$U$191</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E-6880-4919-9517-3840079058D3}"/>
            </c:ext>
          </c:extLst>
        </c:ser>
        <c:ser>
          <c:idx val="2"/>
          <c:order val="2"/>
          <c:tx>
            <c:strRef>
              <c:f>'TERRENO E BENFEITORIAS'!$W$211</c:f>
              <c:strCache>
                <c:ptCount val="1"/>
                <c:pt idx="0">
                  <c:v>Fator máximo</c:v>
                </c:pt>
              </c:strCache>
            </c:strRef>
          </c:tx>
          <c:spPr>
            <a:ln w="28575" cap="rnd">
              <a:solidFill>
                <a:schemeClr val="bg1">
                  <a:lumMod val="50000"/>
                </a:schemeClr>
              </a:solidFill>
              <a:round/>
            </a:ln>
            <a:effectLst/>
          </c:spPr>
          <c:marker>
            <c:symbol val="none"/>
          </c:marker>
          <c:val>
            <c:numRef>
              <c:f>'TERRENO E BENFEITORIAS'!$W$212:$W$223</c:f>
              <c:numCache>
                <c:formatCode>General</c:formatCode>
                <c:ptCount val="12"/>
                <c:pt idx="0">
                  <c:v>1.82</c:v>
                </c:pt>
                <c:pt idx="1">
                  <c:v>1.82</c:v>
                </c:pt>
                <c:pt idx="2">
                  <c:v>1.82</c:v>
                </c:pt>
                <c:pt idx="3">
                  <c:v>1.82</c:v>
                </c:pt>
                <c:pt idx="4">
                  <c:v>1.82</c:v>
                </c:pt>
                <c:pt idx="5">
                  <c:v>1.82</c:v>
                </c:pt>
                <c:pt idx="6">
                  <c:v>1.82</c:v>
                </c:pt>
                <c:pt idx="7">
                  <c:v>1.82</c:v>
                </c:pt>
                <c:pt idx="8">
                  <c:v>1.82</c:v>
                </c:pt>
                <c:pt idx="9">
                  <c:v>1.82</c:v>
                </c:pt>
                <c:pt idx="10">
                  <c:v>1.82</c:v>
                </c:pt>
                <c:pt idx="11">
                  <c:v>1.82</c:v>
                </c:pt>
              </c:numCache>
            </c:numRef>
          </c:val>
          <c:smooth val="0"/>
          <c:extLst>
            <c:ext xmlns:c16="http://schemas.microsoft.com/office/drawing/2014/chart" uri="{C3380CC4-5D6E-409C-BE32-E72D297353CC}">
              <c16:uniqueId val="{0000000F-6880-4919-9517-3840079058D3}"/>
            </c:ext>
          </c:extLst>
        </c:ser>
        <c:dLbls>
          <c:showLegendKey val="0"/>
          <c:showVal val="0"/>
          <c:showCatName val="0"/>
          <c:showSerName val="0"/>
          <c:showPercent val="0"/>
          <c:showBubbleSize val="0"/>
        </c:dLbls>
        <c:marker val="1"/>
        <c:smooth val="0"/>
        <c:axId val="1095974352"/>
        <c:axId val="1095975312"/>
      </c:lineChart>
      <c:catAx>
        <c:axId val="109597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5312"/>
        <c:crosses val="autoZero"/>
        <c:auto val="1"/>
        <c:lblAlgn val="ctr"/>
        <c:lblOffset val="100"/>
        <c:noMultiLvlLbl val="0"/>
      </c:catAx>
      <c:valAx>
        <c:axId val="1095975312"/>
        <c:scaling>
          <c:orientation val="minMax"/>
          <c:max val="2"/>
          <c:min val="0"/>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435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Faixa de variação dos fatores por melhoramentos públicos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1"/>
          <c:order val="1"/>
          <c:tx>
            <c:strRef>
              <c:f>'TERRENO E BENFEITORIAS'!$V$179</c:f>
              <c:strCache>
                <c:ptCount val="1"/>
                <c:pt idx="0">
                  <c:v>Elementos da amostra antes da homogeneização</c:v>
                </c:pt>
              </c:strCache>
            </c:strRef>
          </c:tx>
          <c:spPr>
            <a:solidFill>
              <a:srgbClr val="FF0000"/>
            </a:solidFill>
            <a:ln>
              <a:noFill/>
            </a:ln>
            <a:effectLst/>
          </c:spPr>
          <c:invertIfNegative val="0"/>
          <c:val>
            <c:numRef>
              <c:f>'TERRENO E BENFEITORIAS'!$V$180:$V$191</c:f>
              <c:numCache>
                <c:formatCode>#,##0.00_ ;[Red]\-#,##0.00\ </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extLst>
            <c:ext xmlns:c16="http://schemas.microsoft.com/office/drawing/2014/chart" uri="{C3380CC4-5D6E-409C-BE32-E72D297353CC}">
              <c16:uniqueId val="{0000000C-1123-4645-8B45-C21A4E9AC0F4}"/>
            </c:ext>
          </c:extLst>
        </c:ser>
        <c:ser>
          <c:idx val="3"/>
          <c:order val="3"/>
          <c:tx>
            <c:strRef>
              <c:f>'TERRENO E BENFEITORIAS'!$X$179</c:f>
              <c:strCache>
                <c:ptCount val="1"/>
                <c:pt idx="0">
                  <c:v>Faixa inalterável</c:v>
                </c:pt>
              </c:strCache>
            </c:strRef>
          </c:tx>
          <c:spPr>
            <a:solidFill>
              <a:schemeClr val="bg1">
                <a:lumMod val="85000"/>
              </a:schemeClr>
            </a:solidFill>
            <a:ln>
              <a:noFill/>
            </a:ln>
            <a:effectLst/>
          </c:spPr>
          <c:invertIfNegative val="0"/>
          <c:val>
            <c:numRef>
              <c:f>'TERRENO E BENFEITORIAS'!$X$180:$X$191</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D-1123-4645-8B45-C21A4E9AC0F4}"/>
            </c:ext>
          </c:extLst>
        </c:ser>
        <c:dLbls>
          <c:showLegendKey val="0"/>
          <c:showVal val="0"/>
          <c:showCatName val="0"/>
          <c:showSerName val="0"/>
          <c:showPercent val="0"/>
          <c:showBubbleSize val="0"/>
        </c:dLbls>
        <c:gapWidth val="219"/>
        <c:overlap val="100"/>
        <c:axId val="1095974352"/>
        <c:axId val="1095975312"/>
      </c:barChart>
      <c:lineChart>
        <c:grouping val="standard"/>
        <c:varyColors val="0"/>
        <c:ser>
          <c:idx val="0"/>
          <c:order val="0"/>
          <c:tx>
            <c:strRef>
              <c:f>'TERRENO E BENFEITORIAS'!$U$179</c:f>
              <c:strCache>
                <c:ptCount val="1"/>
                <c:pt idx="0">
                  <c:v>Fator mínimo</c:v>
                </c:pt>
              </c:strCache>
            </c:strRef>
          </c:tx>
          <c:spPr>
            <a:ln w="28575" cap="rnd">
              <a:solidFill>
                <a:schemeClr val="tx2">
                  <a:lumMod val="50000"/>
                  <a:lumOff val="50000"/>
                </a:schemeClr>
              </a:solidFill>
              <a:round/>
            </a:ln>
            <a:effectLst/>
          </c:spPr>
          <c:marker>
            <c:symbol val="none"/>
          </c:marker>
          <c:val>
            <c:numRef>
              <c:f>'TERRENO E BENFEITORIAS'!$U$180:$U$191</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E-1123-4645-8B45-C21A4E9AC0F4}"/>
            </c:ext>
          </c:extLst>
        </c:ser>
        <c:ser>
          <c:idx val="2"/>
          <c:order val="2"/>
          <c:tx>
            <c:strRef>
              <c:f>'TERRENO E BENFEITORIAS'!$W$179</c:f>
              <c:strCache>
                <c:ptCount val="1"/>
                <c:pt idx="0">
                  <c:v>Fator máximo</c:v>
                </c:pt>
              </c:strCache>
            </c:strRef>
          </c:tx>
          <c:spPr>
            <a:ln w="28575" cap="rnd">
              <a:solidFill>
                <a:schemeClr val="bg1">
                  <a:lumMod val="50000"/>
                </a:schemeClr>
              </a:solidFill>
              <a:round/>
            </a:ln>
            <a:effectLst/>
          </c:spPr>
          <c:marker>
            <c:symbol val="none"/>
          </c:marker>
          <c:val>
            <c:numRef>
              <c:f>'TERRENO E BENFEITORIAS'!$W$180:$W$191</c:f>
              <c:numCache>
                <c:formatCode>General</c:formatCode>
                <c:ptCount val="12"/>
                <c:pt idx="0">
                  <c:v>1.82</c:v>
                </c:pt>
                <c:pt idx="1">
                  <c:v>1.82</c:v>
                </c:pt>
                <c:pt idx="2">
                  <c:v>1.82</c:v>
                </c:pt>
                <c:pt idx="3">
                  <c:v>1.82</c:v>
                </c:pt>
                <c:pt idx="4">
                  <c:v>1.82</c:v>
                </c:pt>
                <c:pt idx="5">
                  <c:v>1.82</c:v>
                </c:pt>
                <c:pt idx="6">
                  <c:v>1.82</c:v>
                </c:pt>
                <c:pt idx="7">
                  <c:v>1.82</c:v>
                </c:pt>
                <c:pt idx="8">
                  <c:v>1.82</c:v>
                </c:pt>
                <c:pt idx="9">
                  <c:v>1.82</c:v>
                </c:pt>
                <c:pt idx="10">
                  <c:v>1.82</c:v>
                </c:pt>
                <c:pt idx="11">
                  <c:v>1.82</c:v>
                </c:pt>
              </c:numCache>
            </c:numRef>
          </c:val>
          <c:smooth val="0"/>
          <c:extLst>
            <c:ext xmlns:c16="http://schemas.microsoft.com/office/drawing/2014/chart" uri="{C3380CC4-5D6E-409C-BE32-E72D297353CC}">
              <c16:uniqueId val="{0000000F-1123-4645-8B45-C21A4E9AC0F4}"/>
            </c:ext>
          </c:extLst>
        </c:ser>
        <c:dLbls>
          <c:showLegendKey val="0"/>
          <c:showVal val="0"/>
          <c:showCatName val="0"/>
          <c:showSerName val="0"/>
          <c:showPercent val="0"/>
          <c:showBubbleSize val="0"/>
        </c:dLbls>
        <c:marker val="1"/>
        <c:smooth val="0"/>
        <c:axId val="1095974352"/>
        <c:axId val="1095975312"/>
      </c:lineChart>
      <c:catAx>
        <c:axId val="109597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5312"/>
        <c:crosses val="autoZero"/>
        <c:auto val="1"/>
        <c:lblAlgn val="ctr"/>
        <c:lblOffset val="100"/>
        <c:noMultiLvlLbl val="0"/>
      </c:catAx>
      <c:valAx>
        <c:axId val="1095975312"/>
        <c:scaling>
          <c:orientation val="minMax"/>
          <c:max val="2"/>
          <c:min val="0"/>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435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hart" Target="../charts/chart9.xml"/><Relationship Id="rId3" Type="http://schemas.openxmlformats.org/officeDocument/2006/relationships/chart" Target="../charts/chart2.xml"/><Relationship Id="rId7" Type="http://schemas.openxmlformats.org/officeDocument/2006/relationships/image" Target="../media/image3.png"/><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7.xml"/><Relationship Id="rId5" Type="http://schemas.openxmlformats.org/officeDocument/2006/relationships/image" Target="../media/image2.png"/><Relationship Id="rId10" Type="http://schemas.openxmlformats.org/officeDocument/2006/relationships/chart" Target="../charts/chart6.xml"/><Relationship Id="rId4" Type="http://schemas.openxmlformats.org/officeDocument/2006/relationships/chart" Target="../charts/chart3.xml"/><Relationship Id="rId9" Type="http://schemas.openxmlformats.org/officeDocument/2006/relationships/chart" Target="../charts/chart5.xml"/><Relationship Id="rId14" Type="http://schemas.openxmlformats.org/officeDocument/2006/relationships/chart" Target="../charts/chart10.xml"/></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3</xdr:col>
      <xdr:colOff>0</xdr:colOff>
      <xdr:row>72</xdr:row>
      <xdr:rowOff>0</xdr:rowOff>
    </xdr:from>
    <xdr:to>
      <xdr:col>15</xdr:col>
      <xdr:colOff>422100</xdr:colOff>
      <xdr:row>86</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106</xdr:row>
      <xdr:rowOff>0</xdr:rowOff>
    </xdr:from>
    <xdr:to>
      <xdr:col>15</xdr:col>
      <xdr:colOff>422100</xdr:colOff>
      <xdr:row>120</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0</xdr:colOff>
      <xdr:row>125</xdr:row>
      <xdr:rowOff>0</xdr:rowOff>
    </xdr:from>
    <xdr:to>
      <xdr:col>15</xdr:col>
      <xdr:colOff>422100</xdr:colOff>
      <xdr:row>139</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0</xdr:colOff>
      <xdr:row>485</xdr:row>
      <xdr:rowOff>0</xdr:rowOff>
    </xdr:from>
    <xdr:to>
      <xdr:col>11</xdr:col>
      <xdr:colOff>423025</xdr:colOff>
      <xdr:row>496</xdr:row>
      <xdr:rowOff>202462</xdr:rowOff>
    </xdr:to>
    <xdr:pic>
      <xdr:nvPicPr>
        <xdr:cNvPr id="21" name="Imagem 20"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F85F553E-B1CA-46FC-8C2B-B27CD4308C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1512794" y="118883206"/>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530</xdr:row>
      <xdr:rowOff>0</xdr:rowOff>
    </xdr:from>
    <xdr:to>
      <xdr:col>12</xdr:col>
      <xdr:colOff>192095</xdr:colOff>
      <xdr:row>540</xdr:row>
      <xdr:rowOff>208846</xdr:rowOff>
    </xdr:to>
    <xdr:graphicFrame macro="">
      <xdr:nvGraphicFramePr>
        <xdr:cNvPr id="22" name="Gráfico 21">
          <a:extLst>
            <a:ext uri="{FF2B5EF4-FFF2-40B4-BE49-F238E27FC236}">
              <a16:creationId xmlns:a16="http://schemas.microsoft.com/office/drawing/2014/main" id="{4BFFB613-9DBA-4950-B53B-0DDE55DAA2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416</xdr:row>
      <xdr:rowOff>0</xdr:rowOff>
    </xdr:from>
    <xdr:to>
      <xdr:col>6</xdr:col>
      <xdr:colOff>201526</xdr:colOff>
      <xdr:row>420</xdr:row>
      <xdr:rowOff>159877</xdr:rowOff>
    </xdr:to>
    <xdr:pic>
      <xdr:nvPicPr>
        <xdr:cNvPr id="25" name="Imagem 24" descr=" \alpha = \left ( \dfrac{t}{T} + \dfrac{t^2}{T^2} \right ) \cdot \dfrac{1}{2}  \vspace{0.5cm} \\ \begin{tabular}{llcl} \\ Sendo: &amp; &amp; &amp; \\ &amp; t &amp; = &amp; idade real ou aparente da edificação \\ &amp; T &amp; = &amp; vida útil referencial \\ \end{tabular} ">
          <a:extLst>
            <a:ext uri="{FF2B5EF4-FFF2-40B4-BE49-F238E27FC236}">
              <a16:creationId xmlns:a16="http://schemas.microsoft.com/office/drawing/2014/main" id="{59E4D41A-75CE-4478-B1D1-205A32B9A4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01357206"/>
          <a:ext cx="3227114" cy="114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499</xdr:row>
      <xdr:rowOff>0</xdr:rowOff>
    </xdr:from>
    <xdr:to>
      <xdr:col>16</xdr:col>
      <xdr:colOff>333831</xdr:colOff>
      <xdr:row>500</xdr:row>
      <xdr:rowOff>115376</xdr:rowOff>
    </xdr:to>
    <xdr:pic>
      <xdr:nvPicPr>
        <xdr:cNvPr id="27" name="Imagem 26" descr="  k_d = -d \\ f_d = 1 + k_d ">
          <a:extLst>
            <a:ext uri="{FF2B5EF4-FFF2-40B4-BE49-F238E27FC236}">
              <a16:creationId xmlns:a16="http://schemas.microsoft.com/office/drawing/2014/main" id="{DDB53A9D-3196-4AD5-BDBE-E994E00D371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7563971" y="122088088"/>
          <a:ext cx="838095" cy="3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285</xdr:row>
      <xdr:rowOff>0</xdr:rowOff>
    </xdr:from>
    <xdr:to>
      <xdr:col>14</xdr:col>
      <xdr:colOff>422100</xdr:colOff>
      <xdr:row>299</xdr:row>
      <xdr:rowOff>132900</xdr:rowOff>
    </xdr:to>
    <xdr:graphicFrame macro="">
      <xdr:nvGraphicFramePr>
        <xdr:cNvPr id="12" name="Gráfico 11">
          <a:extLst>
            <a:ext uri="{FF2B5EF4-FFF2-40B4-BE49-F238E27FC236}">
              <a16:creationId xmlns:a16="http://schemas.microsoft.com/office/drawing/2014/main" id="{41E7F0DF-C542-49C3-AC68-C48CD33AD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504815</xdr:colOff>
      <xdr:row>322</xdr:row>
      <xdr:rowOff>247649</xdr:rowOff>
    </xdr:from>
    <xdr:to>
      <xdr:col>14</xdr:col>
      <xdr:colOff>422090</xdr:colOff>
      <xdr:row>337</xdr:row>
      <xdr:rowOff>132899</xdr:rowOff>
    </xdr:to>
    <xdr:graphicFrame macro="">
      <xdr:nvGraphicFramePr>
        <xdr:cNvPr id="13" name="Gráfico 12">
          <a:extLst>
            <a:ext uri="{FF2B5EF4-FFF2-40B4-BE49-F238E27FC236}">
              <a16:creationId xmlns:a16="http://schemas.microsoft.com/office/drawing/2014/main" id="{34EB0F0D-5952-49E3-A38D-E0D0E9B92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0</xdr:colOff>
      <xdr:row>248</xdr:row>
      <xdr:rowOff>247649</xdr:rowOff>
    </xdr:from>
    <xdr:to>
      <xdr:col>14</xdr:col>
      <xdr:colOff>422100</xdr:colOff>
      <xdr:row>263</xdr:row>
      <xdr:rowOff>132899</xdr:rowOff>
    </xdr:to>
    <xdr:graphicFrame macro="">
      <xdr:nvGraphicFramePr>
        <xdr:cNvPr id="14" name="Gráfico 13">
          <a:extLst>
            <a:ext uri="{FF2B5EF4-FFF2-40B4-BE49-F238E27FC236}">
              <a16:creationId xmlns:a16="http://schemas.microsoft.com/office/drawing/2014/main" id="{9FC09CE2-2120-4E54-AAED-7C8160B6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3</xdr:col>
      <xdr:colOff>0</xdr:colOff>
      <xdr:row>88</xdr:row>
      <xdr:rowOff>0</xdr:rowOff>
    </xdr:from>
    <xdr:to>
      <xdr:col>15</xdr:col>
      <xdr:colOff>422100</xdr:colOff>
      <xdr:row>102</xdr:row>
      <xdr:rowOff>132900</xdr:rowOff>
    </xdr:to>
    <xdr:graphicFrame macro="">
      <xdr:nvGraphicFramePr>
        <xdr:cNvPr id="10" name="Gráfico 9">
          <a:extLst>
            <a:ext uri="{FF2B5EF4-FFF2-40B4-BE49-F238E27FC236}">
              <a16:creationId xmlns:a16="http://schemas.microsoft.com/office/drawing/2014/main" id="{7C86B006-BA25-45F4-9D17-1BA47DFD1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xdr:col>
      <xdr:colOff>0</xdr:colOff>
      <xdr:row>216</xdr:row>
      <xdr:rowOff>28575</xdr:rowOff>
    </xdr:from>
    <xdr:to>
      <xdr:col>15</xdr:col>
      <xdr:colOff>422100</xdr:colOff>
      <xdr:row>230</xdr:row>
      <xdr:rowOff>161475</xdr:rowOff>
    </xdr:to>
    <xdr:graphicFrame macro="">
      <xdr:nvGraphicFramePr>
        <xdr:cNvPr id="15" name="Gráfico 14">
          <a:extLst>
            <a:ext uri="{FF2B5EF4-FFF2-40B4-BE49-F238E27FC236}">
              <a16:creationId xmlns:a16="http://schemas.microsoft.com/office/drawing/2014/main" id="{F0147992-0768-4771-A5D2-617E77131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xdr:col>
      <xdr:colOff>0</xdr:colOff>
      <xdr:row>180</xdr:row>
      <xdr:rowOff>0</xdr:rowOff>
    </xdr:from>
    <xdr:to>
      <xdr:col>15</xdr:col>
      <xdr:colOff>422100</xdr:colOff>
      <xdr:row>194</xdr:row>
      <xdr:rowOff>132900</xdr:rowOff>
    </xdr:to>
    <xdr:graphicFrame macro="">
      <xdr:nvGraphicFramePr>
        <xdr:cNvPr id="16" name="Gráfico 15">
          <a:extLst>
            <a:ext uri="{FF2B5EF4-FFF2-40B4-BE49-F238E27FC236}">
              <a16:creationId xmlns:a16="http://schemas.microsoft.com/office/drawing/2014/main" id="{59CE0C11-A9B3-4902-9BF0-579864643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O580"/>
  <sheetViews>
    <sheetView tabSelected="1" zoomScaleNormal="100" workbookViewId="0"/>
  </sheetViews>
  <sheetFormatPr defaultColWidth="4.75" defaultRowHeight="20.100000000000001" customHeight="1" x14ac:dyDescent="0.25"/>
  <cols>
    <col min="1" max="19" width="6.625" style="11" customWidth="1"/>
    <col min="20" max="22" width="25.625" style="109" customWidth="1"/>
    <col min="23" max="23" width="25.625" style="110" customWidth="1"/>
    <col min="24" max="28" width="20.625" style="99" customWidth="1"/>
    <col min="29" max="129" width="4.75" style="99" customWidth="1"/>
    <col min="130" max="16384" width="4.75" style="99"/>
  </cols>
  <sheetData>
    <row r="1" spans="1:19" ht="140.1" customHeight="1" x14ac:dyDescent="0.25">
      <c r="A1" s="10"/>
      <c r="B1" s="10"/>
      <c r="C1" s="10"/>
      <c r="D1" s="10"/>
      <c r="E1" s="10"/>
      <c r="F1" s="10"/>
      <c r="G1" s="10"/>
      <c r="H1" s="10"/>
      <c r="I1" s="10"/>
      <c r="J1" s="10"/>
      <c r="K1" s="10"/>
      <c r="L1" s="10"/>
      <c r="M1" s="10"/>
      <c r="N1" s="10"/>
      <c r="O1" s="10"/>
      <c r="P1" s="10"/>
      <c r="Q1" s="10"/>
      <c r="R1" s="10"/>
      <c r="S1" s="10"/>
    </row>
    <row r="2" spans="1:19" ht="5.0999999999999996" customHeight="1" x14ac:dyDescent="0.25"/>
    <row r="3" spans="1:19" ht="5.0999999999999996" customHeight="1" x14ac:dyDescent="0.25">
      <c r="A3" s="10"/>
      <c r="B3" s="10"/>
      <c r="C3" s="10"/>
      <c r="D3" s="10"/>
      <c r="E3" s="10"/>
      <c r="F3" s="10"/>
      <c r="G3" s="10"/>
      <c r="H3" s="10"/>
      <c r="I3" s="10"/>
      <c r="J3" s="10"/>
      <c r="K3" s="10"/>
      <c r="L3" s="10"/>
      <c r="M3" s="10"/>
      <c r="N3" s="10"/>
      <c r="O3" s="10"/>
      <c r="P3" s="10"/>
      <c r="Q3" s="10"/>
      <c r="R3" s="10"/>
      <c r="S3" s="10"/>
    </row>
    <row r="5" spans="1:19" ht="20.100000000000001" customHeight="1" x14ac:dyDescent="0.25">
      <c r="A5" s="215" t="s">
        <v>250</v>
      </c>
      <c r="B5" s="215"/>
      <c r="C5" s="215"/>
      <c r="D5" s="215"/>
      <c r="E5" s="215"/>
      <c r="F5" s="215"/>
      <c r="G5" s="215"/>
      <c r="H5" s="215"/>
      <c r="I5" s="215"/>
      <c r="J5" s="215"/>
      <c r="K5" s="215"/>
      <c r="L5" s="215"/>
      <c r="M5" s="215"/>
      <c r="N5" s="215"/>
      <c r="O5" s="215"/>
      <c r="P5" s="215"/>
      <c r="Q5" s="215"/>
      <c r="R5" s="215"/>
      <c r="S5" s="215"/>
    </row>
    <row r="7" spans="1:19" ht="20.100000000000001" customHeight="1" x14ac:dyDescent="0.25">
      <c r="A7" s="215" t="s">
        <v>249</v>
      </c>
      <c r="B7" s="215"/>
      <c r="C7" s="215"/>
      <c r="D7" s="215"/>
      <c r="E7" s="215"/>
      <c r="F7" s="215"/>
      <c r="G7" s="215"/>
      <c r="H7" s="215"/>
      <c r="I7" s="215"/>
      <c r="J7" s="215"/>
      <c r="K7" s="215"/>
      <c r="L7" s="215"/>
      <c r="M7" s="215"/>
      <c r="N7" s="215"/>
      <c r="O7" s="215"/>
      <c r="P7" s="215"/>
      <c r="Q7" s="215"/>
      <c r="R7" s="215"/>
      <c r="S7" s="215"/>
    </row>
    <row r="9" spans="1:19" ht="20.100000000000001" customHeight="1" x14ac:dyDescent="0.25">
      <c r="A9" s="191" t="s">
        <v>256</v>
      </c>
      <c r="B9" s="191"/>
      <c r="C9" s="191"/>
      <c r="D9" s="191"/>
      <c r="E9" s="191"/>
      <c r="F9" s="191"/>
      <c r="G9" s="191"/>
      <c r="H9" s="191"/>
      <c r="I9" s="191"/>
      <c r="J9" s="191"/>
      <c r="K9" s="191"/>
      <c r="L9" s="191"/>
      <c r="M9" s="191"/>
      <c r="N9" s="191"/>
      <c r="O9" s="191"/>
      <c r="P9" s="191"/>
      <c r="Q9" s="191"/>
      <c r="R9" s="191"/>
      <c r="S9" s="191"/>
    </row>
    <row r="10" spans="1:19" ht="20.100000000000001" customHeight="1" x14ac:dyDescent="0.25">
      <c r="A10" s="219" t="s">
        <v>17</v>
      </c>
      <c r="B10" s="219"/>
      <c r="C10" s="219"/>
      <c r="D10" s="219" t="s">
        <v>88</v>
      </c>
      <c r="E10" s="219"/>
      <c r="F10" s="219"/>
      <c r="G10" s="219"/>
      <c r="H10" s="219"/>
      <c r="I10" s="219"/>
      <c r="J10" s="219"/>
      <c r="K10" s="219" t="s">
        <v>89</v>
      </c>
      <c r="L10" s="219"/>
      <c r="M10" s="219"/>
      <c r="N10" s="219"/>
      <c r="O10" s="219"/>
      <c r="P10" s="219"/>
      <c r="Q10" s="219"/>
      <c r="R10" s="219"/>
      <c r="S10" s="219"/>
    </row>
    <row r="11" spans="1:19" ht="20.100000000000001" customHeight="1" x14ac:dyDescent="0.25">
      <c r="A11" s="190">
        <v>2</v>
      </c>
      <c r="B11" s="190"/>
      <c r="C11" s="190"/>
      <c r="D11" s="190" t="s">
        <v>255</v>
      </c>
      <c r="E11" s="190"/>
      <c r="F11" s="190"/>
      <c r="G11" s="190"/>
      <c r="H11" s="190"/>
      <c r="I11" s="190"/>
      <c r="J11" s="190"/>
      <c r="K11" s="220" t="s">
        <v>92</v>
      </c>
      <c r="L11" s="220"/>
      <c r="M11" s="220"/>
      <c r="N11" s="190" t="s">
        <v>93</v>
      </c>
      <c r="O11" s="190"/>
      <c r="P11" s="190"/>
      <c r="Q11" s="190" t="s">
        <v>83</v>
      </c>
      <c r="R11" s="190"/>
      <c r="S11" s="190"/>
    </row>
    <row r="12" spans="1:19" ht="20.100000000000001" customHeight="1" x14ac:dyDescent="0.25">
      <c r="A12" s="190"/>
      <c r="B12" s="190"/>
      <c r="C12" s="190"/>
      <c r="D12" s="190"/>
      <c r="E12" s="190"/>
      <c r="F12" s="190"/>
      <c r="G12" s="190"/>
      <c r="H12" s="190"/>
      <c r="I12" s="190"/>
      <c r="J12" s="190"/>
      <c r="K12" s="220">
        <v>12</v>
      </c>
      <c r="L12" s="220"/>
      <c r="M12" s="220"/>
      <c r="N12" s="190">
        <v>5</v>
      </c>
      <c r="O12" s="190"/>
      <c r="P12" s="190"/>
      <c r="Q12" s="190">
        <v>3</v>
      </c>
      <c r="R12" s="190"/>
      <c r="S12" s="190"/>
    </row>
    <row r="15" spans="1:19" ht="20.100000000000001" customHeight="1" x14ac:dyDescent="0.25">
      <c r="A15" s="201" t="s">
        <v>20</v>
      </c>
      <c r="B15" s="201"/>
      <c r="C15" s="201"/>
      <c r="D15" s="201"/>
      <c r="E15" s="201"/>
      <c r="F15" s="201"/>
      <c r="G15" s="201"/>
      <c r="H15" s="201"/>
      <c r="I15" s="201"/>
      <c r="J15" s="201"/>
      <c r="K15" s="201"/>
      <c r="L15" s="201"/>
      <c r="M15" s="201"/>
      <c r="N15" s="201"/>
      <c r="O15" s="201"/>
      <c r="P15" s="201"/>
      <c r="Q15" s="201"/>
      <c r="R15" s="201"/>
      <c r="S15" s="201"/>
    </row>
    <row r="17" spans="1:22" ht="39.950000000000003" customHeight="1" thickBot="1" x14ac:dyDescent="0.3">
      <c r="A17" s="174" t="s">
        <v>17</v>
      </c>
      <c r="B17" s="174"/>
      <c r="C17" s="174" t="s">
        <v>480</v>
      </c>
      <c r="D17" s="174"/>
      <c r="E17" s="174"/>
      <c r="F17" s="174" t="s">
        <v>18</v>
      </c>
      <c r="G17" s="174"/>
      <c r="H17" s="174"/>
      <c r="I17" s="174" t="s">
        <v>19</v>
      </c>
      <c r="J17" s="174"/>
      <c r="K17" s="174"/>
      <c r="L17" s="174" t="s">
        <v>247</v>
      </c>
      <c r="M17" s="174"/>
      <c r="N17" s="174"/>
      <c r="O17" s="174" t="s">
        <v>21</v>
      </c>
      <c r="P17" s="174"/>
      <c r="Q17" s="174" t="s">
        <v>22</v>
      </c>
      <c r="R17" s="174"/>
      <c r="S17" s="174"/>
      <c r="U17" s="232" t="s">
        <v>14</v>
      </c>
      <c r="V17" s="232"/>
    </row>
    <row r="18" spans="1:22" ht="20.100000000000001" customHeight="1" x14ac:dyDescent="0.25">
      <c r="A18" s="172">
        <v>1</v>
      </c>
      <c r="B18" s="172"/>
      <c r="C18" s="208">
        <v>200000</v>
      </c>
      <c r="D18" s="208"/>
      <c r="E18" s="208"/>
      <c r="F18" s="217">
        <v>360</v>
      </c>
      <c r="G18" s="217"/>
      <c r="H18" s="217"/>
      <c r="I18" s="208">
        <f>C18/F18</f>
        <v>555.55555555555554</v>
      </c>
      <c r="J18" s="208"/>
      <c r="K18" s="208"/>
      <c r="L18" s="234" t="s">
        <v>499</v>
      </c>
      <c r="M18" s="234"/>
      <c r="N18" s="234"/>
      <c r="O18" s="230">
        <f>VLOOKUP(L18,$U$19:$V$20,2,0)</f>
        <v>0.9</v>
      </c>
      <c r="P18" s="230"/>
      <c r="Q18" s="208">
        <f>I18*O18</f>
        <v>500</v>
      </c>
      <c r="R18" s="208"/>
      <c r="S18" s="208"/>
      <c r="U18" s="17" t="s">
        <v>500</v>
      </c>
      <c r="V18" s="17" t="s">
        <v>15</v>
      </c>
    </row>
    <row r="19" spans="1:22" ht="20.100000000000001" customHeight="1" x14ac:dyDescent="0.25">
      <c r="A19" s="172">
        <v>2</v>
      </c>
      <c r="B19" s="172"/>
      <c r="C19" s="208">
        <v>180000</v>
      </c>
      <c r="D19" s="208"/>
      <c r="E19" s="208"/>
      <c r="F19" s="217">
        <v>320</v>
      </c>
      <c r="G19" s="217"/>
      <c r="H19" s="217"/>
      <c r="I19" s="208">
        <f t="shared" ref="I19:I20" si="0">C19/F19</f>
        <v>562.5</v>
      </c>
      <c r="J19" s="208"/>
      <c r="K19" s="208"/>
      <c r="L19" s="234" t="s">
        <v>499</v>
      </c>
      <c r="M19" s="234"/>
      <c r="N19" s="234"/>
      <c r="O19" s="230">
        <f t="shared" ref="O19:O21" si="1">VLOOKUP(L19,$U$19:$V$20,2,0)</f>
        <v>0.9</v>
      </c>
      <c r="P19" s="230"/>
      <c r="Q19" s="208">
        <f t="shared" ref="Q19:Q20" si="2">I19*O19</f>
        <v>506.25</v>
      </c>
      <c r="R19" s="208"/>
      <c r="S19" s="208"/>
      <c r="U19" s="111" t="s">
        <v>499</v>
      </c>
      <c r="V19" s="112">
        <v>0.9</v>
      </c>
    </row>
    <row r="20" spans="1:22" ht="20.100000000000001" customHeight="1" x14ac:dyDescent="0.25">
      <c r="A20" s="172">
        <v>3</v>
      </c>
      <c r="B20" s="172"/>
      <c r="C20" s="208">
        <v>185000</v>
      </c>
      <c r="D20" s="208"/>
      <c r="E20" s="208"/>
      <c r="F20" s="217">
        <v>300</v>
      </c>
      <c r="G20" s="217"/>
      <c r="H20" s="217"/>
      <c r="I20" s="208">
        <f t="shared" si="0"/>
        <v>616.66666666666663</v>
      </c>
      <c r="J20" s="208"/>
      <c r="K20" s="208"/>
      <c r="L20" s="234" t="s">
        <v>499</v>
      </c>
      <c r="M20" s="234"/>
      <c r="N20" s="234"/>
      <c r="O20" s="230">
        <f t="shared" si="1"/>
        <v>0.9</v>
      </c>
      <c r="P20" s="230"/>
      <c r="Q20" s="208">
        <f t="shared" si="2"/>
        <v>555</v>
      </c>
      <c r="R20" s="208"/>
      <c r="S20" s="208"/>
      <c r="U20" s="111" t="s">
        <v>16</v>
      </c>
      <c r="V20" s="112">
        <v>1</v>
      </c>
    </row>
    <row r="21" spans="1:22" ht="20.100000000000001" customHeight="1" x14ac:dyDescent="0.25">
      <c r="A21" s="172">
        <v>4</v>
      </c>
      <c r="B21" s="172"/>
      <c r="C21" s="208">
        <v>190000</v>
      </c>
      <c r="D21" s="208"/>
      <c r="E21" s="208"/>
      <c r="F21" s="217">
        <v>300</v>
      </c>
      <c r="G21" s="217"/>
      <c r="H21" s="217"/>
      <c r="I21" s="208">
        <f>C21/F21</f>
        <v>633.33333333333337</v>
      </c>
      <c r="J21" s="208"/>
      <c r="K21" s="208"/>
      <c r="L21" s="234" t="s">
        <v>499</v>
      </c>
      <c r="M21" s="234"/>
      <c r="N21" s="234"/>
      <c r="O21" s="230">
        <f t="shared" si="1"/>
        <v>0.9</v>
      </c>
      <c r="P21" s="230"/>
      <c r="Q21" s="208">
        <f>I21*O21</f>
        <v>570</v>
      </c>
      <c r="R21" s="208"/>
      <c r="S21" s="208"/>
    </row>
    <row r="22" spans="1:22" ht="20.100000000000001" customHeight="1" x14ac:dyDescent="0.25">
      <c r="A22" s="172">
        <v>5</v>
      </c>
      <c r="B22" s="172"/>
      <c r="C22" s="208">
        <v>185000</v>
      </c>
      <c r="D22" s="208"/>
      <c r="E22" s="208"/>
      <c r="F22" s="217">
        <v>300</v>
      </c>
      <c r="G22" s="217"/>
      <c r="H22" s="217"/>
      <c r="I22" s="208">
        <f t="shared" ref="I22:I28" si="3">C22/F22</f>
        <v>616.66666666666663</v>
      </c>
      <c r="J22" s="208"/>
      <c r="K22" s="208"/>
      <c r="L22" s="234" t="s">
        <v>499</v>
      </c>
      <c r="M22" s="234"/>
      <c r="N22" s="234"/>
      <c r="O22" s="230">
        <f t="shared" ref="O22:O28" si="4">VLOOKUP(L22,$U$19:$V$20,2,0)</f>
        <v>0.9</v>
      </c>
      <c r="P22" s="230"/>
      <c r="Q22" s="208">
        <f t="shared" ref="Q22:Q28" si="5">I22*O22</f>
        <v>555</v>
      </c>
      <c r="R22" s="208"/>
      <c r="S22" s="208"/>
    </row>
    <row r="23" spans="1:22" ht="20.100000000000001" customHeight="1" x14ac:dyDescent="0.25">
      <c r="A23" s="172">
        <v>6</v>
      </c>
      <c r="B23" s="172"/>
      <c r="C23" s="208">
        <v>150000</v>
      </c>
      <c r="D23" s="208"/>
      <c r="E23" s="208"/>
      <c r="F23" s="217">
        <v>250</v>
      </c>
      <c r="G23" s="217"/>
      <c r="H23" s="217"/>
      <c r="I23" s="208">
        <f t="shared" si="3"/>
        <v>600</v>
      </c>
      <c r="J23" s="208"/>
      <c r="K23" s="208"/>
      <c r="L23" s="234" t="s">
        <v>499</v>
      </c>
      <c r="M23" s="234"/>
      <c r="N23" s="234"/>
      <c r="O23" s="230">
        <f t="shared" si="4"/>
        <v>0.9</v>
      </c>
      <c r="P23" s="230"/>
      <c r="Q23" s="208">
        <f t="shared" si="5"/>
        <v>540</v>
      </c>
      <c r="R23" s="208"/>
      <c r="S23" s="208"/>
    </row>
    <row r="24" spans="1:22" ht="20.100000000000001" customHeight="1" x14ac:dyDescent="0.25">
      <c r="A24" s="172">
        <v>7</v>
      </c>
      <c r="B24" s="172"/>
      <c r="C24" s="208">
        <v>125000</v>
      </c>
      <c r="D24" s="208"/>
      <c r="E24" s="208"/>
      <c r="F24" s="217">
        <v>250</v>
      </c>
      <c r="G24" s="217"/>
      <c r="H24" s="217"/>
      <c r="I24" s="208">
        <f t="shared" si="3"/>
        <v>500</v>
      </c>
      <c r="J24" s="208"/>
      <c r="K24" s="208"/>
      <c r="L24" s="234" t="s">
        <v>499</v>
      </c>
      <c r="M24" s="234"/>
      <c r="N24" s="234"/>
      <c r="O24" s="230">
        <f t="shared" si="4"/>
        <v>0.9</v>
      </c>
      <c r="P24" s="230"/>
      <c r="Q24" s="208">
        <f t="shared" si="5"/>
        <v>450</v>
      </c>
      <c r="R24" s="208"/>
      <c r="S24" s="208"/>
    </row>
    <row r="25" spans="1:22" ht="20.100000000000001" customHeight="1" x14ac:dyDescent="0.25">
      <c r="A25" s="172">
        <v>8</v>
      </c>
      <c r="B25" s="172"/>
      <c r="C25" s="208">
        <v>186000</v>
      </c>
      <c r="D25" s="208"/>
      <c r="E25" s="208"/>
      <c r="F25" s="217">
        <v>300</v>
      </c>
      <c r="G25" s="217"/>
      <c r="H25" s="217"/>
      <c r="I25" s="208">
        <f t="shared" si="3"/>
        <v>620</v>
      </c>
      <c r="J25" s="208"/>
      <c r="K25" s="208"/>
      <c r="L25" s="234" t="s">
        <v>499</v>
      </c>
      <c r="M25" s="234"/>
      <c r="N25" s="234"/>
      <c r="O25" s="230">
        <f t="shared" si="4"/>
        <v>0.9</v>
      </c>
      <c r="P25" s="230"/>
      <c r="Q25" s="208">
        <f t="shared" si="5"/>
        <v>558</v>
      </c>
      <c r="R25" s="208"/>
      <c r="S25" s="208"/>
    </row>
    <row r="26" spans="1:22" ht="20.100000000000001" customHeight="1" x14ac:dyDescent="0.25">
      <c r="A26" s="172">
        <v>9</v>
      </c>
      <c r="B26" s="172"/>
      <c r="C26" s="208">
        <v>154000</v>
      </c>
      <c r="D26" s="208"/>
      <c r="E26" s="208"/>
      <c r="F26" s="217">
        <v>250</v>
      </c>
      <c r="G26" s="217"/>
      <c r="H26" s="217"/>
      <c r="I26" s="208">
        <f t="shared" si="3"/>
        <v>616</v>
      </c>
      <c r="J26" s="208"/>
      <c r="K26" s="208"/>
      <c r="L26" s="234" t="s">
        <v>499</v>
      </c>
      <c r="M26" s="234"/>
      <c r="N26" s="234"/>
      <c r="O26" s="230">
        <f t="shared" si="4"/>
        <v>0.9</v>
      </c>
      <c r="P26" s="230"/>
      <c r="Q26" s="208">
        <f t="shared" si="5"/>
        <v>554.4</v>
      </c>
      <c r="R26" s="208"/>
      <c r="S26" s="208"/>
    </row>
    <row r="27" spans="1:22" ht="20.100000000000001" customHeight="1" x14ac:dyDescent="0.25">
      <c r="A27" s="172">
        <v>10</v>
      </c>
      <c r="B27" s="172"/>
      <c r="C27" s="208">
        <v>189000</v>
      </c>
      <c r="D27" s="208"/>
      <c r="E27" s="208"/>
      <c r="F27" s="217">
        <v>300</v>
      </c>
      <c r="G27" s="217"/>
      <c r="H27" s="217"/>
      <c r="I27" s="208">
        <f t="shared" si="3"/>
        <v>630</v>
      </c>
      <c r="J27" s="208"/>
      <c r="K27" s="208"/>
      <c r="L27" s="234" t="s">
        <v>499</v>
      </c>
      <c r="M27" s="234"/>
      <c r="N27" s="234"/>
      <c r="O27" s="230">
        <f t="shared" si="4"/>
        <v>0.9</v>
      </c>
      <c r="P27" s="230"/>
      <c r="Q27" s="208">
        <f t="shared" si="5"/>
        <v>567</v>
      </c>
      <c r="R27" s="208"/>
      <c r="S27" s="208"/>
    </row>
    <row r="28" spans="1:22" ht="20.100000000000001" customHeight="1" x14ac:dyDescent="0.25">
      <c r="A28" s="172">
        <v>11</v>
      </c>
      <c r="B28" s="172"/>
      <c r="C28" s="208">
        <v>125000</v>
      </c>
      <c r="D28" s="208"/>
      <c r="E28" s="208"/>
      <c r="F28" s="217">
        <v>250</v>
      </c>
      <c r="G28" s="217"/>
      <c r="H28" s="217"/>
      <c r="I28" s="208">
        <f t="shared" si="3"/>
        <v>500</v>
      </c>
      <c r="J28" s="208"/>
      <c r="K28" s="208"/>
      <c r="L28" s="234" t="s">
        <v>499</v>
      </c>
      <c r="M28" s="234"/>
      <c r="N28" s="234"/>
      <c r="O28" s="230">
        <f t="shared" si="4"/>
        <v>0.9</v>
      </c>
      <c r="P28" s="230"/>
      <c r="Q28" s="208">
        <f t="shared" si="5"/>
        <v>450</v>
      </c>
      <c r="R28" s="208"/>
      <c r="S28" s="208"/>
    </row>
    <row r="29" spans="1:22" ht="20.100000000000001" customHeight="1" thickBot="1" x14ac:dyDescent="0.3">
      <c r="A29" s="173">
        <v>12</v>
      </c>
      <c r="B29" s="173"/>
      <c r="C29" s="209">
        <v>190000</v>
      </c>
      <c r="D29" s="209"/>
      <c r="E29" s="209"/>
      <c r="F29" s="229">
        <v>295</v>
      </c>
      <c r="G29" s="229"/>
      <c r="H29" s="229"/>
      <c r="I29" s="209">
        <f>C29/F29</f>
        <v>644.06779661016947</v>
      </c>
      <c r="J29" s="209"/>
      <c r="K29" s="209"/>
      <c r="L29" s="235" t="s">
        <v>499</v>
      </c>
      <c r="M29" s="235"/>
      <c r="N29" s="235"/>
      <c r="O29" s="231">
        <f>VLOOKUP(L29,$U$19:$V$20,2,0)</f>
        <v>0.9</v>
      </c>
      <c r="P29" s="231"/>
      <c r="Q29" s="209">
        <f>I29*O29</f>
        <v>579.66101694915255</v>
      </c>
      <c r="R29" s="209"/>
      <c r="S29" s="209"/>
    </row>
    <row r="31" spans="1:22" ht="20.100000000000001" customHeight="1" x14ac:dyDescent="0.25">
      <c r="M31" s="175" t="s">
        <v>36</v>
      </c>
      <c r="N31" s="175"/>
      <c r="O31" s="175"/>
      <c r="P31" s="175"/>
      <c r="Q31" s="212">
        <f>AVERAGE(Q18:S29)</f>
        <v>532.10925141242933</v>
      </c>
      <c r="R31" s="212"/>
      <c r="S31" s="212"/>
    </row>
    <row r="32" spans="1:22" ht="20.100000000000001" customHeight="1" x14ac:dyDescent="0.25">
      <c r="M32" s="187" t="s">
        <v>37</v>
      </c>
      <c r="N32" s="187"/>
      <c r="O32" s="187"/>
      <c r="P32" s="187"/>
      <c r="Q32" s="212">
        <f>STDEVA(Q18:S29)</f>
        <v>45.101150767594298</v>
      </c>
      <c r="R32" s="212"/>
      <c r="S32" s="212"/>
    </row>
    <row r="33" spans="1:19" ht="20.100000000000001" customHeight="1" x14ac:dyDescent="0.25">
      <c r="M33" s="195" t="s">
        <v>35</v>
      </c>
      <c r="N33" s="195"/>
      <c r="O33" s="195"/>
      <c r="P33" s="195"/>
      <c r="Q33" s="226">
        <f>Q32/Q31</f>
        <v>8.4759193056459597E-2</v>
      </c>
      <c r="R33" s="226"/>
      <c r="S33" s="226"/>
    </row>
    <row r="36" spans="1:19" ht="20.100000000000001" customHeight="1" x14ac:dyDescent="0.25">
      <c r="A36" s="201" t="s">
        <v>29</v>
      </c>
      <c r="B36" s="201"/>
      <c r="C36" s="201"/>
      <c r="D36" s="201"/>
      <c r="E36" s="201"/>
      <c r="F36" s="201"/>
      <c r="G36" s="201"/>
      <c r="H36" s="201"/>
      <c r="I36" s="201"/>
      <c r="J36" s="201"/>
      <c r="K36" s="201"/>
      <c r="L36" s="201"/>
      <c r="M36" s="201"/>
      <c r="N36" s="201"/>
      <c r="O36" s="201"/>
      <c r="P36" s="201"/>
      <c r="Q36" s="201"/>
      <c r="R36" s="201"/>
      <c r="S36" s="201"/>
    </row>
    <row r="38" spans="1:19" ht="80.099999999999994" customHeight="1" x14ac:dyDescent="0.25">
      <c r="A38" s="207" t="s">
        <v>86</v>
      </c>
      <c r="B38" s="207"/>
      <c r="C38" s="207"/>
      <c r="D38" s="207"/>
      <c r="E38" s="207"/>
      <c r="F38" s="207"/>
      <c r="G38" s="207"/>
      <c r="H38" s="207"/>
      <c r="I38" s="207"/>
      <c r="J38" s="207"/>
      <c r="K38" s="207"/>
      <c r="L38" s="207"/>
      <c r="M38" s="207"/>
      <c r="N38" s="207"/>
      <c r="O38" s="207"/>
      <c r="P38" s="207"/>
      <c r="Q38" s="207"/>
      <c r="R38" s="207"/>
      <c r="S38" s="207"/>
    </row>
    <row r="40" spans="1:19" ht="20.100000000000001" customHeight="1" x14ac:dyDescent="0.25">
      <c r="A40" s="174" t="s">
        <v>23</v>
      </c>
      <c r="B40" s="174"/>
      <c r="C40" s="174"/>
      <c r="D40" s="174"/>
      <c r="E40" s="174"/>
      <c r="F40" s="174"/>
      <c r="G40" s="174"/>
      <c r="H40" s="174"/>
      <c r="I40" s="174" t="s">
        <v>87</v>
      </c>
      <c r="J40" s="174"/>
      <c r="K40" s="248" t="s">
        <v>496</v>
      </c>
      <c r="L40" s="248"/>
      <c r="M40" s="248"/>
      <c r="N40" s="248"/>
      <c r="O40" s="248"/>
      <c r="P40" s="249" t="s">
        <v>497</v>
      </c>
      <c r="Q40" s="249"/>
      <c r="R40" s="249"/>
      <c r="S40" s="249"/>
    </row>
    <row r="41" spans="1:19" ht="20.100000000000001" customHeight="1" x14ac:dyDescent="0.25">
      <c r="A41" s="195" t="s">
        <v>24</v>
      </c>
      <c r="B41" s="195"/>
      <c r="C41" s="195"/>
      <c r="D41" s="195"/>
      <c r="E41" s="195"/>
      <c r="F41" s="195"/>
      <c r="G41" s="195"/>
      <c r="H41" s="195"/>
      <c r="I41" s="202" t="s">
        <v>409</v>
      </c>
      <c r="J41" s="202"/>
      <c r="K41" s="121" t="s">
        <v>491</v>
      </c>
      <c r="L41" s="121"/>
      <c r="M41" s="121"/>
      <c r="N41" s="121"/>
      <c r="O41" s="121"/>
      <c r="P41" s="122">
        <v>1</v>
      </c>
      <c r="Q41" s="122"/>
      <c r="R41" s="122"/>
      <c r="S41" s="122"/>
    </row>
    <row r="42" spans="1:19" ht="20.100000000000001" customHeight="1" x14ac:dyDescent="0.25">
      <c r="A42" s="195" t="s">
        <v>27</v>
      </c>
      <c r="B42" s="195"/>
      <c r="C42" s="195"/>
      <c r="D42" s="195"/>
      <c r="E42" s="195"/>
      <c r="F42" s="195"/>
      <c r="G42" s="195"/>
      <c r="H42" s="195"/>
      <c r="I42" s="172" t="s">
        <v>410</v>
      </c>
      <c r="J42" s="172"/>
      <c r="K42" s="121" t="s">
        <v>492</v>
      </c>
      <c r="L42" s="121"/>
      <c r="M42" s="121"/>
      <c r="N42" s="121"/>
      <c r="O42" s="121"/>
      <c r="P42" s="122">
        <v>1</v>
      </c>
      <c r="Q42" s="122"/>
      <c r="R42" s="122"/>
      <c r="S42" s="122"/>
    </row>
    <row r="43" spans="1:19" ht="20.100000000000001" customHeight="1" x14ac:dyDescent="0.25">
      <c r="A43" s="195" t="s">
        <v>28</v>
      </c>
      <c r="B43" s="195"/>
      <c r="C43" s="195"/>
      <c r="D43" s="195"/>
      <c r="E43" s="195"/>
      <c r="F43" s="195"/>
      <c r="G43" s="195"/>
      <c r="H43" s="195"/>
      <c r="I43" s="172" t="s">
        <v>411</v>
      </c>
      <c r="J43" s="172"/>
      <c r="K43" s="121" t="s">
        <v>493</v>
      </c>
      <c r="L43" s="121"/>
      <c r="M43" s="121"/>
      <c r="N43" s="121"/>
      <c r="O43" s="121"/>
      <c r="P43" s="122">
        <v>1</v>
      </c>
      <c r="Q43" s="122"/>
      <c r="R43" s="122"/>
      <c r="S43" s="122"/>
    </row>
    <row r="44" spans="1:19" ht="20.100000000000001" customHeight="1" x14ac:dyDescent="0.25">
      <c r="A44" s="195" t="s">
        <v>25</v>
      </c>
      <c r="B44" s="195"/>
      <c r="C44" s="195"/>
      <c r="D44" s="195"/>
      <c r="E44" s="195"/>
      <c r="F44" s="195"/>
      <c r="G44" s="195"/>
      <c r="H44" s="195"/>
      <c r="I44" s="172" t="s">
        <v>412</v>
      </c>
      <c r="J44" s="172"/>
      <c r="K44" s="121" t="s">
        <v>494</v>
      </c>
      <c r="L44" s="121"/>
      <c r="M44" s="121"/>
      <c r="N44" s="121"/>
      <c r="O44" s="121"/>
      <c r="P44" s="122">
        <v>1</v>
      </c>
      <c r="Q44" s="122"/>
      <c r="R44" s="122"/>
      <c r="S44" s="122"/>
    </row>
    <row r="45" spans="1:19" ht="20.100000000000001" customHeight="1" x14ac:dyDescent="0.25">
      <c r="A45" s="195" t="s">
        <v>26</v>
      </c>
      <c r="B45" s="195"/>
      <c r="C45" s="195"/>
      <c r="D45" s="195"/>
      <c r="E45" s="195"/>
      <c r="F45" s="195"/>
      <c r="G45" s="195"/>
      <c r="H45" s="195"/>
      <c r="I45" s="172" t="s">
        <v>413</v>
      </c>
      <c r="J45" s="172"/>
      <c r="K45" s="121" t="s">
        <v>495</v>
      </c>
      <c r="L45" s="121"/>
      <c r="M45" s="121"/>
      <c r="N45" s="121"/>
      <c r="O45" s="121"/>
      <c r="P45" s="122">
        <v>1</v>
      </c>
      <c r="Q45" s="122"/>
      <c r="R45" s="122"/>
      <c r="S45" s="122"/>
    </row>
    <row r="48" spans="1:19" ht="20.100000000000001" customHeight="1" x14ac:dyDescent="0.25">
      <c r="A48" s="228" t="s">
        <v>33</v>
      </c>
      <c r="B48" s="228"/>
      <c r="C48" s="228"/>
      <c r="D48" s="228"/>
      <c r="E48" s="228"/>
      <c r="F48" s="228" t="s">
        <v>34</v>
      </c>
      <c r="G48" s="228"/>
      <c r="H48" s="228"/>
      <c r="I48" s="228"/>
      <c r="J48" s="228"/>
      <c r="K48" s="228" t="s">
        <v>30</v>
      </c>
      <c r="L48" s="228"/>
    </row>
    <row r="49" spans="1:19" ht="20.100000000000001" customHeight="1" x14ac:dyDescent="0.25">
      <c r="A49" s="174"/>
      <c r="B49" s="174"/>
      <c r="C49" s="174"/>
      <c r="D49" s="174"/>
      <c r="E49" s="174"/>
      <c r="F49" s="12" t="s">
        <v>409</v>
      </c>
      <c r="G49" s="12" t="s">
        <v>410</v>
      </c>
      <c r="H49" s="12" t="s">
        <v>411</v>
      </c>
      <c r="I49" s="12" t="s">
        <v>412</v>
      </c>
      <c r="J49" s="12" t="s">
        <v>413</v>
      </c>
      <c r="K49" s="174"/>
      <c r="L49" s="174"/>
    </row>
    <row r="50" spans="1:19" ht="20.100000000000001" customHeight="1" thickBot="1" x14ac:dyDescent="0.3">
      <c r="A50" s="18"/>
      <c r="B50" s="18"/>
      <c r="C50" s="18"/>
      <c r="D50" s="18"/>
      <c r="E50" s="18"/>
      <c r="F50" s="15">
        <v>1</v>
      </c>
      <c r="G50" s="15">
        <v>0.95</v>
      </c>
      <c r="H50" s="15">
        <v>1</v>
      </c>
      <c r="I50" s="15">
        <v>1</v>
      </c>
      <c r="J50" s="15">
        <v>1</v>
      </c>
      <c r="K50" s="209">
        <f>SUM(F50:J50)-COUNT(F50:J50)+1</f>
        <v>0.95000000000000018</v>
      </c>
      <c r="L50" s="209"/>
    </row>
    <row r="52" spans="1:19" ht="39.950000000000003" customHeight="1" x14ac:dyDescent="0.25">
      <c r="A52" s="174" t="s">
        <v>17</v>
      </c>
      <c r="B52" s="174"/>
      <c r="C52" s="174" t="str">
        <f>Q17</f>
        <v>Valor unitário ajustado</v>
      </c>
      <c r="D52" s="174"/>
      <c r="E52" s="174"/>
      <c r="F52" s="12" t="s">
        <v>409</v>
      </c>
      <c r="G52" s="12" t="s">
        <v>410</v>
      </c>
      <c r="H52" s="12" t="s">
        <v>411</v>
      </c>
      <c r="I52" s="12" t="s">
        <v>412</v>
      </c>
      <c r="J52" s="12" t="s">
        <v>413</v>
      </c>
      <c r="K52" s="174" t="s">
        <v>30</v>
      </c>
      <c r="L52" s="174"/>
      <c r="M52" s="174" t="s">
        <v>31</v>
      </c>
      <c r="N52" s="174"/>
      <c r="O52" s="174" t="s">
        <v>23</v>
      </c>
      <c r="P52" s="174"/>
      <c r="Q52" s="174" t="s">
        <v>32</v>
      </c>
      <c r="R52" s="174"/>
      <c r="S52" s="174"/>
    </row>
    <row r="53" spans="1:19" ht="20.100000000000001" customHeight="1" x14ac:dyDescent="0.25">
      <c r="A53" s="172">
        <v>1</v>
      </c>
      <c r="B53" s="172"/>
      <c r="C53" s="208">
        <f>Q18</f>
        <v>500</v>
      </c>
      <c r="D53" s="208"/>
      <c r="E53" s="208"/>
      <c r="F53" s="14">
        <v>0.95</v>
      </c>
      <c r="G53" s="14">
        <v>1</v>
      </c>
      <c r="H53" s="14">
        <v>1</v>
      </c>
      <c r="I53" s="14">
        <v>1</v>
      </c>
      <c r="J53" s="14">
        <v>1</v>
      </c>
      <c r="K53" s="208">
        <f>SUM(F53:J53)-COUNT(F53:J53)+1</f>
        <v>0.95000000000000018</v>
      </c>
      <c r="L53" s="195"/>
      <c r="M53" s="208">
        <f t="shared" ref="M53:M64" si="6">$K$50</f>
        <v>0.95000000000000018</v>
      </c>
      <c r="N53" s="195"/>
      <c r="O53" s="208">
        <f t="shared" ref="O53:O64" si="7">M53/K53</f>
        <v>1</v>
      </c>
      <c r="P53" s="195"/>
      <c r="Q53" s="208">
        <f t="shared" ref="Q53:Q64" si="8">C53*O53</f>
        <v>500</v>
      </c>
      <c r="R53" s="208"/>
      <c r="S53" s="208"/>
    </row>
    <row r="54" spans="1:19" ht="20.100000000000001" customHeight="1" x14ac:dyDescent="0.25">
      <c r="A54" s="172">
        <v>2</v>
      </c>
      <c r="B54" s="172"/>
      <c r="C54" s="208">
        <f>Q19</f>
        <v>506.25</v>
      </c>
      <c r="D54" s="208"/>
      <c r="E54" s="208"/>
      <c r="F54" s="14">
        <v>1</v>
      </c>
      <c r="G54" s="14">
        <v>1</v>
      </c>
      <c r="H54" s="14">
        <v>1</v>
      </c>
      <c r="I54" s="14">
        <v>1</v>
      </c>
      <c r="J54" s="14">
        <v>1</v>
      </c>
      <c r="K54" s="208">
        <f t="shared" ref="K54:K64" si="9">SUM(F54:J54)-COUNT(F54:J54)+1</f>
        <v>1</v>
      </c>
      <c r="L54" s="195"/>
      <c r="M54" s="208">
        <f t="shared" si="6"/>
        <v>0.95000000000000018</v>
      </c>
      <c r="N54" s="195"/>
      <c r="O54" s="208">
        <f t="shared" si="7"/>
        <v>0.95000000000000018</v>
      </c>
      <c r="P54" s="195"/>
      <c r="Q54" s="208">
        <f t="shared" si="8"/>
        <v>480.93750000000011</v>
      </c>
      <c r="R54" s="208"/>
      <c r="S54" s="208"/>
    </row>
    <row r="55" spans="1:19" ht="20.100000000000001" customHeight="1" x14ac:dyDescent="0.25">
      <c r="A55" s="172">
        <v>3</v>
      </c>
      <c r="B55" s="172"/>
      <c r="C55" s="208">
        <f>Q20</f>
        <v>555</v>
      </c>
      <c r="D55" s="208"/>
      <c r="E55" s="208"/>
      <c r="F55" s="14">
        <v>1</v>
      </c>
      <c r="G55" s="14">
        <v>1</v>
      </c>
      <c r="H55" s="14">
        <v>1</v>
      </c>
      <c r="I55" s="14">
        <v>1</v>
      </c>
      <c r="J55" s="14">
        <v>1</v>
      </c>
      <c r="K55" s="208">
        <f t="shared" ref="K55:K56" si="10">SUM(F55:J55)-COUNT(F55:J55)+1</f>
        <v>1</v>
      </c>
      <c r="L55" s="195"/>
      <c r="M55" s="208">
        <f t="shared" si="6"/>
        <v>0.95000000000000018</v>
      </c>
      <c r="N55" s="195"/>
      <c r="O55" s="208">
        <f t="shared" ref="O55:O56" si="11">M55/K55</f>
        <v>0.95000000000000018</v>
      </c>
      <c r="P55" s="195"/>
      <c r="Q55" s="208">
        <f t="shared" ref="Q55:Q56" si="12">C55*O55</f>
        <v>527.25000000000011</v>
      </c>
      <c r="R55" s="208"/>
      <c r="S55" s="208"/>
    </row>
    <row r="56" spans="1:19" ht="20.100000000000001" customHeight="1" x14ac:dyDescent="0.25">
      <c r="A56" s="172">
        <v>4</v>
      </c>
      <c r="B56" s="172"/>
      <c r="C56" s="208">
        <f>Q21</f>
        <v>570</v>
      </c>
      <c r="D56" s="208"/>
      <c r="E56" s="208"/>
      <c r="F56" s="14">
        <v>1</v>
      </c>
      <c r="G56" s="14">
        <v>1</v>
      </c>
      <c r="H56" s="14">
        <v>1</v>
      </c>
      <c r="I56" s="14">
        <v>1</v>
      </c>
      <c r="J56" s="14">
        <v>1</v>
      </c>
      <c r="K56" s="208">
        <f t="shared" si="10"/>
        <v>1</v>
      </c>
      <c r="L56" s="195"/>
      <c r="M56" s="208">
        <f t="shared" si="6"/>
        <v>0.95000000000000018</v>
      </c>
      <c r="N56" s="195"/>
      <c r="O56" s="208">
        <f t="shared" si="11"/>
        <v>0.95000000000000018</v>
      </c>
      <c r="P56" s="195"/>
      <c r="Q56" s="208">
        <f t="shared" si="12"/>
        <v>541.50000000000011</v>
      </c>
      <c r="R56" s="208"/>
      <c r="S56" s="208"/>
    </row>
    <row r="57" spans="1:19" ht="20.100000000000001" customHeight="1" x14ac:dyDescent="0.25">
      <c r="A57" s="172">
        <v>5</v>
      </c>
      <c r="B57" s="172"/>
      <c r="C57" s="208">
        <f t="shared" ref="C57:C63" si="13">Q22</f>
        <v>555</v>
      </c>
      <c r="D57" s="208"/>
      <c r="E57" s="208"/>
      <c r="F57" s="14">
        <v>1</v>
      </c>
      <c r="G57" s="14">
        <v>1</v>
      </c>
      <c r="H57" s="14">
        <v>1</v>
      </c>
      <c r="I57" s="14">
        <v>1</v>
      </c>
      <c r="J57" s="14">
        <v>1</v>
      </c>
      <c r="K57" s="208">
        <f t="shared" ref="K57:K63" si="14">SUM(F57:J57)-COUNT(F57:J57)+1</f>
        <v>1</v>
      </c>
      <c r="L57" s="195"/>
      <c r="M57" s="208">
        <f t="shared" si="6"/>
        <v>0.95000000000000018</v>
      </c>
      <c r="N57" s="195"/>
      <c r="O57" s="208">
        <f t="shared" ref="O57:O63" si="15">M57/K57</f>
        <v>0.95000000000000018</v>
      </c>
      <c r="P57" s="195"/>
      <c r="Q57" s="208">
        <f t="shared" ref="Q57:Q63" si="16">C57*O57</f>
        <v>527.25000000000011</v>
      </c>
      <c r="R57" s="208"/>
      <c r="S57" s="208"/>
    </row>
    <row r="58" spans="1:19" ht="20.100000000000001" customHeight="1" x14ac:dyDescent="0.25">
      <c r="A58" s="172">
        <v>6</v>
      </c>
      <c r="B58" s="172"/>
      <c r="C58" s="208">
        <f t="shared" si="13"/>
        <v>540</v>
      </c>
      <c r="D58" s="208"/>
      <c r="E58" s="208"/>
      <c r="F58" s="14">
        <v>1</v>
      </c>
      <c r="G58" s="14">
        <v>1</v>
      </c>
      <c r="H58" s="14">
        <v>1</v>
      </c>
      <c r="I58" s="14">
        <v>1</v>
      </c>
      <c r="J58" s="14">
        <v>1</v>
      </c>
      <c r="K58" s="208">
        <f t="shared" si="14"/>
        <v>1</v>
      </c>
      <c r="L58" s="195"/>
      <c r="M58" s="208">
        <f t="shared" si="6"/>
        <v>0.95000000000000018</v>
      </c>
      <c r="N58" s="195"/>
      <c r="O58" s="208">
        <f t="shared" si="15"/>
        <v>0.95000000000000018</v>
      </c>
      <c r="P58" s="195"/>
      <c r="Q58" s="208">
        <f t="shared" si="16"/>
        <v>513.00000000000011</v>
      </c>
      <c r="R58" s="208"/>
      <c r="S58" s="208"/>
    </row>
    <row r="59" spans="1:19" ht="20.100000000000001" customHeight="1" x14ac:dyDescent="0.25">
      <c r="A59" s="172">
        <v>7</v>
      </c>
      <c r="B59" s="172"/>
      <c r="C59" s="208">
        <f t="shared" si="13"/>
        <v>450</v>
      </c>
      <c r="D59" s="208"/>
      <c r="E59" s="208"/>
      <c r="F59" s="14">
        <v>0.9</v>
      </c>
      <c r="G59" s="14">
        <v>1</v>
      </c>
      <c r="H59" s="14">
        <v>1</v>
      </c>
      <c r="I59" s="14">
        <v>1</v>
      </c>
      <c r="J59" s="14">
        <v>1</v>
      </c>
      <c r="K59" s="208">
        <f t="shared" si="14"/>
        <v>0.90000000000000036</v>
      </c>
      <c r="L59" s="195"/>
      <c r="M59" s="208">
        <f t="shared" si="6"/>
        <v>0.95000000000000018</v>
      </c>
      <c r="N59" s="195"/>
      <c r="O59" s="208">
        <f t="shared" si="15"/>
        <v>1.0555555555555554</v>
      </c>
      <c r="P59" s="195"/>
      <c r="Q59" s="208">
        <f t="shared" si="16"/>
        <v>474.99999999999989</v>
      </c>
      <c r="R59" s="208"/>
      <c r="S59" s="208"/>
    </row>
    <row r="60" spans="1:19" ht="20.100000000000001" customHeight="1" x14ac:dyDescent="0.25">
      <c r="A60" s="172">
        <v>8</v>
      </c>
      <c r="B60" s="172"/>
      <c r="C60" s="208">
        <f t="shared" si="13"/>
        <v>558</v>
      </c>
      <c r="D60" s="208"/>
      <c r="E60" s="208"/>
      <c r="F60" s="14">
        <v>1</v>
      </c>
      <c r="G60" s="14">
        <v>1</v>
      </c>
      <c r="H60" s="14">
        <v>1</v>
      </c>
      <c r="I60" s="14">
        <v>1</v>
      </c>
      <c r="J60" s="14">
        <v>1</v>
      </c>
      <c r="K60" s="208">
        <f t="shared" si="14"/>
        <v>1</v>
      </c>
      <c r="L60" s="195"/>
      <c r="M60" s="208">
        <f t="shared" si="6"/>
        <v>0.95000000000000018</v>
      </c>
      <c r="N60" s="195"/>
      <c r="O60" s="208">
        <f t="shared" si="15"/>
        <v>0.95000000000000018</v>
      </c>
      <c r="P60" s="195"/>
      <c r="Q60" s="208">
        <f t="shared" si="16"/>
        <v>530.10000000000014</v>
      </c>
      <c r="R60" s="208"/>
      <c r="S60" s="208"/>
    </row>
    <row r="61" spans="1:19" ht="20.100000000000001" customHeight="1" x14ac:dyDescent="0.25">
      <c r="A61" s="172">
        <v>9</v>
      </c>
      <c r="B61" s="172"/>
      <c r="C61" s="208">
        <f t="shared" si="13"/>
        <v>554.4</v>
      </c>
      <c r="D61" s="208"/>
      <c r="E61" s="208"/>
      <c r="F61" s="14">
        <v>1</v>
      </c>
      <c r="G61" s="14">
        <v>1</v>
      </c>
      <c r="H61" s="14">
        <v>1</v>
      </c>
      <c r="I61" s="14">
        <v>1</v>
      </c>
      <c r="J61" s="14">
        <v>1</v>
      </c>
      <c r="K61" s="208">
        <f t="shared" si="14"/>
        <v>1</v>
      </c>
      <c r="L61" s="195"/>
      <c r="M61" s="208">
        <f t="shared" si="6"/>
        <v>0.95000000000000018</v>
      </c>
      <c r="N61" s="195"/>
      <c r="O61" s="208">
        <f t="shared" si="15"/>
        <v>0.95000000000000018</v>
      </c>
      <c r="P61" s="195"/>
      <c r="Q61" s="208">
        <f t="shared" si="16"/>
        <v>526.68000000000006</v>
      </c>
      <c r="R61" s="208"/>
      <c r="S61" s="208"/>
    </row>
    <row r="62" spans="1:19" ht="20.100000000000001" customHeight="1" x14ac:dyDescent="0.25">
      <c r="A62" s="172">
        <v>10</v>
      </c>
      <c r="B62" s="172"/>
      <c r="C62" s="208">
        <f t="shared" si="13"/>
        <v>567</v>
      </c>
      <c r="D62" s="208"/>
      <c r="E62" s="208"/>
      <c r="F62" s="14">
        <v>1</v>
      </c>
      <c r="G62" s="14">
        <v>1</v>
      </c>
      <c r="H62" s="14">
        <v>1</v>
      </c>
      <c r="I62" s="14">
        <v>1</v>
      </c>
      <c r="J62" s="14">
        <v>1</v>
      </c>
      <c r="K62" s="208">
        <f t="shared" si="14"/>
        <v>1</v>
      </c>
      <c r="L62" s="195"/>
      <c r="M62" s="208">
        <f t="shared" si="6"/>
        <v>0.95000000000000018</v>
      </c>
      <c r="N62" s="195"/>
      <c r="O62" s="208">
        <f t="shared" si="15"/>
        <v>0.95000000000000018</v>
      </c>
      <c r="P62" s="195"/>
      <c r="Q62" s="208">
        <f t="shared" si="16"/>
        <v>538.65000000000009</v>
      </c>
      <c r="R62" s="208"/>
      <c r="S62" s="208"/>
    </row>
    <row r="63" spans="1:19" ht="20.100000000000001" customHeight="1" x14ac:dyDescent="0.25">
      <c r="A63" s="172">
        <v>11</v>
      </c>
      <c r="B63" s="172"/>
      <c r="C63" s="208">
        <f t="shared" si="13"/>
        <v>450</v>
      </c>
      <c r="D63" s="208"/>
      <c r="E63" s="208"/>
      <c r="F63" s="14">
        <v>0.9</v>
      </c>
      <c r="G63" s="14">
        <v>1</v>
      </c>
      <c r="H63" s="14">
        <v>1</v>
      </c>
      <c r="I63" s="14">
        <v>1</v>
      </c>
      <c r="J63" s="14">
        <v>1</v>
      </c>
      <c r="K63" s="208">
        <f t="shared" si="14"/>
        <v>0.90000000000000036</v>
      </c>
      <c r="L63" s="195"/>
      <c r="M63" s="208">
        <f t="shared" si="6"/>
        <v>0.95000000000000018</v>
      </c>
      <c r="N63" s="195"/>
      <c r="O63" s="208">
        <f t="shared" si="15"/>
        <v>1.0555555555555554</v>
      </c>
      <c r="P63" s="195"/>
      <c r="Q63" s="208">
        <f t="shared" si="16"/>
        <v>474.99999999999989</v>
      </c>
      <c r="R63" s="208"/>
      <c r="S63" s="208"/>
    </row>
    <row r="64" spans="1:19" ht="20.100000000000001" customHeight="1" thickBot="1" x14ac:dyDescent="0.3">
      <c r="A64" s="173">
        <v>12</v>
      </c>
      <c r="B64" s="173"/>
      <c r="C64" s="209">
        <f>Q29</f>
        <v>579.66101694915255</v>
      </c>
      <c r="D64" s="209"/>
      <c r="E64" s="209"/>
      <c r="F64" s="15">
        <v>1</v>
      </c>
      <c r="G64" s="15">
        <v>1</v>
      </c>
      <c r="H64" s="15">
        <v>1</v>
      </c>
      <c r="I64" s="15">
        <v>1</v>
      </c>
      <c r="J64" s="15">
        <v>1</v>
      </c>
      <c r="K64" s="209">
        <f t="shared" si="9"/>
        <v>1</v>
      </c>
      <c r="L64" s="210"/>
      <c r="M64" s="209">
        <f t="shared" si="6"/>
        <v>0.95000000000000018</v>
      </c>
      <c r="N64" s="210"/>
      <c r="O64" s="209">
        <f t="shared" si="7"/>
        <v>0.95000000000000018</v>
      </c>
      <c r="P64" s="210"/>
      <c r="Q64" s="209">
        <f t="shared" si="8"/>
        <v>550.67796610169501</v>
      </c>
      <c r="R64" s="209"/>
      <c r="S64" s="209"/>
    </row>
    <row r="66" spans="1:19" ht="20.100000000000001" customHeight="1" x14ac:dyDescent="0.25">
      <c r="F66" s="19"/>
      <c r="G66" s="19"/>
      <c r="H66" s="19"/>
      <c r="I66" s="19"/>
      <c r="J66" s="19"/>
      <c r="M66" s="175" t="s">
        <v>36</v>
      </c>
      <c r="N66" s="175"/>
      <c r="O66" s="175"/>
      <c r="P66" s="175"/>
      <c r="Q66" s="212">
        <f>AVERAGE(Q53:S64)</f>
        <v>515.50378884180793</v>
      </c>
      <c r="R66" s="212"/>
      <c r="S66" s="212"/>
    </row>
    <row r="67" spans="1:19" ht="20.100000000000001" customHeight="1" x14ac:dyDescent="0.25">
      <c r="F67" s="16"/>
      <c r="M67" s="187" t="s">
        <v>37</v>
      </c>
      <c r="N67" s="187"/>
      <c r="O67" s="187"/>
      <c r="P67" s="187"/>
      <c r="Q67" s="212">
        <f>STDEVA(Q53:S64)</f>
        <v>26.60358047166886</v>
      </c>
      <c r="R67" s="212"/>
      <c r="S67" s="212"/>
    </row>
    <row r="68" spans="1:19" ht="20.100000000000001" customHeight="1" x14ac:dyDescent="0.25">
      <c r="I68" s="20"/>
      <c r="M68" s="195" t="s">
        <v>35</v>
      </c>
      <c r="N68" s="195"/>
      <c r="O68" s="195"/>
      <c r="P68" s="195"/>
      <c r="Q68" s="226">
        <f>Q67/Q66</f>
        <v>5.160695429889977E-2</v>
      </c>
      <c r="R68" s="226"/>
      <c r="S68" s="226"/>
    </row>
    <row r="69" spans="1:19" ht="20.100000000000001" customHeight="1" x14ac:dyDescent="0.25">
      <c r="J69" s="21"/>
    </row>
    <row r="70" spans="1:19" ht="20.100000000000001" customHeight="1" x14ac:dyDescent="0.25">
      <c r="J70" s="21"/>
    </row>
    <row r="71" spans="1:19" ht="20.100000000000001" customHeight="1" x14ac:dyDescent="0.25">
      <c r="A71" s="187" t="s">
        <v>96</v>
      </c>
      <c r="B71" s="187"/>
      <c r="C71" s="187"/>
      <c r="D71" s="187"/>
      <c r="E71" s="187"/>
      <c r="F71" s="187"/>
      <c r="G71" s="187"/>
      <c r="H71" s="187"/>
      <c r="I71" s="187"/>
      <c r="J71" s="187"/>
      <c r="K71" s="187"/>
      <c r="L71" s="187"/>
      <c r="M71" s="187"/>
      <c r="N71" s="187"/>
      <c r="O71" s="187"/>
      <c r="P71" s="187"/>
      <c r="Q71" s="187"/>
      <c r="R71" s="187"/>
      <c r="S71" s="187"/>
    </row>
    <row r="72" spans="1:19" ht="20.100000000000001" customHeight="1" x14ac:dyDescent="0.25">
      <c r="J72" s="21"/>
    </row>
    <row r="73" spans="1:19" ht="20.100000000000001" customHeight="1" x14ac:dyDescent="0.25">
      <c r="J73" s="21"/>
    </row>
    <row r="74" spans="1:19" ht="20.100000000000001" customHeight="1" x14ac:dyDescent="0.25">
      <c r="J74" s="21"/>
    </row>
    <row r="75" spans="1:19" ht="20.100000000000001" customHeight="1" x14ac:dyDescent="0.25">
      <c r="J75" s="21"/>
    </row>
    <row r="76" spans="1:19" ht="20.100000000000001" customHeight="1" x14ac:dyDescent="0.25">
      <c r="J76" s="21"/>
    </row>
    <row r="77" spans="1:19" ht="20.100000000000001" customHeight="1" x14ac:dyDescent="0.25">
      <c r="J77" s="21"/>
    </row>
    <row r="78" spans="1:19" ht="20.100000000000001" customHeight="1" x14ac:dyDescent="0.25">
      <c r="J78" s="21"/>
    </row>
    <row r="79" spans="1:19" ht="20.100000000000001" customHeight="1" x14ac:dyDescent="0.25">
      <c r="J79" s="21"/>
    </row>
    <row r="80" spans="1:19" ht="20.100000000000001" customHeight="1" x14ac:dyDescent="0.25">
      <c r="J80" s="21"/>
    </row>
    <row r="81" spans="10:10" ht="20.100000000000001" customHeight="1" x14ac:dyDescent="0.25">
      <c r="J81" s="21"/>
    </row>
    <row r="82" spans="10:10" ht="20.100000000000001" customHeight="1" x14ac:dyDescent="0.25">
      <c r="J82" s="21"/>
    </row>
    <row r="83" spans="10:10" ht="20.100000000000001" customHeight="1" x14ac:dyDescent="0.25">
      <c r="J83" s="21"/>
    </row>
    <row r="84" spans="10:10" ht="20.100000000000001" customHeight="1" x14ac:dyDescent="0.25">
      <c r="J84" s="21"/>
    </row>
    <row r="85" spans="10:10" ht="20.100000000000001" customHeight="1" x14ac:dyDescent="0.25">
      <c r="J85" s="21"/>
    </row>
    <row r="86" spans="10:10" ht="20.100000000000001" customHeight="1" x14ac:dyDescent="0.25">
      <c r="J86" s="21"/>
    </row>
    <row r="87" spans="10:10" ht="20.100000000000001" customHeight="1" x14ac:dyDescent="0.25">
      <c r="J87" s="21"/>
    </row>
    <row r="88" spans="10:10" ht="20.100000000000001" customHeight="1" x14ac:dyDescent="0.25">
      <c r="J88" s="21"/>
    </row>
    <row r="89" spans="10:10" ht="20.100000000000001" customHeight="1" x14ac:dyDescent="0.25">
      <c r="J89" s="21"/>
    </row>
    <row r="90" spans="10:10" ht="20.100000000000001" customHeight="1" x14ac:dyDescent="0.25">
      <c r="J90" s="21"/>
    </row>
    <row r="91" spans="10:10" ht="20.100000000000001" customHeight="1" x14ac:dyDescent="0.25">
      <c r="J91" s="21"/>
    </row>
    <row r="92" spans="10:10" ht="20.100000000000001" customHeight="1" x14ac:dyDescent="0.25">
      <c r="J92" s="21"/>
    </row>
    <row r="93" spans="10:10" ht="20.100000000000001" customHeight="1" x14ac:dyDescent="0.25">
      <c r="J93" s="21"/>
    </row>
    <row r="94" spans="10:10" ht="20.100000000000001" customHeight="1" x14ac:dyDescent="0.25">
      <c r="J94" s="21"/>
    </row>
    <row r="95" spans="10:10" ht="20.100000000000001" customHeight="1" x14ac:dyDescent="0.25">
      <c r="J95" s="21"/>
    </row>
    <row r="96" spans="10:10" ht="20.100000000000001" customHeight="1" x14ac:dyDescent="0.25">
      <c r="J96" s="21"/>
    </row>
    <row r="97" spans="1:19" ht="20.100000000000001" customHeight="1" x14ac:dyDescent="0.25">
      <c r="J97" s="21"/>
    </row>
    <row r="98" spans="1:19" ht="20.100000000000001" customHeight="1" x14ac:dyDescent="0.25">
      <c r="J98" s="21"/>
    </row>
    <row r="99" spans="1:19" ht="20.100000000000001" customHeight="1" x14ac:dyDescent="0.25">
      <c r="J99" s="21"/>
    </row>
    <row r="100" spans="1:19" ht="20.100000000000001" customHeight="1" x14ac:dyDescent="0.25">
      <c r="J100" s="21"/>
    </row>
    <row r="101" spans="1:19" ht="20.100000000000001" customHeight="1" x14ac:dyDescent="0.25">
      <c r="J101" s="21"/>
    </row>
    <row r="102" spans="1:19" ht="20.100000000000001" customHeight="1" x14ac:dyDescent="0.25">
      <c r="J102" s="21"/>
    </row>
    <row r="103" spans="1:19" ht="20.100000000000001" customHeight="1" x14ac:dyDescent="0.25">
      <c r="J103" s="21"/>
    </row>
    <row r="104" spans="1:19" ht="20.100000000000001" customHeight="1" x14ac:dyDescent="0.25">
      <c r="J104" s="21"/>
    </row>
    <row r="105" spans="1:19" ht="20.100000000000001" customHeight="1" x14ac:dyDescent="0.25">
      <c r="A105" s="187" t="s">
        <v>95</v>
      </c>
      <c r="B105" s="187"/>
      <c r="C105" s="187"/>
      <c r="D105" s="187"/>
      <c r="E105" s="187"/>
      <c r="F105" s="187"/>
      <c r="G105" s="187"/>
      <c r="H105" s="187"/>
      <c r="I105" s="187"/>
      <c r="J105" s="187"/>
      <c r="K105" s="187"/>
      <c r="L105" s="187"/>
      <c r="M105" s="187"/>
      <c r="N105" s="187"/>
      <c r="O105" s="187"/>
      <c r="P105" s="187"/>
      <c r="Q105" s="187"/>
      <c r="R105" s="187"/>
      <c r="S105" s="187"/>
    </row>
    <row r="106" spans="1:19" ht="20.100000000000001" customHeight="1" x14ac:dyDescent="0.25">
      <c r="J106" s="21"/>
    </row>
    <row r="107" spans="1:19" ht="20.100000000000001" customHeight="1" x14ac:dyDescent="0.25">
      <c r="J107" s="21"/>
    </row>
    <row r="108" spans="1:19" ht="20.100000000000001" customHeight="1" x14ac:dyDescent="0.25">
      <c r="J108" s="21"/>
    </row>
    <row r="109" spans="1:19" ht="20.100000000000001" customHeight="1" x14ac:dyDescent="0.25">
      <c r="J109" s="21"/>
    </row>
    <row r="110" spans="1:19" ht="20.100000000000001" customHeight="1" x14ac:dyDescent="0.25">
      <c r="J110" s="21"/>
    </row>
    <row r="111" spans="1:19" ht="20.100000000000001" customHeight="1" x14ac:dyDescent="0.25">
      <c r="J111" s="21"/>
    </row>
    <row r="112" spans="1:19" ht="20.100000000000001" customHeight="1" x14ac:dyDescent="0.25">
      <c r="J112" s="21"/>
    </row>
    <row r="113" spans="1:19" ht="20.100000000000001" customHeight="1" x14ac:dyDescent="0.25">
      <c r="J113" s="21"/>
    </row>
    <row r="114" spans="1:19" ht="20.100000000000001" customHeight="1" x14ac:dyDescent="0.25">
      <c r="J114" s="21"/>
    </row>
    <row r="115" spans="1:19" ht="20.100000000000001" customHeight="1" x14ac:dyDescent="0.25">
      <c r="J115" s="21"/>
    </row>
    <row r="116" spans="1:19" ht="20.100000000000001" customHeight="1" x14ac:dyDescent="0.25">
      <c r="J116" s="21"/>
    </row>
    <row r="117" spans="1:19" ht="20.100000000000001" customHeight="1" x14ac:dyDescent="0.25">
      <c r="J117" s="21"/>
    </row>
    <row r="118" spans="1:19" ht="20.100000000000001" customHeight="1" x14ac:dyDescent="0.25">
      <c r="J118" s="21"/>
    </row>
    <row r="119" spans="1:19" ht="20.100000000000001" customHeight="1" x14ac:dyDescent="0.25">
      <c r="J119" s="21"/>
    </row>
    <row r="120" spans="1:19" ht="20.100000000000001" customHeight="1" x14ac:dyDescent="0.25">
      <c r="J120" s="21"/>
    </row>
    <row r="121" spans="1:19" ht="20.100000000000001" customHeight="1" x14ac:dyDescent="0.25">
      <c r="J121" s="21"/>
    </row>
    <row r="122" spans="1:19" ht="20.100000000000001" customHeight="1" x14ac:dyDescent="0.25">
      <c r="J122" s="21"/>
    </row>
    <row r="123" spans="1:19" ht="20.100000000000001" customHeight="1" x14ac:dyDescent="0.25">
      <c r="J123" s="21"/>
    </row>
    <row r="124" spans="1:19" ht="20.100000000000001" customHeight="1" x14ac:dyDescent="0.25">
      <c r="A124" s="187" t="s">
        <v>94</v>
      </c>
      <c r="B124" s="187"/>
      <c r="C124" s="187"/>
      <c r="D124" s="187"/>
      <c r="E124" s="187"/>
      <c r="F124" s="187"/>
      <c r="G124" s="187"/>
      <c r="H124" s="187"/>
      <c r="I124" s="187"/>
      <c r="J124" s="187"/>
      <c r="K124" s="187"/>
      <c r="L124" s="187"/>
      <c r="M124" s="187"/>
      <c r="N124" s="187"/>
      <c r="O124" s="187"/>
      <c r="P124" s="187"/>
      <c r="Q124" s="187"/>
      <c r="R124" s="187"/>
      <c r="S124" s="187"/>
    </row>
    <row r="125" spans="1:19" ht="20.100000000000001" customHeight="1" x14ac:dyDescent="0.25">
      <c r="J125" s="21"/>
    </row>
    <row r="126" spans="1:19" ht="20.100000000000001" customHeight="1" x14ac:dyDescent="0.25">
      <c r="J126" s="21"/>
    </row>
    <row r="127" spans="1:19" ht="20.100000000000001" customHeight="1" x14ac:dyDescent="0.25">
      <c r="J127" s="21"/>
    </row>
    <row r="128" spans="1:19" ht="20.100000000000001" customHeight="1" x14ac:dyDescent="0.25">
      <c r="J128" s="21"/>
    </row>
    <row r="129" spans="1:19" ht="20.100000000000001" customHeight="1" x14ac:dyDescent="0.25">
      <c r="J129" s="21"/>
    </row>
    <row r="130" spans="1:19" ht="20.100000000000001" customHeight="1" x14ac:dyDescent="0.25">
      <c r="J130" s="21"/>
    </row>
    <row r="131" spans="1:19" ht="20.100000000000001" customHeight="1" x14ac:dyDescent="0.25">
      <c r="J131" s="21"/>
    </row>
    <row r="132" spans="1:19" ht="20.100000000000001" customHeight="1" x14ac:dyDescent="0.25">
      <c r="J132" s="21"/>
    </row>
    <row r="133" spans="1:19" ht="20.100000000000001" customHeight="1" x14ac:dyDescent="0.25">
      <c r="J133" s="21"/>
    </row>
    <row r="134" spans="1:19" ht="20.100000000000001" customHeight="1" x14ac:dyDescent="0.25">
      <c r="J134" s="21"/>
    </row>
    <row r="135" spans="1:19" ht="20.100000000000001" customHeight="1" x14ac:dyDescent="0.25">
      <c r="J135" s="21"/>
    </row>
    <row r="136" spans="1:19" ht="20.100000000000001" customHeight="1" x14ac:dyDescent="0.25">
      <c r="J136" s="21"/>
    </row>
    <row r="137" spans="1:19" ht="20.100000000000001" customHeight="1" x14ac:dyDescent="0.25">
      <c r="J137" s="21"/>
    </row>
    <row r="138" spans="1:19" ht="20.100000000000001" customHeight="1" x14ac:dyDescent="0.25">
      <c r="J138" s="21"/>
    </row>
    <row r="139" spans="1:19" ht="20.100000000000001" customHeight="1" x14ac:dyDescent="0.25">
      <c r="J139" s="21"/>
    </row>
    <row r="140" spans="1:19" ht="20.100000000000001" customHeight="1" x14ac:dyDescent="0.25">
      <c r="J140" s="21"/>
    </row>
    <row r="143" spans="1:19" ht="20.100000000000001" customHeight="1" x14ac:dyDescent="0.25">
      <c r="A143" s="201" t="s">
        <v>38</v>
      </c>
      <c r="B143" s="201"/>
      <c r="C143" s="201"/>
      <c r="D143" s="201"/>
      <c r="E143" s="201"/>
      <c r="F143" s="201"/>
      <c r="G143" s="201"/>
      <c r="H143" s="201"/>
      <c r="I143" s="201"/>
      <c r="J143" s="201"/>
      <c r="K143" s="201"/>
      <c r="L143" s="201"/>
      <c r="M143" s="201"/>
      <c r="N143" s="201"/>
      <c r="O143" s="201"/>
      <c r="P143" s="201"/>
      <c r="Q143" s="201"/>
      <c r="R143" s="201"/>
      <c r="S143" s="201"/>
    </row>
    <row r="145" spans="1:19" ht="39.950000000000003" customHeight="1" x14ac:dyDescent="0.25">
      <c r="A145" s="174" t="s">
        <v>40</v>
      </c>
      <c r="B145" s="174"/>
      <c r="C145" s="174"/>
      <c r="D145" s="174"/>
      <c r="E145" s="174"/>
      <c r="F145" s="174"/>
      <c r="G145" s="174"/>
      <c r="H145" s="174"/>
      <c r="I145" s="174"/>
      <c r="J145" s="22" t="s">
        <v>87</v>
      </c>
      <c r="K145" s="174" t="s">
        <v>39</v>
      </c>
      <c r="L145" s="174"/>
      <c r="M145" s="174"/>
      <c r="N145" s="174" t="s">
        <v>33</v>
      </c>
      <c r="O145" s="174"/>
      <c r="P145" s="174"/>
      <c r="Q145" s="174" t="s">
        <v>41</v>
      </c>
      <c r="R145" s="174"/>
      <c r="S145" s="174"/>
    </row>
    <row r="146" spans="1:19" ht="20.100000000000001" customHeight="1" x14ac:dyDescent="0.25">
      <c r="A146" s="187" t="s">
        <v>501</v>
      </c>
      <c r="B146" s="187"/>
      <c r="C146" s="187"/>
      <c r="D146" s="187"/>
      <c r="E146" s="187"/>
      <c r="F146" s="187"/>
      <c r="G146" s="187"/>
      <c r="H146" s="187"/>
      <c r="I146" s="187"/>
      <c r="J146" s="11" t="s">
        <v>414</v>
      </c>
      <c r="K146" s="205">
        <v>0.15</v>
      </c>
      <c r="L146" s="205"/>
      <c r="M146" s="205"/>
      <c r="N146" s="205">
        <f>K146</f>
        <v>0.15</v>
      </c>
      <c r="O146" s="205"/>
      <c r="P146" s="205"/>
      <c r="Q146" s="205">
        <f>(K146-N146)</f>
        <v>0</v>
      </c>
      <c r="R146" s="205"/>
      <c r="S146" s="205"/>
    </row>
    <row r="147" spans="1:19" ht="20.100000000000001" customHeight="1" x14ac:dyDescent="0.25">
      <c r="A147" s="195" t="s">
        <v>502</v>
      </c>
      <c r="B147" s="195"/>
      <c r="C147" s="195"/>
      <c r="D147" s="195"/>
      <c r="E147" s="195"/>
      <c r="F147" s="195"/>
      <c r="G147" s="195"/>
      <c r="H147" s="195"/>
      <c r="I147" s="195"/>
      <c r="J147" s="13" t="s">
        <v>415</v>
      </c>
      <c r="K147" s="206">
        <v>0.1</v>
      </c>
      <c r="L147" s="206"/>
      <c r="M147" s="206"/>
      <c r="N147" s="206">
        <f t="shared" ref="N147:N152" si="17">K147</f>
        <v>0.1</v>
      </c>
      <c r="O147" s="206"/>
      <c r="P147" s="206"/>
      <c r="Q147" s="206">
        <f t="shared" ref="Q147:Q152" si="18">(K147-N147)</f>
        <v>0</v>
      </c>
      <c r="R147" s="206"/>
      <c r="S147" s="206"/>
    </row>
    <row r="148" spans="1:19" ht="20.100000000000001" customHeight="1" x14ac:dyDescent="0.25">
      <c r="A148" s="195" t="s">
        <v>503</v>
      </c>
      <c r="B148" s="195"/>
      <c r="C148" s="195"/>
      <c r="D148" s="195"/>
      <c r="E148" s="195"/>
      <c r="F148" s="195"/>
      <c r="G148" s="195"/>
      <c r="H148" s="195"/>
      <c r="I148" s="195"/>
      <c r="J148" s="13" t="s">
        <v>416</v>
      </c>
      <c r="K148" s="206">
        <v>0.05</v>
      </c>
      <c r="L148" s="206"/>
      <c r="M148" s="206"/>
      <c r="N148" s="206">
        <f t="shared" si="17"/>
        <v>0.05</v>
      </c>
      <c r="O148" s="206"/>
      <c r="P148" s="206"/>
      <c r="Q148" s="206">
        <f t="shared" si="18"/>
        <v>0</v>
      </c>
      <c r="R148" s="206"/>
      <c r="S148" s="206"/>
    </row>
    <row r="149" spans="1:19" ht="20.100000000000001" customHeight="1" x14ac:dyDescent="0.25">
      <c r="A149" s="195" t="s">
        <v>504</v>
      </c>
      <c r="B149" s="195"/>
      <c r="C149" s="195"/>
      <c r="D149" s="195"/>
      <c r="E149" s="195"/>
      <c r="F149" s="195"/>
      <c r="G149" s="195"/>
      <c r="H149" s="195"/>
      <c r="I149" s="195"/>
      <c r="J149" s="13" t="s">
        <v>417</v>
      </c>
      <c r="K149" s="206">
        <v>0.15</v>
      </c>
      <c r="L149" s="206"/>
      <c r="M149" s="206"/>
      <c r="N149" s="206">
        <f t="shared" si="17"/>
        <v>0.15</v>
      </c>
      <c r="O149" s="206"/>
      <c r="P149" s="206"/>
      <c r="Q149" s="206">
        <f t="shared" si="18"/>
        <v>0</v>
      </c>
      <c r="R149" s="206"/>
      <c r="S149" s="206"/>
    </row>
    <row r="150" spans="1:19" ht="20.100000000000001" customHeight="1" x14ac:dyDescent="0.25">
      <c r="A150" s="195" t="s">
        <v>505</v>
      </c>
      <c r="B150" s="195"/>
      <c r="C150" s="195"/>
      <c r="D150" s="195"/>
      <c r="E150" s="195"/>
      <c r="F150" s="195"/>
      <c r="G150" s="195"/>
      <c r="H150" s="195"/>
      <c r="I150" s="195"/>
      <c r="J150" s="13" t="s">
        <v>418</v>
      </c>
      <c r="K150" s="206">
        <v>0.1</v>
      </c>
      <c r="L150" s="206"/>
      <c r="M150" s="206"/>
      <c r="N150" s="206">
        <f t="shared" si="17"/>
        <v>0.1</v>
      </c>
      <c r="O150" s="206"/>
      <c r="P150" s="206"/>
      <c r="Q150" s="206">
        <f t="shared" si="18"/>
        <v>0</v>
      </c>
      <c r="R150" s="206"/>
      <c r="S150" s="206"/>
    </row>
    <row r="151" spans="1:19" ht="20.100000000000001" customHeight="1" x14ac:dyDescent="0.25">
      <c r="A151" s="195" t="s">
        <v>1</v>
      </c>
      <c r="B151" s="195"/>
      <c r="C151" s="195"/>
      <c r="D151" s="195"/>
      <c r="E151" s="195"/>
      <c r="F151" s="195"/>
      <c r="G151" s="195"/>
      <c r="H151" s="195"/>
      <c r="I151" s="195"/>
      <c r="J151" s="13" t="s">
        <v>419</v>
      </c>
      <c r="K151" s="206">
        <v>0.3</v>
      </c>
      <c r="L151" s="206"/>
      <c r="M151" s="206"/>
      <c r="N151" s="206">
        <f t="shared" si="17"/>
        <v>0.3</v>
      </c>
      <c r="O151" s="206"/>
      <c r="P151" s="206"/>
      <c r="Q151" s="206">
        <f t="shared" si="18"/>
        <v>0</v>
      </c>
      <c r="R151" s="206"/>
      <c r="S151" s="206"/>
    </row>
    <row r="152" spans="1:19" ht="20.100000000000001" customHeight="1" x14ac:dyDescent="0.25">
      <c r="A152" s="195" t="s">
        <v>506</v>
      </c>
      <c r="B152" s="195"/>
      <c r="C152" s="195"/>
      <c r="D152" s="195"/>
      <c r="E152" s="195"/>
      <c r="F152" s="195"/>
      <c r="G152" s="195"/>
      <c r="H152" s="195"/>
      <c r="I152" s="195"/>
      <c r="J152" s="13" t="s">
        <v>420</v>
      </c>
      <c r="K152" s="206">
        <v>0.05</v>
      </c>
      <c r="L152" s="206"/>
      <c r="M152" s="206"/>
      <c r="N152" s="206">
        <f t="shared" si="17"/>
        <v>0.05</v>
      </c>
      <c r="O152" s="206"/>
      <c r="P152" s="206"/>
      <c r="Q152" s="206">
        <f t="shared" si="18"/>
        <v>0</v>
      </c>
      <c r="R152" s="206"/>
      <c r="S152" s="206"/>
    </row>
    <row r="154" spans="1:19" ht="20.100000000000001" customHeight="1" x14ac:dyDescent="0.25">
      <c r="A154" s="175" t="s">
        <v>257</v>
      </c>
      <c r="B154" s="175"/>
      <c r="C154" s="175"/>
      <c r="D154" s="175"/>
      <c r="E154" s="175"/>
      <c r="F154" s="175"/>
      <c r="G154" s="175"/>
      <c r="H154" s="175"/>
      <c r="I154" s="175"/>
      <c r="J154" s="175"/>
      <c r="K154" s="204">
        <f>1+(SUM(K146:M152))</f>
        <v>1.9</v>
      </c>
      <c r="L154" s="204"/>
      <c r="M154" s="204"/>
      <c r="N154" s="204">
        <f>1+(SUM(N146:P152))</f>
        <v>1.9</v>
      </c>
      <c r="O154" s="204"/>
      <c r="P154" s="204"/>
    </row>
    <row r="155" spans="1:19" ht="20.100000000000001" customHeight="1" x14ac:dyDescent="0.25">
      <c r="A155" s="207" t="s">
        <v>421</v>
      </c>
      <c r="B155" s="207"/>
      <c r="C155" s="207"/>
      <c r="D155" s="207"/>
      <c r="E155" s="207"/>
      <c r="F155" s="207"/>
      <c r="G155" s="207"/>
      <c r="H155" s="207"/>
      <c r="I155" s="207"/>
      <c r="J155" s="207"/>
      <c r="K155" s="207"/>
      <c r="L155" s="207"/>
      <c r="M155" s="207"/>
      <c r="N155" s="207"/>
      <c r="O155" s="207"/>
      <c r="P155" s="207"/>
    </row>
    <row r="156" spans="1:19" ht="20.100000000000001" customHeight="1" x14ac:dyDescent="0.25">
      <c r="A156" s="241"/>
      <c r="B156" s="241"/>
      <c r="C156" s="241"/>
      <c r="D156" s="241"/>
      <c r="E156" s="241"/>
      <c r="F156" s="241"/>
      <c r="G156" s="241"/>
      <c r="H156" s="241"/>
      <c r="I156" s="241"/>
      <c r="J156" s="241"/>
      <c r="K156" s="241"/>
      <c r="L156" s="241"/>
      <c r="M156" s="241"/>
      <c r="N156" s="241"/>
      <c r="O156" s="241"/>
      <c r="P156" s="241"/>
      <c r="Q156" s="204">
        <f>SUM(Q146:S152)</f>
        <v>0</v>
      </c>
      <c r="R156" s="204"/>
      <c r="S156" s="204"/>
    </row>
    <row r="158" spans="1:19" ht="20.100000000000001" customHeight="1" x14ac:dyDescent="0.25">
      <c r="A158" s="243" t="s">
        <v>507</v>
      </c>
      <c r="B158" s="243"/>
      <c r="C158" s="243"/>
      <c r="D158" s="243"/>
      <c r="E158" s="243"/>
      <c r="F158" s="243" t="s">
        <v>34</v>
      </c>
      <c r="G158" s="243"/>
      <c r="H158" s="243"/>
      <c r="I158" s="243"/>
      <c r="J158" s="243"/>
      <c r="K158" s="243"/>
      <c r="L158" s="243"/>
      <c r="M158" s="243"/>
      <c r="N158" s="243"/>
      <c r="O158" s="243"/>
      <c r="P158" s="243"/>
      <c r="Q158" s="243" t="s">
        <v>15</v>
      </c>
      <c r="R158" s="243"/>
      <c r="S158" s="243"/>
    </row>
    <row r="159" spans="1:19" ht="20.100000000000001" customHeight="1" x14ac:dyDescent="0.25">
      <c r="A159" s="243"/>
      <c r="B159" s="243"/>
      <c r="C159" s="243"/>
      <c r="D159" s="243"/>
      <c r="E159" s="243"/>
      <c r="F159" s="22"/>
      <c r="G159" s="22"/>
      <c r="H159" s="22"/>
      <c r="I159" s="22"/>
      <c r="J159" s="22" t="s">
        <v>414</v>
      </c>
      <c r="K159" s="22" t="s">
        <v>415</v>
      </c>
      <c r="L159" s="22" t="s">
        <v>416</v>
      </c>
      <c r="M159" s="22" t="s">
        <v>417</v>
      </c>
      <c r="N159" s="22" t="s">
        <v>418</v>
      </c>
      <c r="O159" s="22" t="s">
        <v>419</v>
      </c>
      <c r="P159" s="22" t="s">
        <v>420</v>
      </c>
      <c r="Q159" s="246"/>
      <c r="R159" s="246"/>
      <c r="S159" s="246"/>
    </row>
    <row r="160" spans="1:19" ht="20.100000000000001" customHeight="1" thickBot="1" x14ac:dyDescent="0.3">
      <c r="A160" s="244"/>
      <c r="B160" s="244"/>
      <c r="C160" s="244"/>
      <c r="D160" s="244"/>
      <c r="E160" s="244"/>
      <c r="F160" s="28"/>
      <c r="G160" s="28"/>
      <c r="H160" s="28"/>
      <c r="I160" s="28"/>
      <c r="J160" s="28">
        <f>$N$146</f>
        <v>0.15</v>
      </c>
      <c r="K160" s="28">
        <f>$N$147</f>
        <v>0.1</v>
      </c>
      <c r="L160" s="28">
        <f>$N$148</f>
        <v>0.05</v>
      </c>
      <c r="M160" s="28">
        <f>$N$149</f>
        <v>0.15</v>
      </c>
      <c r="N160" s="28">
        <f>$N$150</f>
        <v>0.1</v>
      </c>
      <c r="O160" s="28">
        <f>$N$151</f>
        <v>0.3</v>
      </c>
      <c r="P160" s="28">
        <f>$N$152</f>
        <v>0.05</v>
      </c>
      <c r="Q160" s="242">
        <f>1+(SUM(J160:P160))</f>
        <v>1.9</v>
      </c>
      <c r="R160" s="242"/>
      <c r="S160" s="242"/>
    </row>
    <row r="162" spans="1:19" ht="20.100000000000001" customHeight="1" x14ac:dyDescent="0.25">
      <c r="A162" s="187" t="s">
        <v>253</v>
      </c>
      <c r="B162" s="187"/>
      <c r="C162" s="187"/>
      <c r="D162" s="187"/>
      <c r="E162" s="187"/>
      <c r="F162" s="187"/>
      <c r="G162" s="187"/>
      <c r="H162" s="187"/>
      <c r="I162" s="187"/>
      <c r="J162" s="187"/>
      <c r="K162" s="187"/>
      <c r="L162" s="187"/>
      <c r="M162" s="187"/>
      <c r="N162" s="187"/>
      <c r="O162" s="187"/>
      <c r="P162" s="187"/>
      <c r="Q162" s="187"/>
      <c r="R162" s="187"/>
      <c r="S162" s="187"/>
    </row>
    <row r="163" spans="1:19" ht="20.100000000000001" customHeight="1" x14ac:dyDescent="0.25">
      <c r="A163" s="187"/>
      <c r="B163" s="187"/>
      <c r="C163" s="187"/>
      <c r="D163" s="187"/>
      <c r="E163" s="187"/>
      <c r="F163" s="187"/>
      <c r="G163" s="187"/>
      <c r="H163" s="187"/>
      <c r="I163" s="187"/>
      <c r="J163" s="187"/>
      <c r="K163" s="187"/>
      <c r="L163" s="187"/>
      <c r="M163" s="187"/>
      <c r="N163" s="187"/>
      <c r="O163" s="187"/>
      <c r="P163" s="187"/>
      <c r="Q163" s="187"/>
      <c r="R163" s="187"/>
      <c r="S163" s="187"/>
    </row>
    <row r="164" spans="1:19" ht="20.100000000000001" customHeight="1" x14ac:dyDescent="0.25">
      <c r="A164" s="187"/>
      <c r="B164" s="187"/>
      <c r="C164" s="187"/>
      <c r="D164" s="187"/>
      <c r="E164" s="187"/>
      <c r="F164" s="187"/>
      <c r="G164" s="187"/>
      <c r="H164" s="187"/>
      <c r="I164" s="187"/>
      <c r="J164" s="187"/>
      <c r="K164" s="187"/>
      <c r="L164" s="187"/>
      <c r="M164" s="187"/>
      <c r="N164" s="187"/>
      <c r="O164" s="187"/>
      <c r="P164" s="187"/>
      <c r="Q164" s="187"/>
      <c r="R164" s="187"/>
      <c r="S164" s="187"/>
    </row>
    <row r="166" spans="1:19" ht="39.950000000000003" customHeight="1" x14ac:dyDescent="0.25">
      <c r="A166" s="174" t="s">
        <v>17</v>
      </c>
      <c r="B166" s="174"/>
      <c r="C166" s="174" t="str">
        <f t="shared" ref="C166:C178" si="19">Q52</f>
        <v>Valor unitário homogeneizado</v>
      </c>
      <c r="D166" s="174"/>
      <c r="E166" s="174"/>
      <c r="F166" s="12"/>
      <c r="G166" s="12"/>
      <c r="H166" s="12"/>
      <c r="I166" s="12"/>
      <c r="J166" s="12" t="s">
        <v>414</v>
      </c>
      <c r="K166" s="12" t="s">
        <v>415</v>
      </c>
      <c r="L166" s="12" t="s">
        <v>416</v>
      </c>
      <c r="M166" s="12" t="s">
        <v>417</v>
      </c>
      <c r="N166" s="12" t="s">
        <v>418</v>
      </c>
      <c r="O166" s="12" t="s">
        <v>419</v>
      </c>
      <c r="P166" s="12" t="s">
        <v>420</v>
      </c>
      <c r="Q166" s="174" t="s">
        <v>15</v>
      </c>
      <c r="R166" s="174"/>
      <c r="S166" s="174"/>
    </row>
    <row r="167" spans="1:19" ht="20.100000000000001" customHeight="1" x14ac:dyDescent="0.25">
      <c r="A167" s="172">
        <v>1</v>
      </c>
      <c r="B167" s="172"/>
      <c r="C167" s="208">
        <f t="shared" si="19"/>
        <v>500</v>
      </c>
      <c r="D167" s="208"/>
      <c r="E167" s="208"/>
      <c r="F167" s="23"/>
      <c r="G167" s="23"/>
      <c r="H167" s="23"/>
      <c r="I167" s="23"/>
      <c r="J167" s="23">
        <f>$K$146</f>
        <v>0.15</v>
      </c>
      <c r="K167" s="23">
        <f>$K$147</f>
        <v>0.1</v>
      </c>
      <c r="L167" s="23">
        <f>$K$148</f>
        <v>0.05</v>
      </c>
      <c r="M167" s="23">
        <f>$K$149</f>
        <v>0.15</v>
      </c>
      <c r="N167" s="23">
        <f>$K$150</f>
        <v>0.1</v>
      </c>
      <c r="O167" s="23">
        <f>$K$151</f>
        <v>0.3</v>
      </c>
      <c r="P167" s="23">
        <f>$K$152</f>
        <v>0.05</v>
      </c>
      <c r="Q167" s="230">
        <f t="shared" ref="Q167:Q178" si="20">1+(SUM(J167:P167))</f>
        <v>1.9</v>
      </c>
      <c r="R167" s="230"/>
      <c r="S167" s="230"/>
    </row>
    <row r="168" spans="1:19" ht="20.100000000000001" customHeight="1" x14ac:dyDescent="0.25">
      <c r="A168" s="172">
        <v>2</v>
      </c>
      <c r="B168" s="172"/>
      <c r="C168" s="208">
        <f t="shared" si="19"/>
        <v>480.93750000000011</v>
      </c>
      <c r="D168" s="208"/>
      <c r="E168" s="208"/>
      <c r="F168" s="23"/>
      <c r="G168" s="23"/>
      <c r="H168" s="23"/>
      <c r="I168" s="23"/>
      <c r="J168" s="23">
        <f t="shared" ref="J168:J178" si="21">$K$146</f>
        <v>0.15</v>
      </c>
      <c r="K168" s="23">
        <f t="shared" ref="K168:K178" si="22">$K$147</f>
        <v>0.1</v>
      </c>
      <c r="L168" s="23">
        <f t="shared" ref="L168:L178" si="23">$K$148</f>
        <v>0.05</v>
      </c>
      <c r="M168" s="23">
        <f t="shared" ref="M168:M178" si="24">$K$149</f>
        <v>0.15</v>
      </c>
      <c r="N168" s="23">
        <f t="shared" ref="N168:N178" si="25">$K$150</f>
        <v>0.1</v>
      </c>
      <c r="O168" s="23">
        <f t="shared" ref="O168:O178" si="26">$K$151</f>
        <v>0.3</v>
      </c>
      <c r="P168" s="23">
        <f t="shared" ref="P168:P178" si="27">$K$152</f>
        <v>0.05</v>
      </c>
      <c r="Q168" s="230">
        <f t="shared" si="20"/>
        <v>1.9</v>
      </c>
      <c r="R168" s="230"/>
      <c r="S168" s="230"/>
    </row>
    <row r="169" spans="1:19" ht="20.100000000000001" customHeight="1" x14ac:dyDescent="0.25">
      <c r="A169" s="172">
        <v>3</v>
      </c>
      <c r="B169" s="172"/>
      <c r="C169" s="208">
        <f t="shared" si="19"/>
        <v>527.25000000000011</v>
      </c>
      <c r="D169" s="208"/>
      <c r="E169" s="208"/>
      <c r="F169" s="23"/>
      <c r="G169" s="23"/>
      <c r="H169" s="23"/>
      <c r="I169" s="23"/>
      <c r="J169" s="23">
        <f t="shared" si="21"/>
        <v>0.15</v>
      </c>
      <c r="K169" s="23">
        <f t="shared" si="22"/>
        <v>0.1</v>
      </c>
      <c r="L169" s="23">
        <f t="shared" si="23"/>
        <v>0.05</v>
      </c>
      <c r="M169" s="23">
        <f t="shared" si="24"/>
        <v>0.15</v>
      </c>
      <c r="N169" s="23">
        <f t="shared" si="25"/>
        <v>0.1</v>
      </c>
      <c r="O169" s="23">
        <f t="shared" si="26"/>
        <v>0.3</v>
      </c>
      <c r="P169" s="23">
        <f t="shared" si="27"/>
        <v>0.05</v>
      </c>
      <c r="Q169" s="230">
        <f t="shared" si="20"/>
        <v>1.9</v>
      </c>
      <c r="R169" s="230"/>
      <c r="S169" s="230"/>
    </row>
    <row r="170" spans="1:19" ht="20.100000000000001" customHeight="1" x14ac:dyDescent="0.25">
      <c r="A170" s="172">
        <v>4</v>
      </c>
      <c r="B170" s="172"/>
      <c r="C170" s="208">
        <f t="shared" si="19"/>
        <v>541.50000000000011</v>
      </c>
      <c r="D170" s="208"/>
      <c r="E170" s="208"/>
      <c r="F170" s="23"/>
      <c r="G170" s="23"/>
      <c r="H170" s="23"/>
      <c r="I170" s="23"/>
      <c r="J170" s="23">
        <f t="shared" si="21"/>
        <v>0.15</v>
      </c>
      <c r="K170" s="23">
        <f t="shared" si="22"/>
        <v>0.1</v>
      </c>
      <c r="L170" s="23">
        <f t="shared" si="23"/>
        <v>0.05</v>
      </c>
      <c r="M170" s="23">
        <f t="shared" si="24"/>
        <v>0.15</v>
      </c>
      <c r="N170" s="23">
        <f t="shared" si="25"/>
        <v>0.1</v>
      </c>
      <c r="O170" s="23">
        <f t="shared" si="26"/>
        <v>0.3</v>
      </c>
      <c r="P170" s="23">
        <f t="shared" si="27"/>
        <v>0.05</v>
      </c>
      <c r="Q170" s="230">
        <f t="shared" si="20"/>
        <v>1.9</v>
      </c>
      <c r="R170" s="230"/>
      <c r="S170" s="230"/>
    </row>
    <row r="171" spans="1:19" ht="20.100000000000001" customHeight="1" x14ac:dyDescent="0.25">
      <c r="A171" s="172">
        <v>5</v>
      </c>
      <c r="B171" s="172"/>
      <c r="C171" s="208">
        <f t="shared" si="19"/>
        <v>527.25000000000011</v>
      </c>
      <c r="D171" s="208"/>
      <c r="E171" s="208"/>
      <c r="F171" s="23"/>
      <c r="G171" s="23"/>
      <c r="H171" s="23"/>
      <c r="I171" s="23"/>
      <c r="J171" s="23">
        <f t="shared" si="21"/>
        <v>0.15</v>
      </c>
      <c r="K171" s="23">
        <f t="shared" si="22"/>
        <v>0.1</v>
      </c>
      <c r="L171" s="23">
        <f t="shared" si="23"/>
        <v>0.05</v>
      </c>
      <c r="M171" s="23">
        <f t="shared" si="24"/>
        <v>0.15</v>
      </c>
      <c r="N171" s="23">
        <f t="shared" si="25"/>
        <v>0.1</v>
      </c>
      <c r="O171" s="23">
        <f t="shared" si="26"/>
        <v>0.3</v>
      </c>
      <c r="P171" s="23">
        <f t="shared" si="27"/>
        <v>0.05</v>
      </c>
      <c r="Q171" s="230">
        <f t="shared" si="20"/>
        <v>1.9</v>
      </c>
      <c r="R171" s="230"/>
      <c r="S171" s="230"/>
    </row>
    <row r="172" spans="1:19" ht="20.100000000000001" customHeight="1" x14ac:dyDescent="0.25">
      <c r="A172" s="172">
        <v>6</v>
      </c>
      <c r="B172" s="172"/>
      <c r="C172" s="208">
        <f t="shared" si="19"/>
        <v>513.00000000000011</v>
      </c>
      <c r="D172" s="208"/>
      <c r="E172" s="208"/>
      <c r="F172" s="23"/>
      <c r="G172" s="23"/>
      <c r="H172" s="23"/>
      <c r="I172" s="23"/>
      <c r="J172" s="23">
        <f t="shared" si="21"/>
        <v>0.15</v>
      </c>
      <c r="K172" s="23">
        <f t="shared" si="22"/>
        <v>0.1</v>
      </c>
      <c r="L172" s="23">
        <f t="shared" si="23"/>
        <v>0.05</v>
      </c>
      <c r="M172" s="23">
        <f t="shared" si="24"/>
        <v>0.15</v>
      </c>
      <c r="N172" s="23">
        <f t="shared" si="25"/>
        <v>0.1</v>
      </c>
      <c r="O172" s="23">
        <f t="shared" si="26"/>
        <v>0.3</v>
      </c>
      <c r="P172" s="23">
        <f t="shared" si="27"/>
        <v>0.05</v>
      </c>
      <c r="Q172" s="230">
        <f t="shared" si="20"/>
        <v>1.9</v>
      </c>
      <c r="R172" s="230"/>
      <c r="S172" s="230"/>
    </row>
    <row r="173" spans="1:19" ht="20.100000000000001" customHeight="1" x14ac:dyDescent="0.25">
      <c r="A173" s="172">
        <v>7</v>
      </c>
      <c r="B173" s="172"/>
      <c r="C173" s="208">
        <f t="shared" si="19"/>
        <v>474.99999999999989</v>
      </c>
      <c r="D173" s="208"/>
      <c r="E173" s="208"/>
      <c r="F173" s="23"/>
      <c r="G173" s="23"/>
      <c r="H173" s="23"/>
      <c r="I173" s="23"/>
      <c r="J173" s="23">
        <f t="shared" si="21"/>
        <v>0.15</v>
      </c>
      <c r="K173" s="23">
        <f t="shared" si="22"/>
        <v>0.1</v>
      </c>
      <c r="L173" s="23">
        <f t="shared" si="23"/>
        <v>0.05</v>
      </c>
      <c r="M173" s="23">
        <f t="shared" si="24"/>
        <v>0.15</v>
      </c>
      <c r="N173" s="23">
        <f t="shared" si="25"/>
        <v>0.1</v>
      </c>
      <c r="O173" s="23">
        <f t="shared" si="26"/>
        <v>0.3</v>
      </c>
      <c r="P173" s="23">
        <f t="shared" si="27"/>
        <v>0.05</v>
      </c>
      <c r="Q173" s="230">
        <f t="shared" si="20"/>
        <v>1.9</v>
      </c>
      <c r="R173" s="230"/>
      <c r="S173" s="230"/>
    </row>
    <row r="174" spans="1:19" ht="20.100000000000001" customHeight="1" x14ac:dyDescent="0.25">
      <c r="A174" s="172">
        <v>8</v>
      </c>
      <c r="B174" s="172"/>
      <c r="C174" s="208">
        <f t="shared" si="19"/>
        <v>530.10000000000014</v>
      </c>
      <c r="D174" s="208"/>
      <c r="E174" s="208"/>
      <c r="F174" s="23"/>
      <c r="G174" s="23"/>
      <c r="H174" s="23"/>
      <c r="I174" s="23"/>
      <c r="J174" s="23">
        <f t="shared" si="21"/>
        <v>0.15</v>
      </c>
      <c r="K174" s="23">
        <f t="shared" si="22"/>
        <v>0.1</v>
      </c>
      <c r="L174" s="23">
        <f t="shared" si="23"/>
        <v>0.05</v>
      </c>
      <c r="M174" s="23">
        <f t="shared" si="24"/>
        <v>0.15</v>
      </c>
      <c r="N174" s="23">
        <f t="shared" si="25"/>
        <v>0.1</v>
      </c>
      <c r="O174" s="23">
        <f t="shared" si="26"/>
        <v>0.3</v>
      </c>
      <c r="P174" s="23">
        <f t="shared" si="27"/>
        <v>0.05</v>
      </c>
      <c r="Q174" s="230">
        <f t="shared" si="20"/>
        <v>1.9</v>
      </c>
      <c r="R174" s="230"/>
      <c r="S174" s="230"/>
    </row>
    <row r="175" spans="1:19" ht="20.100000000000001" customHeight="1" x14ac:dyDescent="0.25">
      <c r="A175" s="172">
        <v>9</v>
      </c>
      <c r="B175" s="172"/>
      <c r="C175" s="208">
        <f t="shared" si="19"/>
        <v>526.68000000000006</v>
      </c>
      <c r="D175" s="208"/>
      <c r="E175" s="208"/>
      <c r="F175" s="23"/>
      <c r="G175" s="23"/>
      <c r="H175" s="23"/>
      <c r="I175" s="23"/>
      <c r="J175" s="23">
        <f t="shared" si="21"/>
        <v>0.15</v>
      </c>
      <c r="K175" s="23">
        <f t="shared" si="22"/>
        <v>0.1</v>
      </c>
      <c r="L175" s="23">
        <f t="shared" si="23"/>
        <v>0.05</v>
      </c>
      <c r="M175" s="23">
        <f t="shared" si="24"/>
        <v>0.15</v>
      </c>
      <c r="N175" s="23">
        <f t="shared" si="25"/>
        <v>0.1</v>
      </c>
      <c r="O175" s="23">
        <f t="shared" si="26"/>
        <v>0.3</v>
      </c>
      <c r="P175" s="23">
        <f t="shared" si="27"/>
        <v>0.05</v>
      </c>
      <c r="Q175" s="230">
        <f t="shared" si="20"/>
        <v>1.9</v>
      </c>
      <c r="R175" s="230"/>
      <c r="S175" s="230"/>
    </row>
    <row r="176" spans="1:19" ht="20.100000000000001" customHeight="1" x14ac:dyDescent="0.25">
      <c r="A176" s="172">
        <v>10</v>
      </c>
      <c r="B176" s="172"/>
      <c r="C176" s="208">
        <f t="shared" si="19"/>
        <v>538.65000000000009</v>
      </c>
      <c r="D176" s="208"/>
      <c r="E176" s="208"/>
      <c r="F176" s="23"/>
      <c r="G176" s="23"/>
      <c r="H176" s="23"/>
      <c r="I176" s="23"/>
      <c r="J176" s="23">
        <f t="shared" si="21"/>
        <v>0.15</v>
      </c>
      <c r="K176" s="23">
        <f t="shared" si="22"/>
        <v>0.1</v>
      </c>
      <c r="L176" s="23">
        <f t="shared" si="23"/>
        <v>0.05</v>
      </c>
      <c r="M176" s="23">
        <f t="shared" si="24"/>
        <v>0.15</v>
      </c>
      <c r="N176" s="23">
        <f t="shared" si="25"/>
        <v>0.1</v>
      </c>
      <c r="O176" s="23">
        <f t="shared" si="26"/>
        <v>0.3</v>
      </c>
      <c r="P176" s="23">
        <f t="shared" si="27"/>
        <v>0.05</v>
      </c>
      <c r="Q176" s="230">
        <f t="shared" si="20"/>
        <v>1.9</v>
      </c>
      <c r="R176" s="230"/>
      <c r="S176" s="230"/>
    </row>
    <row r="177" spans="1:24" ht="20.100000000000001" customHeight="1" x14ac:dyDescent="0.25">
      <c r="A177" s="172">
        <v>11</v>
      </c>
      <c r="B177" s="172"/>
      <c r="C177" s="208">
        <f t="shared" si="19"/>
        <v>474.99999999999989</v>
      </c>
      <c r="D177" s="208"/>
      <c r="E177" s="208"/>
      <c r="F177" s="23"/>
      <c r="G177" s="23"/>
      <c r="H177" s="23"/>
      <c r="I177" s="23"/>
      <c r="J177" s="23">
        <f t="shared" si="21"/>
        <v>0.15</v>
      </c>
      <c r="K177" s="23">
        <f t="shared" si="22"/>
        <v>0.1</v>
      </c>
      <c r="L177" s="23">
        <f t="shared" si="23"/>
        <v>0.05</v>
      </c>
      <c r="M177" s="23">
        <f t="shared" si="24"/>
        <v>0.15</v>
      </c>
      <c r="N177" s="23">
        <f t="shared" si="25"/>
        <v>0.1</v>
      </c>
      <c r="O177" s="23">
        <f t="shared" si="26"/>
        <v>0.3</v>
      </c>
      <c r="P177" s="23">
        <f t="shared" si="27"/>
        <v>0.05</v>
      </c>
      <c r="Q177" s="230">
        <f t="shared" si="20"/>
        <v>1.9</v>
      </c>
      <c r="R177" s="230"/>
      <c r="S177" s="230"/>
    </row>
    <row r="178" spans="1:24" ht="20.100000000000001" customHeight="1" thickBot="1" x14ac:dyDescent="0.3">
      <c r="A178" s="173">
        <v>12</v>
      </c>
      <c r="B178" s="173"/>
      <c r="C178" s="209">
        <f t="shared" si="19"/>
        <v>550.67796610169501</v>
      </c>
      <c r="D178" s="209"/>
      <c r="E178" s="209"/>
      <c r="F178" s="24"/>
      <c r="G178" s="24"/>
      <c r="H178" s="24"/>
      <c r="I178" s="24"/>
      <c r="J178" s="24">
        <f t="shared" si="21"/>
        <v>0.15</v>
      </c>
      <c r="K178" s="24">
        <f t="shared" si="22"/>
        <v>0.1</v>
      </c>
      <c r="L178" s="24">
        <f t="shared" si="23"/>
        <v>0.05</v>
      </c>
      <c r="M178" s="24">
        <f t="shared" si="24"/>
        <v>0.15</v>
      </c>
      <c r="N178" s="24">
        <f t="shared" si="25"/>
        <v>0.1</v>
      </c>
      <c r="O178" s="24">
        <f t="shared" si="26"/>
        <v>0.3</v>
      </c>
      <c r="P178" s="24">
        <f t="shared" si="27"/>
        <v>0.05</v>
      </c>
      <c r="Q178" s="231">
        <f t="shared" si="20"/>
        <v>1.9</v>
      </c>
      <c r="R178" s="231"/>
      <c r="S178" s="231"/>
    </row>
    <row r="179" spans="1:24" ht="20.100000000000001" customHeight="1" x14ac:dyDescent="0.25">
      <c r="U179" s="105" t="s">
        <v>486</v>
      </c>
      <c r="V179" s="105" t="s">
        <v>487</v>
      </c>
      <c r="W179" s="105" t="s">
        <v>488</v>
      </c>
      <c r="X179" s="101" t="s">
        <v>489</v>
      </c>
    </row>
    <row r="180" spans="1:24" ht="20.100000000000001" customHeight="1" x14ac:dyDescent="0.25">
      <c r="U180" s="105">
        <v>1</v>
      </c>
      <c r="V180" s="113">
        <f t="shared" ref="V180:V191" si="28">Q167</f>
        <v>1.9</v>
      </c>
      <c r="W180" s="105">
        <v>1.82</v>
      </c>
      <c r="X180" s="101">
        <v>1</v>
      </c>
    </row>
    <row r="181" spans="1:24" ht="20.100000000000001" customHeight="1" x14ac:dyDescent="0.25">
      <c r="U181" s="105">
        <v>1</v>
      </c>
      <c r="V181" s="113">
        <f t="shared" si="28"/>
        <v>1.9</v>
      </c>
      <c r="W181" s="105">
        <v>1.82</v>
      </c>
      <c r="X181" s="101">
        <v>1</v>
      </c>
    </row>
    <row r="182" spans="1:24" ht="20.100000000000001" customHeight="1" x14ac:dyDescent="0.25">
      <c r="U182" s="105">
        <v>1</v>
      </c>
      <c r="V182" s="113">
        <f t="shared" si="28"/>
        <v>1.9</v>
      </c>
      <c r="W182" s="105">
        <v>1.82</v>
      </c>
      <c r="X182" s="101">
        <v>1</v>
      </c>
    </row>
    <row r="183" spans="1:24" ht="20.100000000000001" customHeight="1" x14ac:dyDescent="0.25">
      <c r="U183" s="105">
        <v>1</v>
      </c>
      <c r="V183" s="113">
        <f t="shared" si="28"/>
        <v>1.9</v>
      </c>
      <c r="W183" s="105">
        <v>1.82</v>
      </c>
      <c r="X183" s="101">
        <v>1</v>
      </c>
    </row>
    <row r="184" spans="1:24" ht="20.100000000000001" customHeight="1" x14ac:dyDescent="0.25">
      <c r="U184" s="105">
        <v>1</v>
      </c>
      <c r="V184" s="113">
        <f t="shared" si="28"/>
        <v>1.9</v>
      </c>
      <c r="W184" s="105">
        <v>1.82</v>
      </c>
      <c r="X184" s="101">
        <v>1</v>
      </c>
    </row>
    <row r="185" spans="1:24" ht="20.100000000000001" customHeight="1" x14ac:dyDescent="0.25">
      <c r="U185" s="105">
        <v>1</v>
      </c>
      <c r="V185" s="113">
        <f t="shared" si="28"/>
        <v>1.9</v>
      </c>
      <c r="W185" s="105">
        <v>1.82</v>
      </c>
      <c r="X185" s="101">
        <v>1</v>
      </c>
    </row>
    <row r="186" spans="1:24" ht="20.100000000000001" customHeight="1" x14ac:dyDescent="0.25">
      <c r="U186" s="105">
        <v>1</v>
      </c>
      <c r="V186" s="113">
        <f t="shared" si="28"/>
        <v>1.9</v>
      </c>
      <c r="W186" s="105">
        <v>1.82</v>
      </c>
      <c r="X186" s="101">
        <v>1</v>
      </c>
    </row>
    <row r="187" spans="1:24" ht="20.100000000000001" customHeight="1" x14ac:dyDescent="0.25">
      <c r="U187" s="105">
        <v>1</v>
      </c>
      <c r="V187" s="113">
        <f t="shared" si="28"/>
        <v>1.9</v>
      </c>
      <c r="W187" s="105">
        <v>1.82</v>
      </c>
      <c r="X187" s="101">
        <v>1</v>
      </c>
    </row>
    <row r="188" spans="1:24" ht="20.100000000000001" customHeight="1" x14ac:dyDescent="0.25">
      <c r="U188" s="105">
        <v>1</v>
      </c>
      <c r="V188" s="113">
        <f t="shared" si="28"/>
        <v>1.9</v>
      </c>
      <c r="W188" s="105">
        <v>1.82</v>
      </c>
      <c r="X188" s="101">
        <v>1</v>
      </c>
    </row>
    <row r="189" spans="1:24" ht="20.100000000000001" customHeight="1" x14ac:dyDescent="0.25">
      <c r="U189" s="105">
        <v>1</v>
      </c>
      <c r="V189" s="113">
        <f t="shared" si="28"/>
        <v>1.9</v>
      </c>
      <c r="W189" s="105">
        <v>1.82</v>
      </c>
      <c r="X189" s="101">
        <v>1</v>
      </c>
    </row>
    <row r="190" spans="1:24" ht="20.100000000000001" customHeight="1" x14ac:dyDescent="0.25">
      <c r="U190" s="105">
        <v>1</v>
      </c>
      <c r="V190" s="113">
        <f t="shared" si="28"/>
        <v>1.9</v>
      </c>
      <c r="W190" s="105">
        <v>1.82</v>
      </c>
      <c r="X190" s="101">
        <v>1</v>
      </c>
    </row>
    <row r="191" spans="1:24" ht="20.100000000000001" customHeight="1" x14ac:dyDescent="0.25">
      <c r="U191" s="105">
        <v>1</v>
      </c>
      <c r="V191" s="113">
        <f t="shared" si="28"/>
        <v>1.9</v>
      </c>
      <c r="W191" s="105">
        <v>1.82</v>
      </c>
      <c r="X191" s="101">
        <v>1</v>
      </c>
    </row>
    <row r="198" spans="1:19" ht="39.950000000000003" customHeight="1" x14ac:dyDescent="0.25">
      <c r="A198" s="174" t="s">
        <v>17</v>
      </c>
      <c r="B198" s="174"/>
      <c r="C198" s="174" t="str">
        <f t="shared" ref="C198:C210" si="29">C166</f>
        <v>Valor unitário homogeneizado</v>
      </c>
      <c r="D198" s="174"/>
      <c r="E198" s="174"/>
      <c r="F198" s="174" t="s">
        <v>422</v>
      </c>
      <c r="G198" s="174"/>
      <c r="H198" s="174"/>
      <c r="I198" s="174" t="s">
        <v>423</v>
      </c>
      <c r="J198" s="174"/>
      <c r="K198" s="174"/>
      <c r="L198" s="174" t="s">
        <v>23</v>
      </c>
      <c r="M198" s="174"/>
      <c r="N198" s="174"/>
      <c r="O198" s="174" t="s">
        <v>42</v>
      </c>
      <c r="P198" s="174"/>
      <c r="Q198" s="174"/>
      <c r="R198" s="174"/>
      <c r="S198" s="174"/>
    </row>
    <row r="199" spans="1:19" ht="20.100000000000001" customHeight="1" x14ac:dyDescent="0.25">
      <c r="A199" s="172">
        <v>1</v>
      </c>
      <c r="B199" s="172"/>
      <c r="C199" s="224">
        <f t="shared" si="29"/>
        <v>500</v>
      </c>
      <c r="D199" s="224"/>
      <c r="E199" s="224"/>
      <c r="F199" s="247">
        <f t="shared" ref="F199:F210" si="30">Q167</f>
        <v>1.9</v>
      </c>
      <c r="G199" s="247"/>
      <c r="H199" s="247"/>
      <c r="I199" s="247">
        <f>$Q$160</f>
        <v>1.9</v>
      </c>
      <c r="J199" s="247"/>
      <c r="K199" s="247"/>
      <c r="L199" s="247">
        <f>I199/F199</f>
        <v>1</v>
      </c>
      <c r="M199" s="247"/>
      <c r="N199" s="247"/>
      <c r="O199" s="224">
        <f t="shared" ref="O199:O210" si="31">C199*L199</f>
        <v>500</v>
      </c>
      <c r="P199" s="224"/>
      <c r="Q199" s="224"/>
      <c r="R199" s="224"/>
      <c r="S199" s="224"/>
    </row>
    <row r="200" spans="1:19" ht="20.100000000000001" customHeight="1" x14ac:dyDescent="0.25">
      <c r="A200" s="172">
        <v>2</v>
      </c>
      <c r="B200" s="172"/>
      <c r="C200" s="208">
        <f t="shared" si="29"/>
        <v>480.93750000000011</v>
      </c>
      <c r="D200" s="208"/>
      <c r="E200" s="208"/>
      <c r="F200" s="213">
        <f t="shared" si="30"/>
        <v>1.9</v>
      </c>
      <c r="G200" s="213"/>
      <c r="H200" s="213"/>
      <c r="I200" s="213">
        <f t="shared" ref="I200:I210" si="32">$Q$160</f>
        <v>1.9</v>
      </c>
      <c r="J200" s="213"/>
      <c r="K200" s="213"/>
      <c r="L200" s="213">
        <f t="shared" ref="L200:L210" si="33">I200/F200</f>
        <v>1</v>
      </c>
      <c r="M200" s="213"/>
      <c r="N200" s="213"/>
      <c r="O200" s="208">
        <f t="shared" si="31"/>
        <v>480.93750000000011</v>
      </c>
      <c r="P200" s="208"/>
      <c r="Q200" s="208"/>
      <c r="R200" s="208"/>
      <c r="S200" s="208"/>
    </row>
    <row r="201" spans="1:19" ht="20.100000000000001" customHeight="1" x14ac:dyDescent="0.25">
      <c r="A201" s="172">
        <v>3</v>
      </c>
      <c r="B201" s="172"/>
      <c r="C201" s="208">
        <f t="shared" si="29"/>
        <v>527.25000000000011</v>
      </c>
      <c r="D201" s="208"/>
      <c r="E201" s="208"/>
      <c r="F201" s="213">
        <f t="shared" si="30"/>
        <v>1.9</v>
      </c>
      <c r="G201" s="213"/>
      <c r="H201" s="213"/>
      <c r="I201" s="213">
        <f t="shared" si="32"/>
        <v>1.9</v>
      </c>
      <c r="J201" s="213"/>
      <c r="K201" s="213"/>
      <c r="L201" s="213">
        <f t="shared" ref="L201:L202" si="34">I201/F201</f>
        <v>1</v>
      </c>
      <c r="M201" s="213"/>
      <c r="N201" s="213"/>
      <c r="O201" s="208">
        <f t="shared" ref="O201:O202" si="35">C201*L201</f>
        <v>527.25000000000011</v>
      </c>
      <c r="P201" s="208"/>
      <c r="Q201" s="208"/>
      <c r="R201" s="208"/>
      <c r="S201" s="208"/>
    </row>
    <row r="202" spans="1:19" ht="20.100000000000001" customHeight="1" x14ac:dyDescent="0.25">
      <c r="A202" s="172">
        <v>4</v>
      </c>
      <c r="B202" s="172"/>
      <c r="C202" s="208">
        <f t="shared" si="29"/>
        <v>541.50000000000011</v>
      </c>
      <c r="D202" s="208"/>
      <c r="E202" s="208"/>
      <c r="F202" s="213">
        <f t="shared" si="30"/>
        <v>1.9</v>
      </c>
      <c r="G202" s="213"/>
      <c r="H202" s="213"/>
      <c r="I202" s="213">
        <f t="shared" si="32"/>
        <v>1.9</v>
      </c>
      <c r="J202" s="213"/>
      <c r="K202" s="213"/>
      <c r="L202" s="213">
        <f t="shared" si="34"/>
        <v>1</v>
      </c>
      <c r="M202" s="213"/>
      <c r="N202" s="213"/>
      <c r="O202" s="208">
        <f t="shared" si="35"/>
        <v>541.50000000000011</v>
      </c>
      <c r="P202" s="208"/>
      <c r="Q202" s="208"/>
      <c r="R202" s="208"/>
      <c r="S202" s="208"/>
    </row>
    <row r="203" spans="1:19" ht="20.100000000000001" customHeight="1" x14ac:dyDescent="0.25">
      <c r="A203" s="172">
        <v>5</v>
      </c>
      <c r="B203" s="172"/>
      <c r="C203" s="208">
        <f t="shared" si="29"/>
        <v>527.25000000000011</v>
      </c>
      <c r="D203" s="208"/>
      <c r="E203" s="208"/>
      <c r="F203" s="213">
        <f t="shared" si="30"/>
        <v>1.9</v>
      </c>
      <c r="G203" s="213"/>
      <c r="H203" s="213"/>
      <c r="I203" s="213">
        <f t="shared" si="32"/>
        <v>1.9</v>
      </c>
      <c r="J203" s="213"/>
      <c r="K203" s="213"/>
      <c r="L203" s="213">
        <f t="shared" ref="L203:L209" si="36">I203/F203</f>
        <v>1</v>
      </c>
      <c r="M203" s="213"/>
      <c r="N203" s="213"/>
      <c r="O203" s="208">
        <f t="shared" ref="O203:O209" si="37">C203*L203</f>
        <v>527.25000000000011</v>
      </c>
      <c r="P203" s="208"/>
      <c r="Q203" s="208"/>
      <c r="R203" s="208"/>
      <c r="S203" s="208"/>
    </row>
    <row r="204" spans="1:19" ht="20.100000000000001" customHeight="1" x14ac:dyDescent="0.25">
      <c r="A204" s="172">
        <v>6</v>
      </c>
      <c r="B204" s="172"/>
      <c r="C204" s="208">
        <f t="shared" si="29"/>
        <v>513.00000000000011</v>
      </c>
      <c r="D204" s="208"/>
      <c r="E204" s="208"/>
      <c r="F204" s="213">
        <f t="shared" si="30"/>
        <v>1.9</v>
      </c>
      <c r="G204" s="213"/>
      <c r="H204" s="213"/>
      <c r="I204" s="213">
        <f t="shared" si="32"/>
        <v>1.9</v>
      </c>
      <c r="J204" s="213"/>
      <c r="K204" s="213"/>
      <c r="L204" s="213">
        <f t="shared" si="36"/>
        <v>1</v>
      </c>
      <c r="M204" s="213"/>
      <c r="N204" s="213"/>
      <c r="O204" s="208">
        <f t="shared" si="37"/>
        <v>513.00000000000011</v>
      </c>
      <c r="P204" s="208"/>
      <c r="Q204" s="208"/>
      <c r="R204" s="208"/>
      <c r="S204" s="208"/>
    </row>
    <row r="205" spans="1:19" ht="20.100000000000001" customHeight="1" x14ac:dyDescent="0.25">
      <c r="A205" s="172">
        <v>7</v>
      </c>
      <c r="B205" s="172"/>
      <c r="C205" s="208">
        <f t="shared" si="29"/>
        <v>474.99999999999989</v>
      </c>
      <c r="D205" s="208"/>
      <c r="E205" s="208"/>
      <c r="F205" s="213">
        <f t="shared" si="30"/>
        <v>1.9</v>
      </c>
      <c r="G205" s="213"/>
      <c r="H205" s="213"/>
      <c r="I205" s="213">
        <f t="shared" si="32"/>
        <v>1.9</v>
      </c>
      <c r="J205" s="213"/>
      <c r="K205" s="213"/>
      <c r="L205" s="213">
        <f t="shared" si="36"/>
        <v>1</v>
      </c>
      <c r="M205" s="213"/>
      <c r="N205" s="213"/>
      <c r="O205" s="208">
        <f t="shared" si="37"/>
        <v>474.99999999999989</v>
      </c>
      <c r="P205" s="208"/>
      <c r="Q205" s="208"/>
      <c r="R205" s="208"/>
      <c r="S205" s="208"/>
    </row>
    <row r="206" spans="1:19" ht="20.100000000000001" customHeight="1" x14ac:dyDescent="0.25">
      <c r="A206" s="172">
        <v>8</v>
      </c>
      <c r="B206" s="172"/>
      <c r="C206" s="208">
        <f t="shared" si="29"/>
        <v>530.10000000000014</v>
      </c>
      <c r="D206" s="208"/>
      <c r="E206" s="208"/>
      <c r="F206" s="213">
        <f t="shared" si="30"/>
        <v>1.9</v>
      </c>
      <c r="G206" s="213"/>
      <c r="H206" s="213"/>
      <c r="I206" s="213">
        <f t="shared" si="32"/>
        <v>1.9</v>
      </c>
      <c r="J206" s="213"/>
      <c r="K206" s="213"/>
      <c r="L206" s="213">
        <f t="shared" si="36"/>
        <v>1</v>
      </c>
      <c r="M206" s="213"/>
      <c r="N206" s="213"/>
      <c r="O206" s="208">
        <f t="shared" si="37"/>
        <v>530.10000000000014</v>
      </c>
      <c r="P206" s="208"/>
      <c r="Q206" s="208"/>
      <c r="R206" s="208"/>
      <c r="S206" s="208"/>
    </row>
    <row r="207" spans="1:19" ht="20.100000000000001" customHeight="1" x14ac:dyDescent="0.25">
      <c r="A207" s="172">
        <v>9</v>
      </c>
      <c r="B207" s="172"/>
      <c r="C207" s="208">
        <f t="shared" si="29"/>
        <v>526.68000000000006</v>
      </c>
      <c r="D207" s="208"/>
      <c r="E207" s="208"/>
      <c r="F207" s="213">
        <f t="shared" si="30"/>
        <v>1.9</v>
      </c>
      <c r="G207" s="213"/>
      <c r="H207" s="213"/>
      <c r="I207" s="213">
        <f t="shared" si="32"/>
        <v>1.9</v>
      </c>
      <c r="J207" s="213"/>
      <c r="K207" s="213"/>
      <c r="L207" s="213">
        <f t="shared" si="36"/>
        <v>1</v>
      </c>
      <c r="M207" s="213"/>
      <c r="N207" s="213"/>
      <c r="O207" s="208">
        <f t="shared" si="37"/>
        <v>526.68000000000006</v>
      </c>
      <c r="P207" s="208"/>
      <c r="Q207" s="208"/>
      <c r="R207" s="208"/>
      <c r="S207" s="208"/>
    </row>
    <row r="208" spans="1:19" ht="20.100000000000001" customHeight="1" x14ac:dyDescent="0.25">
      <c r="A208" s="172">
        <v>10</v>
      </c>
      <c r="B208" s="172"/>
      <c r="C208" s="208">
        <f t="shared" si="29"/>
        <v>538.65000000000009</v>
      </c>
      <c r="D208" s="208"/>
      <c r="E208" s="208"/>
      <c r="F208" s="213">
        <f t="shared" si="30"/>
        <v>1.9</v>
      </c>
      <c r="G208" s="213"/>
      <c r="H208" s="213"/>
      <c r="I208" s="213">
        <f t="shared" si="32"/>
        <v>1.9</v>
      </c>
      <c r="J208" s="213"/>
      <c r="K208" s="213"/>
      <c r="L208" s="213">
        <f t="shared" si="36"/>
        <v>1</v>
      </c>
      <c r="M208" s="213"/>
      <c r="N208" s="213"/>
      <c r="O208" s="208">
        <f t="shared" si="37"/>
        <v>538.65000000000009</v>
      </c>
      <c r="P208" s="208"/>
      <c r="Q208" s="208"/>
      <c r="R208" s="208"/>
      <c r="S208" s="208"/>
    </row>
    <row r="209" spans="1:24" ht="20.100000000000001" customHeight="1" x14ac:dyDescent="0.25">
      <c r="A209" s="172">
        <v>11</v>
      </c>
      <c r="B209" s="172"/>
      <c r="C209" s="208">
        <f t="shared" si="29"/>
        <v>474.99999999999989</v>
      </c>
      <c r="D209" s="208"/>
      <c r="E209" s="208"/>
      <c r="F209" s="213">
        <f t="shared" si="30"/>
        <v>1.9</v>
      </c>
      <c r="G209" s="213"/>
      <c r="H209" s="213"/>
      <c r="I209" s="213">
        <f t="shared" si="32"/>
        <v>1.9</v>
      </c>
      <c r="J209" s="213"/>
      <c r="K209" s="213"/>
      <c r="L209" s="213">
        <f t="shared" si="36"/>
        <v>1</v>
      </c>
      <c r="M209" s="213"/>
      <c r="N209" s="213"/>
      <c r="O209" s="208">
        <f t="shared" si="37"/>
        <v>474.99999999999989</v>
      </c>
      <c r="P209" s="208"/>
      <c r="Q209" s="208"/>
      <c r="R209" s="208"/>
      <c r="S209" s="208"/>
    </row>
    <row r="210" spans="1:24" ht="20.100000000000001" customHeight="1" thickBot="1" x14ac:dyDescent="0.3">
      <c r="A210" s="173">
        <v>12</v>
      </c>
      <c r="B210" s="173"/>
      <c r="C210" s="209">
        <f t="shared" si="29"/>
        <v>550.67796610169501</v>
      </c>
      <c r="D210" s="209"/>
      <c r="E210" s="209"/>
      <c r="F210" s="245">
        <f t="shared" si="30"/>
        <v>1.9</v>
      </c>
      <c r="G210" s="245"/>
      <c r="H210" s="245"/>
      <c r="I210" s="245">
        <f t="shared" si="32"/>
        <v>1.9</v>
      </c>
      <c r="J210" s="245"/>
      <c r="K210" s="245"/>
      <c r="L210" s="245">
        <f t="shared" si="33"/>
        <v>1</v>
      </c>
      <c r="M210" s="245"/>
      <c r="N210" s="245"/>
      <c r="O210" s="209">
        <f t="shared" si="31"/>
        <v>550.67796610169501</v>
      </c>
      <c r="P210" s="209"/>
      <c r="Q210" s="209"/>
      <c r="R210" s="209"/>
      <c r="S210" s="209"/>
      <c r="U210" s="110"/>
      <c r="V210" s="110"/>
    </row>
    <row r="211" spans="1:24" ht="20.100000000000001" customHeight="1" x14ac:dyDescent="0.25">
      <c r="U211" s="105" t="s">
        <v>486</v>
      </c>
      <c r="V211" s="105" t="s">
        <v>490</v>
      </c>
      <c r="W211" s="105" t="s">
        <v>488</v>
      </c>
      <c r="X211" s="101" t="s">
        <v>489</v>
      </c>
    </row>
    <row r="212" spans="1:24" ht="20.100000000000001" customHeight="1" x14ac:dyDescent="0.25">
      <c r="M212" s="175" t="s">
        <v>36</v>
      </c>
      <c r="N212" s="175"/>
      <c r="O212" s="175"/>
      <c r="P212" s="175"/>
      <c r="Q212" s="212">
        <f>AVERAGE(O199:S210)</f>
        <v>515.50378884180793</v>
      </c>
      <c r="R212" s="212"/>
      <c r="S212" s="212"/>
      <c r="U212" s="105">
        <v>1</v>
      </c>
      <c r="V212" s="113">
        <f>I199</f>
        <v>1.9</v>
      </c>
      <c r="W212" s="105">
        <v>1.82</v>
      </c>
      <c r="X212" s="101">
        <v>1</v>
      </c>
    </row>
    <row r="213" spans="1:24" ht="20.100000000000001" customHeight="1" x14ac:dyDescent="0.25">
      <c r="M213" s="187" t="s">
        <v>37</v>
      </c>
      <c r="N213" s="187"/>
      <c r="O213" s="187"/>
      <c r="P213" s="187"/>
      <c r="Q213" s="212">
        <f>STDEVA(O199:S210)</f>
        <v>26.60358047166886</v>
      </c>
      <c r="R213" s="212"/>
      <c r="S213" s="212"/>
      <c r="U213" s="105">
        <v>1</v>
      </c>
      <c r="V213" s="113">
        <f t="shared" ref="V213:V223" si="38">I200</f>
        <v>1.9</v>
      </c>
      <c r="W213" s="105">
        <v>1.82</v>
      </c>
      <c r="X213" s="101">
        <v>1</v>
      </c>
    </row>
    <row r="214" spans="1:24" ht="20.100000000000001" customHeight="1" x14ac:dyDescent="0.25">
      <c r="M214" s="195" t="s">
        <v>35</v>
      </c>
      <c r="N214" s="195"/>
      <c r="O214" s="195"/>
      <c r="P214" s="195"/>
      <c r="Q214" s="226">
        <f>Q213/Q212</f>
        <v>5.160695429889977E-2</v>
      </c>
      <c r="R214" s="226"/>
      <c r="S214" s="226"/>
      <c r="U214" s="105">
        <v>1</v>
      </c>
      <c r="V214" s="113">
        <f t="shared" si="38"/>
        <v>1.9</v>
      </c>
      <c r="W214" s="105">
        <v>1.82</v>
      </c>
      <c r="X214" s="101">
        <v>1</v>
      </c>
    </row>
    <row r="215" spans="1:24" ht="20.100000000000001" customHeight="1" x14ac:dyDescent="0.25">
      <c r="U215" s="105">
        <v>1</v>
      </c>
      <c r="V215" s="113">
        <f t="shared" si="38"/>
        <v>1.9</v>
      </c>
      <c r="W215" s="105">
        <v>1.82</v>
      </c>
      <c r="X215" s="101">
        <v>1</v>
      </c>
    </row>
    <row r="216" spans="1:24" ht="20.100000000000001" customHeight="1" x14ac:dyDescent="0.25">
      <c r="U216" s="105">
        <v>1</v>
      </c>
      <c r="V216" s="113">
        <f t="shared" si="38"/>
        <v>1.9</v>
      </c>
      <c r="W216" s="105">
        <v>1.82</v>
      </c>
      <c r="X216" s="101">
        <v>1</v>
      </c>
    </row>
    <row r="217" spans="1:24" ht="20.100000000000001" customHeight="1" x14ac:dyDescent="0.25">
      <c r="U217" s="105">
        <v>1</v>
      </c>
      <c r="V217" s="113">
        <f t="shared" si="38"/>
        <v>1.9</v>
      </c>
      <c r="W217" s="105">
        <v>1.82</v>
      </c>
      <c r="X217" s="101">
        <v>1</v>
      </c>
    </row>
    <row r="218" spans="1:24" ht="20.100000000000001" customHeight="1" x14ac:dyDescent="0.25">
      <c r="U218" s="105">
        <v>1</v>
      </c>
      <c r="V218" s="113">
        <f t="shared" si="38"/>
        <v>1.9</v>
      </c>
      <c r="W218" s="105">
        <v>1.82</v>
      </c>
      <c r="X218" s="101">
        <v>1</v>
      </c>
    </row>
    <row r="219" spans="1:24" ht="20.100000000000001" customHeight="1" x14ac:dyDescent="0.25">
      <c r="U219" s="105">
        <v>1</v>
      </c>
      <c r="V219" s="113">
        <f t="shared" si="38"/>
        <v>1.9</v>
      </c>
      <c r="W219" s="105">
        <v>1.82</v>
      </c>
      <c r="X219" s="101">
        <v>1</v>
      </c>
    </row>
    <row r="220" spans="1:24" ht="20.100000000000001" customHeight="1" x14ac:dyDescent="0.25">
      <c r="U220" s="105">
        <v>1</v>
      </c>
      <c r="V220" s="113">
        <f t="shared" si="38"/>
        <v>1.9</v>
      </c>
      <c r="W220" s="105">
        <v>1.82</v>
      </c>
      <c r="X220" s="101">
        <v>1</v>
      </c>
    </row>
    <row r="221" spans="1:24" ht="20.100000000000001" customHeight="1" x14ac:dyDescent="0.25">
      <c r="U221" s="105">
        <v>1</v>
      </c>
      <c r="V221" s="113">
        <f t="shared" si="38"/>
        <v>1.9</v>
      </c>
      <c r="W221" s="105">
        <v>1.82</v>
      </c>
      <c r="X221" s="101">
        <v>1</v>
      </c>
    </row>
    <row r="222" spans="1:24" ht="20.100000000000001" customHeight="1" x14ac:dyDescent="0.25">
      <c r="U222" s="105">
        <v>1</v>
      </c>
      <c r="V222" s="113">
        <f t="shared" si="38"/>
        <v>1.9</v>
      </c>
      <c r="W222" s="105">
        <v>1.82</v>
      </c>
      <c r="X222" s="101">
        <v>1</v>
      </c>
    </row>
    <row r="223" spans="1:24" ht="20.100000000000001" customHeight="1" x14ac:dyDescent="0.25">
      <c r="U223" s="105">
        <v>1</v>
      </c>
      <c r="V223" s="113">
        <f t="shared" si="38"/>
        <v>1.9</v>
      </c>
      <c r="W223" s="105">
        <v>1.82</v>
      </c>
      <c r="X223" s="101">
        <v>1</v>
      </c>
    </row>
    <row r="234" spans="1:26" ht="20.100000000000001" customHeight="1" x14ac:dyDescent="0.25">
      <c r="A234" s="201" t="s">
        <v>49</v>
      </c>
      <c r="B234" s="201"/>
      <c r="C234" s="201"/>
      <c r="D234" s="201"/>
      <c r="E234" s="201"/>
      <c r="F234" s="201"/>
      <c r="G234" s="201"/>
      <c r="H234" s="201"/>
      <c r="I234" s="201"/>
      <c r="J234" s="201"/>
      <c r="K234" s="201"/>
      <c r="L234" s="201"/>
      <c r="M234" s="201"/>
      <c r="N234" s="201"/>
      <c r="O234" s="201"/>
      <c r="P234" s="201"/>
      <c r="Q234" s="201"/>
      <c r="R234" s="201"/>
      <c r="S234" s="201"/>
    </row>
    <row r="236" spans="1:26" ht="20.100000000000001" customHeight="1" x14ac:dyDescent="0.25">
      <c r="A236" s="174" t="s">
        <v>17</v>
      </c>
      <c r="B236" s="174"/>
      <c r="C236" s="174" t="s">
        <v>32</v>
      </c>
      <c r="D236" s="174"/>
      <c r="E236" s="174"/>
      <c r="F236" s="174"/>
      <c r="G236" s="174"/>
      <c r="M236" s="175" t="s">
        <v>43</v>
      </c>
      <c r="N236" s="175"/>
      <c r="O236" s="175"/>
      <c r="P236" s="175"/>
      <c r="Q236" s="175"/>
      <c r="R236" s="227">
        <v>0.3</v>
      </c>
      <c r="S236" s="227"/>
    </row>
    <row r="237" spans="1:26" ht="20.100000000000001" customHeight="1" x14ac:dyDescent="0.25">
      <c r="A237" s="172">
        <v>1</v>
      </c>
      <c r="B237" s="172"/>
      <c r="C237" s="225">
        <f t="shared" ref="C237:C248" si="39">O199</f>
        <v>500</v>
      </c>
      <c r="D237" s="225"/>
      <c r="E237" s="225"/>
      <c r="F237" s="225"/>
      <c r="G237" s="225"/>
      <c r="H237" s="99">
        <f>A237</f>
        <v>1</v>
      </c>
    </row>
    <row r="238" spans="1:26" ht="20.100000000000001" customHeight="1" x14ac:dyDescent="0.25">
      <c r="A238" s="172">
        <v>2</v>
      </c>
      <c r="B238" s="172"/>
      <c r="C238" s="217">
        <f t="shared" si="39"/>
        <v>480.93750000000011</v>
      </c>
      <c r="D238" s="217"/>
      <c r="E238" s="217"/>
      <c r="F238" s="217"/>
      <c r="G238" s="217"/>
      <c r="H238" s="99">
        <f t="shared" ref="H238:H248" si="40">A238</f>
        <v>2</v>
      </c>
      <c r="M238" s="175" t="s">
        <v>36</v>
      </c>
      <c r="N238" s="175"/>
      <c r="O238" s="175"/>
      <c r="P238" s="175"/>
      <c r="Q238" s="212">
        <f>AVERAGE(C237:C248)</f>
        <v>515.50378884180793</v>
      </c>
      <c r="R238" s="212"/>
      <c r="S238" s="212"/>
      <c r="Y238" s="99" t="e">
        <f>VLOOKUP(Q244,C237:H248,6,0)</f>
        <v>#N/A</v>
      </c>
    </row>
    <row r="239" spans="1:26" ht="20.100000000000001" customHeight="1" x14ac:dyDescent="0.25">
      <c r="A239" s="172">
        <v>3</v>
      </c>
      <c r="B239" s="172"/>
      <c r="C239" s="217">
        <f t="shared" si="39"/>
        <v>527.25000000000011</v>
      </c>
      <c r="D239" s="217"/>
      <c r="E239" s="217"/>
      <c r="F239" s="217"/>
      <c r="G239" s="217"/>
      <c r="H239" s="99">
        <f t="shared" si="40"/>
        <v>3</v>
      </c>
      <c r="M239" s="175" t="s">
        <v>45</v>
      </c>
      <c r="N239" s="175"/>
      <c r="O239" s="175"/>
      <c r="P239" s="175"/>
      <c r="Q239" s="212">
        <f>Q238*(1+R236)</f>
        <v>670.15492549435032</v>
      </c>
      <c r="R239" s="212"/>
      <c r="S239" s="212"/>
    </row>
    <row r="240" spans="1:26" ht="20.100000000000001" customHeight="1" x14ac:dyDescent="0.25">
      <c r="A240" s="172">
        <v>4</v>
      </c>
      <c r="B240" s="172"/>
      <c r="C240" s="217">
        <f t="shared" si="39"/>
        <v>541.50000000000011</v>
      </c>
      <c r="D240" s="217"/>
      <c r="E240" s="217"/>
      <c r="F240" s="217"/>
      <c r="G240" s="217"/>
      <c r="H240" s="99">
        <f t="shared" si="40"/>
        <v>4</v>
      </c>
      <c r="M240" s="175" t="s">
        <v>44</v>
      </c>
      <c r="N240" s="175"/>
      <c r="O240" s="175"/>
      <c r="P240" s="175"/>
      <c r="Q240" s="212">
        <f>Q238*(1-R236)</f>
        <v>360.85265218926554</v>
      </c>
      <c r="R240" s="212"/>
      <c r="S240" s="212"/>
      <c r="X240" s="99" t="s">
        <v>44</v>
      </c>
      <c r="Y240" s="99" t="s">
        <v>45</v>
      </c>
      <c r="Z240" s="99" t="s">
        <v>36</v>
      </c>
    </row>
    <row r="241" spans="1:26" ht="20.100000000000001" customHeight="1" x14ac:dyDescent="0.25">
      <c r="A241" s="172">
        <v>5</v>
      </c>
      <c r="B241" s="172"/>
      <c r="C241" s="217">
        <f t="shared" si="39"/>
        <v>527.25000000000011</v>
      </c>
      <c r="D241" s="217"/>
      <c r="E241" s="217"/>
      <c r="F241" s="217"/>
      <c r="G241" s="217"/>
      <c r="H241" s="99">
        <f t="shared" si="40"/>
        <v>5</v>
      </c>
      <c r="M241" s="175" t="s">
        <v>47</v>
      </c>
      <c r="N241" s="175"/>
      <c r="O241" s="175"/>
      <c r="P241" s="175"/>
      <c r="Q241" s="212">
        <f>MAX(C237:C248)</f>
        <v>550.67796610169501</v>
      </c>
      <c r="R241" s="212"/>
      <c r="S241" s="212"/>
      <c r="X241" s="100">
        <f t="shared" ref="X241:X243" si="41">$Q$240</f>
        <v>360.85265218926554</v>
      </c>
      <c r="Y241" s="100">
        <f>$Q$239</f>
        <v>670.15492549435032</v>
      </c>
      <c r="Z241" s="100">
        <f>$Q$238</f>
        <v>515.50378884180793</v>
      </c>
    </row>
    <row r="242" spans="1:26" ht="20.100000000000001" customHeight="1" x14ac:dyDescent="0.25">
      <c r="A242" s="172">
        <v>6</v>
      </c>
      <c r="B242" s="172"/>
      <c r="C242" s="217">
        <f t="shared" si="39"/>
        <v>513.00000000000011</v>
      </c>
      <c r="D242" s="217"/>
      <c r="E242" s="217"/>
      <c r="F242" s="217"/>
      <c r="G242" s="217"/>
      <c r="H242" s="99">
        <f t="shared" si="40"/>
        <v>6</v>
      </c>
      <c r="M242" s="175" t="s">
        <v>46</v>
      </c>
      <c r="N242" s="175"/>
      <c r="O242" s="175"/>
      <c r="P242" s="175"/>
      <c r="Q242" s="212">
        <f>MIN(C237:C248)</f>
        <v>474.99999999999989</v>
      </c>
      <c r="R242" s="212"/>
      <c r="S242" s="212"/>
      <c r="X242" s="100">
        <f t="shared" si="41"/>
        <v>360.85265218926554</v>
      </c>
      <c r="Y242" s="100">
        <f>$Q$239</f>
        <v>670.15492549435032</v>
      </c>
      <c r="Z242" s="100">
        <f>$Q$238</f>
        <v>515.50378884180793</v>
      </c>
    </row>
    <row r="243" spans="1:26" ht="20.100000000000001" customHeight="1" x14ac:dyDescent="0.25">
      <c r="A243" s="172">
        <v>7</v>
      </c>
      <c r="B243" s="172"/>
      <c r="C243" s="217">
        <f t="shared" si="39"/>
        <v>474.99999999999989</v>
      </c>
      <c r="D243" s="217"/>
      <c r="E243" s="217"/>
      <c r="F243" s="217"/>
      <c r="G243" s="217"/>
      <c r="H243" s="99">
        <f t="shared" si="40"/>
        <v>7</v>
      </c>
      <c r="M243" s="187"/>
      <c r="N243" s="187"/>
      <c r="O243" s="187"/>
      <c r="P243" s="187"/>
      <c r="Q243" s="224"/>
      <c r="R243" s="224"/>
      <c r="S243" s="224"/>
      <c r="X243" s="100">
        <f t="shared" si="41"/>
        <v>360.85265218926554</v>
      </c>
      <c r="Y243" s="100">
        <f>$Q$239</f>
        <v>670.15492549435032</v>
      </c>
      <c r="Z243" s="100">
        <f>$Q$238</f>
        <v>515.50378884180793</v>
      </c>
    </row>
    <row r="244" spans="1:26" ht="20.100000000000001" customHeight="1" x14ac:dyDescent="0.25">
      <c r="A244" s="172">
        <v>8</v>
      </c>
      <c r="B244" s="172"/>
      <c r="C244" s="217">
        <f t="shared" si="39"/>
        <v>530.10000000000014</v>
      </c>
      <c r="D244" s="217"/>
      <c r="E244" s="217"/>
      <c r="F244" s="217"/>
      <c r="G244" s="217"/>
      <c r="H244" s="99">
        <f t="shared" si="40"/>
        <v>8</v>
      </c>
      <c r="M244" s="175" t="s">
        <v>51</v>
      </c>
      <c r="N244" s="175"/>
      <c r="O244" s="175" t="str">
        <f>IF(Q244="Nada a excluir","",Y238)</f>
        <v/>
      </c>
      <c r="P244" s="175"/>
      <c r="Q244" s="212" t="str" cm="1">
        <f t="array" ref="Q244">_xlfn.IFS(AND(OR(Q241&gt;Q239,Q242&lt;Q240),(Q241-Q238)&gt;(Q238-Q242)),Q241,AND(OR(Q242&lt;Q240,Q241&gt;Q239),(Q238-Q242)&gt;(Q241-Q238)),Q242,AND(Q241&lt;=Q239,Q242&gt;=Q240),"Nada a excluir")</f>
        <v>Nada a excluir</v>
      </c>
      <c r="R244" s="212"/>
      <c r="S244" s="212"/>
      <c r="X244" s="100">
        <f>$Q$240</f>
        <v>360.85265218926554</v>
      </c>
      <c r="Y244" s="100">
        <f>$Q$239</f>
        <v>670.15492549435032</v>
      </c>
      <c r="Z244" s="100">
        <f>$Q$238</f>
        <v>515.50378884180793</v>
      </c>
    </row>
    <row r="245" spans="1:26" ht="20.100000000000001" customHeight="1" x14ac:dyDescent="0.25">
      <c r="A245" s="172">
        <v>9</v>
      </c>
      <c r="B245" s="172"/>
      <c r="C245" s="217">
        <f t="shared" si="39"/>
        <v>526.68000000000006</v>
      </c>
      <c r="D245" s="217"/>
      <c r="E245" s="217"/>
      <c r="F245" s="217"/>
      <c r="G245" s="217"/>
      <c r="H245" s="99">
        <f t="shared" si="40"/>
        <v>9</v>
      </c>
      <c r="M245" s="195" t="s">
        <v>50</v>
      </c>
      <c r="N245" s="195"/>
      <c r="O245" s="195"/>
      <c r="P245" s="195"/>
      <c r="Q245" s="197" t="str">
        <f>IF(Q244="Nada a excluir","Encerrar","Continuar")</f>
        <v>Encerrar</v>
      </c>
      <c r="R245" s="197"/>
      <c r="S245" s="197"/>
      <c r="X245" s="100">
        <f>$Q$240</f>
        <v>360.85265218926554</v>
      </c>
      <c r="Y245" s="100">
        <f>$Q$239</f>
        <v>670.15492549435032</v>
      </c>
      <c r="Z245" s="100">
        <f>$Q$238</f>
        <v>515.50378884180793</v>
      </c>
    </row>
    <row r="246" spans="1:26" ht="20.100000000000001" customHeight="1" x14ac:dyDescent="0.25">
      <c r="A246" s="172">
        <v>10</v>
      </c>
      <c r="B246" s="172"/>
      <c r="C246" s="217">
        <f t="shared" si="39"/>
        <v>538.65000000000009</v>
      </c>
      <c r="D246" s="217"/>
      <c r="E246" s="217"/>
      <c r="F246" s="217"/>
      <c r="G246" s="217"/>
      <c r="H246" s="99">
        <f t="shared" si="40"/>
        <v>10</v>
      </c>
      <c r="X246" s="100">
        <f t="shared" ref="X246:X252" si="42">$Q$240</f>
        <v>360.85265218926554</v>
      </c>
      <c r="Y246" s="100">
        <f t="shared" ref="Y246:Y252" si="43">$Q$239</f>
        <v>670.15492549435032</v>
      </c>
      <c r="Z246" s="100">
        <f t="shared" ref="Z246:Z252" si="44">$Q$238</f>
        <v>515.50378884180793</v>
      </c>
    </row>
    <row r="247" spans="1:26" ht="20.100000000000001" customHeight="1" x14ac:dyDescent="0.25">
      <c r="A247" s="172">
        <v>11</v>
      </c>
      <c r="B247" s="172"/>
      <c r="C247" s="217">
        <f t="shared" si="39"/>
        <v>474.99999999999989</v>
      </c>
      <c r="D247" s="217"/>
      <c r="E247" s="217"/>
      <c r="F247" s="217"/>
      <c r="G247" s="217"/>
      <c r="H247" s="99">
        <f t="shared" si="40"/>
        <v>11</v>
      </c>
      <c r="M247" s="175" t="s">
        <v>48</v>
      </c>
      <c r="N247" s="175"/>
      <c r="O247" s="175"/>
      <c r="P247" s="175"/>
      <c r="Q247" s="193">
        <f>STDEVA(C237:C248)</f>
        <v>26.60358047166886</v>
      </c>
      <c r="R247" s="194"/>
      <c r="S247" s="194"/>
      <c r="X247" s="100">
        <f t="shared" si="42"/>
        <v>360.85265218926554</v>
      </c>
      <c r="Y247" s="100">
        <f t="shared" si="43"/>
        <v>670.15492549435032</v>
      </c>
      <c r="Z247" s="100">
        <f t="shared" si="44"/>
        <v>515.50378884180793</v>
      </c>
    </row>
    <row r="248" spans="1:26" ht="20.100000000000001" customHeight="1" x14ac:dyDescent="0.25">
      <c r="A248" s="172">
        <v>12</v>
      </c>
      <c r="B248" s="172"/>
      <c r="C248" s="217">
        <f t="shared" si="39"/>
        <v>550.67796610169501</v>
      </c>
      <c r="D248" s="217"/>
      <c r="E248" s="217"/>
      <c r="F248" s="217"/>
      <c r="G248" s="217"/>
      <c r="H248" s="99">
        <f t="shared" si="40"/>
        <v>12</v>
      </c>
      <c r="M248" s="195" t="s">
        <v>35</v>
      </c>
      <c r="N248" s="195"/>
      <c r="O248" s="195"/>
      <c r="P248" s="195"/>
      <c r="Q248" s="196">
        <f>Q247/Q238</f>
        <v>5.160695429889977E-2</v>
      </c>
      <c r="R248" s="196"/>
      <c r="S248" s="196"/>
      <c r="X248" s="100">
        <f t="shared" si="42"/>
        <v>360.85265218926554</v>
      </c>
      <c r="Y248" s="100">
        <f t="shared" si="43"/>
        <v>670.15492549435032</v>
      </c>
      <c r="Z248" s="100">
        <f t="shared" si="44"/>
        <v>515.50378884180793</v>
      </c>
    </row>
    <row r="249" spans="1:26" ht="20.100000000000001" customHeight="1" x14ac:dyDescent="0.25">
      <c r="X249" s="100">
        <f t="shared" si="42"/>
        <v>360.85265218926554</v>
      </c>
      <c r="Y249" s="100">
        <f t="shared" si="43"/>
        <v>670.15492549435032</v>
      </c>
      <c r="Z249" s="100">
        <f t="shared" si="44"/>
        <v>515.50378884180793</v>
      </c>
    </row>
    <row r="250" spans="1:26" ht="20.100000000000001" customHeight="1" x14ac:dyDescent="0.25">
      <c r="W250" s="114"/>
      <c r="X250" s="100">
        <f t="shared" si="42"/>
        <v>360.85265218926554</v>
      </c>
      <c r="Y250" s="100">
        <f t="shared" si="43"/>
        <v>670.15492549435032</v>
      </c>
      <c r="Z250" s="100">
        <f t="shared" si="44"/>
        <v>515.50378884180793</v>
      </c>
    </row>
    <row r="251" spans="1:26" ht="20.100000000000001" customHeight="1" x14ac:dyDescent="0.25">
      <c r="W251" s="114"/>
      <c r="X251" s="100">
        <f t="shared" si="42"/>
        <v>360.85265218926554</v>
      </c>
      <c r="Y251" s="100">
        <f t="shared" si="43"/>
        <v>670.15492549435032</v>
      </c>
      <c r="Z251" s="100">
        <f t="shared" si="44"/>
        <v>515.50378884180793</v>
      </c>
    </row>
    <row r="252" spans="1:26" ht="20.100000000000001" customHeight="1" x14ac:dyDescent="0.25">
      <c r="X252" s="100">
        <f t="shared" si="42"/>
        <v>360.85265218926554</v>
      </c>
      <c r="Y252" s="100">
        <f t="shared" si="43"/>
        <v>670.15492549435032</v>
      </c>
      <c r="Z252" s="100">
        <f t="shared" si="44"/>
        <v>515.50378884180793</v>
      </c>
    </row>
    <row r="257" spans="1:31" ht="20.100000000000001" customHeight="1" x14ac:dyDescent="0.25">
      <c r="Q257" s="25"/>
      <c r="R257" s="25"/>
      <c r="S257" s="25"/>
    </row>
    <row r="258" spans="1:31" ht="20.100000000000001" customHeight="1" x14ac:dyDescent="0.25">
      <c r="Q258" s="25"/>
      <c r="R258" s="25"/>
      <c r="S258" s="25"/>
    </row>
    <row r="259" spans="1:31" ht="20.100000000000001" customHeight="1" x14ac:dyDescent="0.25">
      <c r="Q259" s="25"/>
      <c r="R259" s="25"/>
      <c r="S259" s="25"/>
    </row>
    <row r="260" spans="1:31" ht="20.100000000000001" customHeight="1" x14ac:dyDescent="0.25">
      <c r="Q260" s="25"/>
      <c r="R260" s="25"/>
      <c r="S260" s="25"/>
    </row>
    <row r="261" spans="1:31" ht="20.100000000000001" customHeight="1" x14ac:dyDescent="0.25">
      <c r="Q261" s="25"/>
      <c r="R261" s="25"/>
      <c r="S261" s="25"/>
    </row>
    <row r="262" spans="1:31" ht="20.100000000000001" customHeight="1" x14ac:dyDescent="0.25">
      <c r="Q262" s="25"/>
      <c r="R262" s="25"/>
      <c r="S262" s="25"/>
    </row>
    <row r="267" spans="1:31" ht="20.100000000000001" customHeight="1" x14ac:dyDescent="0.25">
      <c r="A267" s="201" t="s">
        <v>52</v>
      </c>
      <c r="B267" s="201"/>
      <c r="C267" s="201"/>
      <c r="D267" s="201"/>
      <c r="E267" s="201"/>
      <c r="F267" s="201"/>
      <c r="G267" s="201"/>
      <c r="H267" s="201"/>
      <c r="I267" s="201"/>
      <c r="J267" s="201"/>
      <c r="K267" s="201"/>
      <c r="L267" s="201"/>
      <c r="M267" s="201"/>
      <c r="N267" s="201"/>
      <c r="O267" s="201"/>
      <c r="P267" s="201"/>
      <c r="Q267" s="201"/>
      <c r="R267" s="201"/>
      <c r="S267" s="201"/>
    </row>
    <row r="269" spans="1:31" ht="20.100000000000001" customHeight="1" x14ac:dyDescent="0.25">
      <c r="A269" s="174" t="s">
        <v>17</v>
      </c>
      <c r="B269" s="174"/>
      <c r="C269" s="174" t="s">
        <v>32</v>
      </c>
      <c r="D269" s="174"/>
      <c r="E269" s="174"/>
      <c r="F269" s="174"/>
      <c r="G269" s="174"/>
      <c r="M269" s="175" t="s">
        <v>248</v>
      </c>
      <c r="N269" s="175"/>
      <c r="O269" s="175"/>
      <c r="P269" s="175"/>
      <c r="Q269" s="175"/>
      <c r="R269" s="236">
        <v>12</v>
      </c>
      <c r="S269" s="236"/>
      <c r="T269" s="221" t="s">
        <v>251</v>
      </c>
      <c r="U269" s="221"/>
      <c r="V269" s="221"/>
    </row>
    <row r="270" spans="1:31" ht="20.100000000000001" customHeight="1" x14ac:dyDescent="0.25">
      <c r="A270" s="172">
        <v>1</v>
      </c>
      <c r="B270" s="172"/>
      <c r="C270" s="225">
        <f t="shared" ref="C270:C281" si="45">O199</f>
        <v>500</v>
      </c>
      <c r="D270" s="225"/>
      <c r="E270" s="225"/>
      <c r="F270" s="225"/>
      <c r="G270" s="225"/>
      <c r="H270" s="99">
        <f>A270</f>
        <v>1</v>
      </c>
      <c r="M270" s="175" t="s">
        <v>53</v>
      </c>
      <c r="N270" s="175"/>
      <c r="O270" s="175"/>
      <c r="P270" s="175"/>
      <c r="Q270" s="175"/>
      <c r="R270" s="218">
        <f>_xlfn.NORM.S.INV(1-((1/R269)/4))</f>
        <v>2.0368341317013874</v>
      </c>
      <c r="S270" s="218"/>
      <c r="Z270" s="102"/>
      <c r="AC270" s="100"/>
      <c r="AD270" s="100"/>
    </row>
    <row r="271" spans="1:31" ht="20.100000000000001" customHeight="1" x14ac:dyDescent="0.25">
      <c r="A271" s="172">
        <v>2</v>
      </c>
      <c r="B271" s="172"/>
      <c r="C271" s="217">
        <f t="shared" si="45"/>
        <v>480.93750000000011</v>
      </c>
      <c r="D271" s="217"/>
      <c r="E271" s="217"/>
      <c r="F271" s="217"/>
      <c r="G271" s="217"/>
      <c r="H271" s="99">
        <f t="shared" ref="H271:H281" si="46">A271</f>
        <v>2</v>
      </c>
      <c r="AC271" s="100"/>
      <c r="AD271" s="100"/>
    </row>
    <row r="272" spans="1:31" ht="20.100000000000001" customHeight="1" x14ac:dyDescent="0.25">
      <c r="A272" s="172">
        <v>3</v>
      </c>
      <c r="B272" s="172"/>
      <c r="C272" s="217">
        <f t="shared" si="45"/>
        <v>527.25000000000011</v>
      </c>
      <c r="D272" s="217"/>
      <c r="E272" s="217"/>
      <c r="F272" s="217"/>
      <c r="G272" s="217"/>
      <c r="H272" s="99">
        <f t="shared" si="46"/>
        <v>3</v>
      </c>
      <c r="M272" s="175" t="s">
        <v>36</v>
      </c>
      <c r="N272" s="175"/>
      <c r="O272" s="175"/>
      <c r="P272" s="175"/>
      <c r="Q272" s="212">
        <f>AVERAGE(C270:C281)</f>
        <v>515.50378884180793</v>
      </c>
      <c r="R272" s="212"/>
      <c r="S272" s="212"/>
      <c r="AC272" s="100"/>
      <c r="AD272" s="100"/>
      <c r="AE272" s="100"/>
    </row>
    <row r="273" spans="1:31" ht="20.100000000000001" customHeight="1" x14ac:dyDescent="0.25">
      <c r="A273" s="172">
        <v>4</v>
      </c>
      <c r="B273" s="172"/>
      <c r="C273" s="217">
        <f t="shared" si="45"/>
        <v>541.50000000000011</v>
      </c>
      <c r="D273" s="217"/>
      <c r="E273" s="217"/>
      <c r="F273" s="217"/>
      <c r="G273" s="217"/>
      <c r="H273" s="99">
        <f t="shared" si="46"/>
        <v>4</v>
      </c>
      <c r="M273" s="175" t="s">
        <v>37</v>
      </c>
      <c r="N273" s="175"/>
      <c r="O273" s="175"/>
      <c r="P273" s="175"/>
      <c r="Q273" s="212">
        <f>STDEVA(C270:G281)</f>
        <v>26.60358047166886</v>
      </c>
      <c r="R273" s="212"/>
      <c r="S273" s="212"/>
      <c r="AC273" s="100"/>
      <c r="AD273" s="100"/>
      <c r="AE273" s="100"/>
    </row>
    <row r="274" spans="1:31" ht="20.100000000000001" customHeight="1" x14ac:dyDescent="0.25">
      <c r="A274" s="172">
        <v>5</v>
      </c>
      <c r="B274" s="172"/>
      <c r="C274" s="217">
        <f t="shared" si="45"/>
        <v>527.25000000000011</v>
      </c>
      <c r="D274" s="217"/>
      <c r="E274" s="217"/>
      <c r="F274" s="217"/>
      <c r="G274" s="217"/>
      <c r="H274" s="99">
        <f t="shared" si="46"/>
        <v>5</v>
      </c>
      <c r="AC274" s="100"/>
      <c r="AD274" s="100"/>
      <c r="AE274" s="100"/>
    </row>
    <row r="275" spans="1:31" ht="20.100000000000001" customHeight="1" x14ac:dyDescent="0.25">
      <c r="A275" s="172">
        <v>6</v>
      </c>
      <c r="B275" s="172"/>
      <c r="C275" s="217">
        <f t="shared" si="45"/>
        <v>513.00000000000011</v>
      </c>
      <c r="D275" s="217"/>
      <c r="E275" s="217"/>
      <c r="F275" s="217"/>
      <c r="G275" s="217"/>
      <c r="H275" s="99">
        <f t="shared" si="46"/>
        <v>6</v>
      </c>
      <c r="M275" s="175" t="s">
        <v>45</v>
      </c>
      <c r="N275" s="175"/>
      <c r="O275" s="175"/>
      <c r="P275" s="175"/>
      <c r="Q275" s="212">
        <f>Q272+(R270*Q273)</f>
        <v>569.6908695719676</v>
      </c>
      <c r="R275" s="212"/>
      <c r="S275" s="212"/>
      <c r="AC275" s="100"/>
      <c r="AD275" s="100"/>
      <c r="AE275" s="100"/>
    </row>
    <row r="276" spans="1:31" ht="20.100000000000001" customHeight="1" x14ac:dyDescent="0.25">
      <c r="A276" s="172">
        <v>7</v>
      </c>
      <c r="B276" s="172"/>
      <c r="C276" s="217">
        <f t="shared" si="45"/>
        <v>474.99999999999989</v>
      </c>
      <c r="D276" s="217"/>
      <c r="E276" s="217"/>
      <c r="F276" s="217"/>
      <c r="G276" s="217"/>
      <c r="H276" s="99">
        <f t="shared" si="46"/>
        <v>7</v>
      </c>
      <c r="M276" s="175" t="s">
        <v>44</v>
      </c>
      <c r="N276" s="175"/>
      <c r="O276" s="175"/>
      <c r="P276" s="175"/>
      <c r="Q276" s="212">
        <f>Q272-(R270*Q273)</f>
        <v>461.31670811164832</v>
      </c>
      <c r="R276" s="212"/>
      <c r="S276" s="212"/>
      <c r="AC276" s="100"/>
      <c r="AD276" s="100"/>
      <c r="AE276" s="100"/>
    </row>
    <row r="277" spans="1:31" ht="20.100000000000001" customHeight="1" x14ac:dyDescent="0.25">
      <c r="A277" s="172">
        <v>8</v>
      </c>
      <c r="B277" s="172"/>
      <c r="C277" s="217">
        <f t="shared" si="45"/>
        <v>530.10000000000014</v>
      </c>
      <c r="D277" s="217"/>
      <c r="E277" s="217"/>
      <c r="F277" s="217"/>
      <c r="G277" s="217"/>
      <c r="H277" s="99">
        <f t="shared" si="46"/>
        <v>8</v>
      </c>
      <c r="M277" s="175" t="s">
        <v>47</v>
      </c>
      <c r="N277" s="175"/>
      <c r="O277" s="175"/>
      <c r="P277" s="175"/>
      <c r="Q277" s="212">
        <f>MAX(C270:C281)</f>
        <v>550.67796610169501</v>
      </c>
      <c r="R277" s="212"/>
      <c r="S277" s="212"/>
      <c r="AC277" s="100"/>
      <c r="AD277" s="100"/>
      <c r="AE277" s="100"/>
    </row>
    <row r="278" spans="1:31" ht="20.100000000000001" customHeight="1" x14ac:dyDescent="0.25">
      <c r="A278" s="172">
        <v>9</v>
      </c>
      <c r="B278" s="172"/>
      <c r="C278" s="217">
        <f t="shared" si="45"/>
        <v>526.68000000000006</v>
      </c>
      <c r="D278" s="217"/>
      <c r="E278" s="217"/>
      <c r="F278" s="217"/>
      <c r="G278" s="217"/>
      <c r="H278" s="99">
        <f t="shared" si="46"/>
        <v>9</v>
      </c>
      <c r="M278" s="175" t="s">
        <v>46</v>
      </c>
      <c r="N278" s="175"/>
      <c r="O278" s="175"/>
      <c r="P278" s="175"/>
      <c r="Q278" s="212">
        <f>MIN(C270:C281)</f>
        <v>474.99999999999989</v>
      </c>
      <c r="R278" s="212"/>
      <c r="S278" s="212"/>
      <c r="AC278" s="100"/>
      <c r="AD278" s="100"/>
      <c r="AE278" s="100"/>
    </row>
    <row r="279" spans="1:31" ht="20.100000000000001" customHeight="1" x14ac:dyDescent="0.25">
      <c r="A279" s="172">
        <v>10</v>
      </c>
      <c r="B279" s="172"/>
      <c r="C279" s="217">
        <f t="shared" si="45"/>
        <v>538.65000000000009</v>
      </c>
      <c r="D279" s="217"/>
      <c r="E279" s="217"/>
      <c r="F279" s="217"/>
      <c r="G279" s="217"/>
      <c r="H279" s="99">
        <f t="shared" si="46"/>
        <v>10</v>
      </c>
      <c r="AC279" s="100"/>
      <c r="AD279" s="100"/>
      <c r="AE279" s="100"/>
    </row>
    <row r="280" spans="1:31" ht="20.100000000000001" customHeight="1" x14ac:dyDescent="0.25">
      <c r="A280" s="172">
        <v>11</v>
      </c>
      <c r="B280" s="172"/>
      <c r="C280" s="217">
        <f t="shared" si="45"/>
        <v>474.99999999999989</v>
      </c>
      <c r="D280" s="217"/>
      <c r="E280" s="217"/>
      <c r="F280" s="217"/>
      <c r="G280" s="217"/>
      <c r="H280" s="99">
        <f t="shared" si="46"/>
        <v>11</v>
      </c>
      <c r="M280" s="175" t="s">
        <v>51</v>
      </c>
      <c r="N280" s="175"/>
      <c r="O280" s="175" t="str">
        <f>IF(Q280="Nada a excluir","",Y284)</f>
        <v/>
      </c>
      <c r="P280" s="175"/>
      <c r="Q280" s="212" t="str" cm="1">
        <f t="array" ref="Q280">_xlfn.IFS(AND(OR(Q277&gt;Q275,Q278&lt;Q276),(Q277-Q272)&gt;(Q272-Q278)),Q277,AND(OR(Q278&lt;Q276,Q277&gt;Q275),(Q272-Q278)&gt;(Q277-Q272)),Q278,AND(Q277&lt;=Q275,Q278&gt;=Q276),"Nada a excluir")</f>
        <v>Nada a excluir</v>
      </c>
      <c r="R280" s="212"/>
      <c r="S280" s="212"/>
      <c r="AC280" s="100"/>
      <c r="AD280" s="100"/>
      <c r="AE280" s="100"/>
    </row>
    <row r="281" spans="1:31" ht="20.100000000000001" customHeight="1" x14ac:dyDescent="0.25">
      <c r="A281" s="172">
        <v>12</v>
      </c>
      <c r="B281" s="172"/>
      <c r="C281" s="217">
        <f t="shared" si="45"/>
        <v>550.67796610169501</v>
      </c>
      <c r="D281" s="217"/>
      <c r="E281" s="217"/>
      <c r="F281" s="217"/>
      <c r="G281" s="217"/>
      <c r="H281" s="99">
        <f t="shared" si="46"/>
        <v>12</v>
      </c>
      <c r="M281" s="195" t="s">
        <v>50</v>
      </c>
      <c r="N281" s="195"/>
      <c r="O281" s="195"/>
      <c r="P281" s="195"/>
      <c r="Q281" s="197" t="str">
        <f>IF(Q280="Nada a excluir","Encerrar","Continuar")</f>
        <v>Encerrar</v>
      </c>
      <c r="R281" s="197"/>
      <c r="S281" s="197"/>
      <c r="AC281" s="100"/>
      <c r="AD281" s="100"/>
      <c r="AE281" s="100"/>
    </row>
    <row r="282" spans="1:31" ht="20.100000000000001" customHeight="1" x14ac:dyDescent="0.25">
      <c r="AC282" s="100"/>
      <c r="AD282" s="100"/>
      <c r="AE282" s="100"/>
    </row>
    <row r="283" spans="1:31" ht="20.100000000000001" customHeight="1" x14ac:dyDescent="0.25">
      <c r="M283" s="175" t="s">
        <v>48</v>
      </c>
      <c r="N283" s="175"/>
      <c r="O283" s="175"/>
      <c r="P283" s="175"/>
      <c r="Q283" s="193">
        <f>Q273</f>
        <v>26.60358047166886</v>
      </c>
      <c r="R283" s="194"/>
      <c r="S283" s="194"/>
      <c r="AC283" s="100"/>
      <c r="AD283" s="100"/>
      <c r="AE283" s="100"/>
    </row>
    <row r="284" spans="1:31" ht="20.100000000000001" customHeight="1" x14ac:dyDescent="0.25">
      <c r="M284" s="195" t="s">
        <v>35</v>
      </c>
      <c r="N284" s="195"/>
      <c r="O284" s="195"/>
      <c r="P284" s="195"/>
      <c r="Q284" s="196">
        <f>Q273/Q272</f>
        <v>5.160695429889977E-2</v>
      </c>
      <c r="R284" s="196"/>
      <c r="S284" s="196"/>
      <c r="Y284" s="99" t="e">
        <f>VLOOKUP(Q280,C270:H281,6,0)</f>
        <v>#N/A</v>
      </c>
      <c r="AC284" s="100"/>
      <c r="AD284" s="100"/>
      <c r="AE284" s="100"/>
    </row>
    <row r="285" spans="1:31" ht="20.100000000000001" customHeight="1" x14ac:dyDescent="0.25">
      <c r="X285" s="99" t="s">
        <v>44</v>
      </c>
      <c r="Y285" s="99" t="s">
        <v>45</v>
      </c>
      <c r="Z285" s="99" t="s">
        <v>36</v>
      </c>
      <c r="AC285" s="100"/>
      <c r="AD285" s="100"/>
      <c r="AE285" s="100"/>
    </row>
    <row r="286" spans="1:31" ht="20.100000000000001" customHeight="1" x14ac:dyDescent="0.25">
      <c r="X286" s="100">
        <f>$Q$276</f>
        <v>461.31670811164832</v>
      </c>
      <c r="Y286" s="100">
        <f>$Q$275</f>
        <v>569.6908695719676</v>
      </c>
      <c r="Z286" s="100">
        <f>$Q$238</f>
        <v>515.50378884180793</v>
      </c>
      <c r="AA286" s="100"/>
    </row>
    <row r="287" spans="1:31" ht="20.100000000000001" customHeight="1" x14ac:dyDescent="0.25">
      <c r="X287" s="100">
        <f>$Q$276</f>
        <v>461.31670811164832</v>
      </c>
      <c r="Y287" s="100">
        <f>$Q$275</f>
        <v>569.6908695719676</v>
      </c>
      <c r="Z287" s="100">
        <f>$Q$238</f>
        <v>515.50378884180793</v>
      </c>
      <c r="AA287" s="100"/>
    </row>
    <row r="288" spans="1:31" ht="20.100000000000001" customHeight="1" x14ac:dyDescent="0.25">
      <c r="X288" s="100">
        <f>$Q$276</f>
        <v>461.31670811164832</v>
      </c>
      <c r="Y288" s="100">
        <f>$Q$275</f>
        <v>569.6908695719676</v>
      </c>
      <c r="Z288" s="100">
        <f>$Q$238</f>
        <v>515.50378884180793</v>
      </c>
    </row>
    <row r="289" spans="1:26" ht="20.100000000000001" customHeight="1" x14ac:dyDescent="0.25">
      <c r="X289" s="100">
        <f>$Q$276</f>
        <v>461.31670811164832</v>
      </c>
      <c r="Y289" s="100">
        <f>$Q$275</f>
        <v>569.6908695719676</v>
      </c>
      <c r="Z289" s="100">
        <f>$Q$238</f>
        <v>515.50378884180793</v>
      </c>
    </row>
    <row r="290" spans="1:26" ht="20.100000000000001" customHeight="1" x14ac:dyDescent="0.25">
      <c r="X290" s="100">
        <f>$Q$276</f>
        <v>461.31670811164832</v>
      </c>
      <c r="Y290" s="100">
        <f>$Q$275</f>
        <v>569.6908695719676</v>
      </c>
      <c r="Z290" s="100">
        <f>$Q$238</f>
        <v>515.50378884180793</v>
      </c>
    </row>
    <row r="291" spans="1:26" ht="20.100000000000001" customHeight="1" x14ac:dyDescent="0.25">
      <c r="X291" s="100">
        <f t="shared" ref="X291:X297" si="47">$Q$276</f>
        <v>461.31670811164832</v>
      </c>
      <c r="Y291" s="100">
        <f t="shared" ref="Y291:Y297" si="48">$Q$275</f>
        <v>569.6908695719676</v>
      </c>
      <c r="Z291" s="100">
        <f t="shared" ref="Z291:Z297" si="49">$Q$238</f>
        <v>515.50378884180793</v>
      </c>
    </row>
    <row r="292" spans="1:26" ht="20.100000000000001" customHeight="1" x14ac:dyDescent="0.25">
      <c r="X292" s="100">
        <f t="shared" si="47"/>
        <v>461.31670811164832</v>
      </c>
      <c r="Y292" s="100">
        <f t="shared" si="48"/>
        <v>569.6908695719676</v>
      </c>
      <c r="Z292" s="100">
        <f t="shared" si="49"/>
        <v>515.50378884180793</v>
      </c>
    </row>
    <row r="293" spans="1:26" ht="20.100000000000001" customHeight="1" x14ac:dyDescent="0.25">
      <c r="X293" s="100">
        <f t="shared" si="47"/>
        <v>461.31670811164832</v>
      </c>
      <c r="Y293" s="100">
        <f t="shared" si="48"/>
        <v>569.6908695719676</v>
      </c>
      <c r="Z293" s="100">
        <f t="shared" si="49"/>
        <v>515.50378884180793</v>
      </c>
    </row>
    <row r="294" spans="1:26" ht="20.100000000000001" customHeight="1" x14ac:dyDescent="0.25">
      <c r="X294" s="100">
        <f t="shared" si="47"/>
        <v>461.31670811164832</v>
      </c>
      <c r="Y294" s="100">
        <f t="shared" si="48"/>
        <v>569.6908695719676</v>
      </c>
      <c r="Z294" s="100">
        <f t="shared" si="49"/>
        <v>515.50378884180793</v>
      </c>
    </row>
    <row r="295" spans="1:26" ht="20.100000000000001" customHeight="1" x14ac:dyDescent="0.25">
      <c r="X295" s="100">
        <f t="shared" si="47"/>
        <v>461.31670811164832</v>
      </c>
      <c r="Y295" s="100">
        <f t="shared" si="48"/>
        <v>569.6908695719676</v>
      </c>
      <c r="Z295" s="100">
        <f t="shared" si="49"/>
        <v>515.50378884180793</v>
      </c>
    </row>
    <row r="296" spans="1:26" ht="20.100000000000001" customHeight="1" x14ac:dyDescent="0.25">
      <c r="X296" s="100">
        <f t="shared" si="47"/>
        <v>461.31670811164832</v>
      </c>
      <c r="Y296" s="100">
        <f t="shared" si="48"/>
        <v>569.6908695719676</v>
      </c>
      <c r="Z296" s="100">
        <f t="shared" si="49"/>
        <v>515.50378884180793</v>
      </c>
    </row>
    <row r="297" spans="1:26" ht="20.100000000000001" customHeight="1" x14ac:dyDescent="0.25">
      <c r="X297" s="100">
        <f t="shared" si="47"/>
        <v>461.31670811164832</v>
      </c>
      <c r="Y297" s="100">
        <f t="shared" si="48"/>
        <v>569.6908695719676</v>
      </c>
      <c r="Z297" s="100">
        <f t="shared" si="49"/>
        <v>515.50378884180793</v>
      </c>
    </row>
    <row r="303" spans="1:26" ht="20.100000000000001" customHeight="1" x14ac:dyDescent="0.25">
      <c r="A303" s="201" t="s">
        <v>54</v>
      </c>
      <c r="B303" s="201"/>
      <c r="C303" s="201"/>
      <c r="D303" s="201"/>
      <c r="E303" s="201"/>
      <c r="F303" s="201"/>
      <c r="G303" s="201"/>
      <c r="H303" s="201"/>
      <c r="I303" s="201"/>
      <c r="J303" s="201"/>
      <c r="K303" s="201"/>
      <c r="L303" s="201"/>
      <c r="M303" s="201"/>
      <c r="N303" s="201"/>
      <c r="O303" s="201"/>
      <c r="P303" s="201"/>
      <c r="Q303" s="201"/>
      <c r="R303" s="201"/>
      <c r="S303" s="201"/>
    </row>
    <row r="305" spans="1:25" ht="20.100000000000001" customHeight="1" x14ac:dyDescent="0.25">
      <c r="A305" s="174" t="s">
        <v>17</v>
      </c>
      <c r="B305" s="174"/>
      <c r="C305" s="174" t="s">
        <v>32</v>
      </c>
      <c r="D305" s="174"/>
      <c r="E305" s="174"/>
      <c r="F305" s="174"/>
      <c r="G305" s="174"/>
      <c r="M305" s="175" t="s">
        <v>248</v>
      </c>
      <c r="N305" s="175"/>
      <c r="O305" s="175"/>
      <c r="P305" s="175"/>
      <c r="Q305" s="175"/>
      <c r="R305" s="237">
        <v>12</v>
      </c>
      <c r="S305" s="237"/>
      <c r="T305" s="221" t="s">
        <v>251</v>
      </c>
      <c r="U305" s="221"/>
      <c r="V305" s="221"/>
    </row>
    <row r="306" spans="1:25" ht="20.100000000000001" customHeight="1" x14ac:dyDescent="0.25">
      <c r="A306" s="172">
        <v>1</v>
      </c>
      <c r="B306" s="172"/>
      <c r="C306" s="225">
        <f t="shared" ref="C306:C317" si="50">O199</f>
        <v>500</v>
      </c>
      <c r="D306" s="225"/>
      <c r="E306" s="225"/>
      <c r="F306" s="225"/>
      <c r="G306" s="225"/>
      <c r="H306" s="99">
        <f>A306</f>
        <v>1</v>
      </c>
      <c r="M306" s="175" t="s">
        <v>55</v>
      </c>
      <c r="N306" s="175"/>
      <c r="O306" s="175"/>
      <c r="P306" s="175"/>
      <c r="Q306" s="175"/>
      <c r="R306" s="238" cm="1">
        <f t="array" ref="R306">_xlfn.IFS(R305&lt;=5,0.1,AND(R305&gt;=6,R305&lt;=10),0.05,AND(R305&gt;=11,R305&lt;=50),0.01,R305&gt;50,0.001)</f>
        <v>0.01</v>
      </c>
      <c r="S306" s="238"/>
    </row>
    <row r="307" spans="1:25" ht="20.100000000000001" customHeight="1" x14ac:dyDescent="0.25">
      <c r="A307" s="172">
        <v>2</v>
      </c>
      <c r="B307" s="172"/>
      <c r="C307" s="217">
        <f t="shared" si="50"/>
        <v>480.93750000000011</v>
      </c>
      <c r="D307" s="217"/>
      <c r="E307" s="217"/>
      <c r="F307" s="217"/>
      <c r="G307" s="217"/>
      <c r="H307" s="99">
        <f t="shared" ref="H307:H317" si="51">A307</f>
        <v>2</v>
      </c>
      <c r="M307" s="175" t="s">
        <v>56</v>
      </c>
      <c r="N307" s="175"/>
      <c r="O307" s="175"/>
      <c r="P307" s="175"/>
      <c r="Q307" s="175"/>
      <c r="R307" s="239">
        <f>R305-2</f>
        <v>10</v>
      </c>
      <c r="S307" s="239"/>
    </row>
    <row r="308" spans="1:25" ht="20.100000000000001" customHeight="1" x14ac:dyDescent="0.25">
      <c r="A308" s="172">
        <v>3</v>
      </c>
      <c r="B308" s="172"/>
      <c r="C308" s="217">
        <f t="shared" si="50"/>
        <v>527.25000000000011</v>
      </c>
      <c r="D308" s="217"/>
      <c r="E308" s="217"/>
      <c r="F308" s="217"/>
      <c r="G308" s="217"/>
      <c r="H308" s="99">
        <f t="shared" si="51"/>
        <v>3</v>
      </c>
      <c r="M308" s="175" t="s">
        <v>53</v>
      </c>
      <c r="N308" s="175"/>
      <c r="O308" s="175"/>
      <c r="P308" s="175"/>
      <c r="Q308" s="175"/>
      <c r="R308" s="218">
        <f>Y319</f>
        <v>2.3477974015249643</v>
      </c>
      <c r="S308" s="218"/>
    </row>
    <row r="309" spans="1:25" ht="20.100000000000001" customHeight="1" x14ac:dyDescent="0.25">
      <c r="A309" s="172">
        <v>4</v>
      </c>
      <c r="B309" s="172"/>
      <c r="C309" s="217">
        <f t="shared" si="50"/>
        <v>541.50000000000011</v>
      </c>
      <c r="D309" s="217"/>
      <c r="E309" s="217"/>
      <c r="F309" s="217"/>
      <c r="G309" s="217"/>
      <c r="H309" s="99">
        <f t="shared" si="51"/>
        <v>4</v>
      </c>
    </row>
    <row r="310" spans="1:25" ht="20.100000000000001" customHeight="1" x14ac:dyDescent="0.25">
      <c r="A310" s="172">
        <v>5</v>
      </c>
      <c r="B310" s="172"/>
      <c r="C310" s="217">
        <f t="shared" si="50"/>
        <v>527.25000000000011</v>
      </c>
      <c r="D310" s="217"/>
      <c r="E310" s="217"/>
      <c r="F310" s="217"/>
      <c r="G310" s="217"/>
      <c r="H310" s="99">
        <f t="shared" si="51"/>
        <v>5</v>
      </c>
      <c r="M310" s="175" t="s">
        <v>36</v>
      </c>
      <c r="N310" s="175"/>
      <c r="O310" s="175"/>
      <c r="P310" s="175"/>
      <c r="Q310" s="212">
        <f>AVERAGE(C306:C317)</f>
        <v>515.50378884180793</v>
      </c>
      <c r="R310" s="212"/>
      <c r="S310" s="212"/>
    </row>
    <row r="311" spans="1:25" ht="20.100000000000001" customHeight="1" x14ac:dyDescent="0.25">
      <c r="A311" s="172">
        <v>6</v>
      </c>
      <c r="B311" s="172"/>
      <c r="C311" s="217">
        <f t="shared" si="50"/>
        <v>513.00000000000011</v>
      </c>
      <c r="D311" s="217"/>
      <c r="E311" s="217"/>
      <c r="F311" s="217"/>
      <c r="G311" s="217"/>
      <c r="H311" s="99">
        <f t="shared" si="51"/>
        <v>6</v>
      </c>
      <c r="M311" s="175" t="s">
        <v>37</v>
      </c>
      <c r="N311" s="175"/>
      <c r="O311" s="175"/>
      <c r="P311" s="175"/>
      <c r="Q311" s="212">
        <f>STDEVA(C306:G317)</f>
        <v>26.60358047166886</v>
      </c>
      <c r="R311" s="212"/>
      <c r="S311" s="212"/>
    </row>
    <row r="312" spans="1:25" ht="20.100000000000001" customHeight="1" x14ac:dyDescent="0.25">
      <c r="A312" s="172">
        <v>7</v>
      </c>
      <c r="B312" s="172"/>
      <c r="C312" s="217">
        <f t="shared" si="50"/>
        <v>474.99999999999989</v>
      </c>
      <c r="D312" s="217"/>
      <c r="E312" s="217"/>
      <c r="F312" s="217"/>
      <c r="G312" s="217"/>
      <c r="H312" s="99">
        <f t="shared" si="51"/>
        <v>7</v>
      </c>
    </row>
    <row r="313" spans="1:25" ht="20.100000000000001" customHeight="1" x14ac:dyDescent="0.25">
      <c r="A313" s="172">
        <v>8</v>
      </c>
      <c r="B313" s="172"/>
      <c r="C313" s="217">
        <f t="shared" si="50"/>
        <v>530.10000000000014</v>
      </c>
      <c r="D313" s="217"/>
      <c r="E313" s="217"/>
      <c r="F313" s="217"/>
      <c r="G313" s="217"/>
      <c r="H313" s="99">
        <f t="shared" si="51"/>
        <v>8</v>
      </c>
      <c r="M313" s="175" t="s">
        <v>45</v>
      </c>
      <c r="N313" s="175"/>
      <c r="O313" s="175"/>
      <c r="P313" s="175"/>
      <c r="Q313" s="212">
        <f>Q310+(R308*Q311)</f>
        <v>577.96360594445241</v>
      </c>
      <c r="R313" s="212"/>
      <c r="S313" s="212"/>
    </row>
    <row r="314" spans="1:25" ht="20.100000000000001" customHeight="1" x14ac:dyDescent="0.25">
      <c r="A314" s="172">
        <v>9</v>
      </c>
      <c r="B314" s="172"/>
      <c r="C314" s="217">
        <f t="shared" si="50"/>
        <v>526.68000000000006</v>
      </c>
      <c r="D314" s="217"/>
      <c r="E314" s="217"/>
      <c r="F314" s="217"/>
      <c r="G314" s="217"/>
      <c r="H314" s="99">
        <f t="shared" si="51"/>
        <v>9</v>
      </c>
      <c r="M314" s="175" t="s">
        <v>44</v>
      </c>
      <c r="N314" s="175"/>
      <c r="O314" s="175"/>
      <c r="P314" s="175"/>
      <c r="Q314" s="212">
        <f>Q310-(R308*Q311)</f>
        <v>453.04397173916351</v>
      </c>
      <c r="R314" s="212"/>
      <c r="S314" s="212"/>
    </row>
    <row r="315" spans="1:25" ht="20.100000000000001" customHeight="1" x14ac:dyDescent="0.25">
      <c r="A315" s="172">
        <v>10</v>
      </c>
      <c r="B315" s="172"/>
      <c r="C315" s="217">
        <f t="shared" si="50"/>
        <v>538.65000000000009</v>
      </c>
      <c r="D315" s="217"/>
      <c r="E315" s="217"/>
      <c r="F315" s="217"/>
      <c r="G315" s="217"/>
      <c r="H315" s="99">
        <f t="shared" si="51"/>
        <v>10</v>
      </c>
      <c r="M315" s="175" t="s">
        <v>47</v>
      </c>
      <c r="N315" s="175"/>
      <c r="O315" s="175"/>
      <c r="P315" s="175"/>
      <c r="Q315" s="212">
        <f>MAX(C306:C317)</f>
        <v>550.67796610169501</v>
      </c>
      <c r="R315" s="212"/>
      <c r="S315" s="212"/>
    </row>
    <row r="316" spans="1:25" ht="20.100000000000001" customHeight="1" x14ac:dyDescent="0.25">
      <c r="A316" s="172">
        <v>11</v>
      </c>
      <c r="B316" s="172"/>
      <c r="C316" s="217">
        <f t="shared" si="50"/>
        <v>474.99999999999989</v>
      </c>
      <c r="D316" s="217"/>
      <c r="E316" s="217"/>
      <c r="F316" s="217"/>
      <c r="G316" s="217"/>
      <c r="H316" s="99">
        <f t="shared" si="51"/>
        <v>11</v>
      </c>
      <c r="M316" s="175" t="s">
        <v>46</v>
      </c>
      <c r="N316" s="175"/>
      <c r="O316" s="175"/>
      <c r="P316" s="175"/>
      <c r="Q316" s="212">
        <f>MIN(C306:C317)</f>
        <v>474.99999999999989</v>
      </c>
      <c r="R316" s="212"/>
      <c r="S316" s="212"/>
    </row>
    <row r="317" spans="1:25" ht="20.100000000000001" customHeight="1" x14ac:dyDescent="0.25">
      <c r="A317" s="172">
        <v>12</v>
      </c>
      <c r="B317" s="172"/>
      <c r="C317" s="217">
        <f t="shared" si="50"/>
        <v>550.67796610169501</v>
      </c>
      <c r="D317" s="217"/>
      <c r="E317" s="217"/>
      <c r="F317" s="217"/>
      <c r="G317" s="217"/>
      <c r="H317" s="99">
        <f t="shared" si="51"/>
        <v>12</v>
      </c>
    </row>
    <row r="318" spans="1:25" ht="20.100000000000001" customHeight="1" x14ac:dyDescent="0.25">
      <c r="M318" s="175" t="s">
        <v>51</v>
      </c>
      <c r="N318" s="175"/>
      <c r="O318" s="175" t="str">
        <f>IF(Q318="Nada a excluir","",Y321)</f>
        <v/>
      </c>
      <c r="P318" s="175"/>
      <c r="Q318" s="212" t="str" cm="1">
        <f t="array" ref="Q318">_xlfn.IFS(AND(OR(Q315&gt;Q313,Q316&lt;Q314),(Q315-Q310)&gt;(Q310-Q316)),Q315,AND(OR(Q316&lt;Q314,Q315&gt;Q313),(Q310-Q316)&gt;(Q315-Q310)),Q316,AND(Q315&lt;=Q313,Q316&gt;=Q314),"Nada a excluir")</f>
        <v>Nada a excluir</v>
      </c>
      <c r="R318" s="212"/>
      <c r="S318" s="212"/>
      <c r="Y318" s="99">
        <f>_xlfn.T.INV.2T(R306,R307)</f>
        <v>3.1692726726169518</v>
      </c>
    </row>
    <row r="319" spans="1:25" ht="20.100000000000001" customHeight="1" x14ac:dyDescent="0.25">
      <c r="M319" s="195" t="s">
        <v>50</v>
      </c>
      <c r="N319" s="195"/>
      <c r="O319" s="195"/>
      <c r="P319" s="195"/>
      <c r="Q319" s="197" t="str">
        <f>IF(Q318="Nada a excluir","Encerrar","Continuar")</f>
        <v>Encerrar</v>
      </c>
      <c r="R319" s="197"/>
      <c r="S319" s="197"/>
      <c r="Y319" s="99">
        <f>((((Y318^2)*(R305))-Y318^2)/(R305-2+Y318^2))^(1/2)</f>
        <v>2.3477974015249643</v>
      </c>
    </row>
    <row r="321" spans="13:26" ht="20.100000000000001" customHeight="1" x14ac:dyDescent="0.25">
      <c r="M321" s="175" t="s">
        <v>48</v>
      </c>
      <c r="N321" s="175"/>
      <c r="O321" s="175"/>
      <c r="P321" s="175"/>
      <c r="Q321" s="193">
        <f>Q311</f>
        <v>26.60358047166886</v>
      </c>
      <c r="R321" s="194"/>
      <c r="S321" s="194"/>
      <c r="Y321" s="99" t="e">
        <f>VLOOKUP(Q318,C306:H317,6,0)</f>
        <v>#N/A</v>
      </c>
    </row>
    <row r="322" spans="13:26" ht="20.100000000000001" customHeight="1" x14ac:dyDescent="0.25">
      <c r="M322" s="195" t="s">
        <v>35</v>
      </c>
      <c r="N322" s="195"/>
      <c r="O322" s="195"/>
      <c r="P322" s="195"/>
      <c r="Q322" s="196">
        <f>Q311/Q310</f>
        <v>5.160695429889977E-2</v>
      </c>
      <c r="R322" s="196"/>
      <c r="S322" s="196"/>
    </row>
    <row r="323" spans="13:26" ht="20.100000000000001" customHeight="1" x14ac:dyDescent="0.25">
      <c r="X323" s="99" t="s">
        <v>44</v>
      </c>
      <c r="Y323" s="99" t="s">
        <v>45</v>
      </c>
      <c r="Z323" s="99" t="s">
        <v>36</v>
      </c>
    </row>
    <row r="324" spans="13:26" ht="20.100000000000001" customHeight="1" x14ac:dyDescent="0.25">
      <c r="X324" s="100">
        <f>$Q$314</f>
        <v>453.04397173916351</v>
      </c>
      <c r="Y324" s="100">
        <f>$Q$313</f>
        <v>577.96360594445241</v>
      </c>
      <c r="Z324" s="100">
        <f>$Q$310</f>
        <v>515.50378884180793</v>
      </c>
    </row>
    <row r="325" spans="13:26" ht="20.100000000000001" customHeight="1" x14ac:dyDescent="0.25">
      <c r="X325" s="100">
        <f>$Q$314</f>
        <v>453.04397173916351</v>
      </c>
      <c r="Y325" s="100">
        <f>$Q$313</f>
        <v>577.96360594445241</v>
      </c>
      <c r="Z325" s="100">
        <f>$Q$310</f>
        <v>515.50378884180793</v>
      </c>
    </row>
    <row r="326" spans="13:26" ht="20.100000000000001" customHeight="1" x14ac:dyDescent="0.25">
      <c r="X326" s="100">
        <f>$Q$314</f>
        <v>453.04397173916351</v>
      </c>
      <c r="Y326" s="100">
        <f>$Q$313</f>
        <v>577.96360594445241</v>
      </c>
      <c r="Z326" s="100">
        <f>$Q$310</f>
        <v>515.50378884180793</v>
      </c>
    </row>
    <row r="327" spans="13:26" ht="20.100000000000001" customHeight="1" x14ac:dyDescent="0.25">
      <c r="X327" s="100">
        <f>$Q$314</f>
        <v>453.04397173916351</v>
      </c>
      <c r="Y327" s="100">
        <f>$Q$313</f>
        <v>577.96360594445241</v>
      </c>
      <c r="Z327" s="100">
        <f>$Q$310</f>
        <v>515.50378884180793</v>
      </c>
    </row>
    <row r="328" spans="13:26" ht="20.100000000000001" customHeight="1" x14ac:dyDescent="0.25">
      <c r="X328" s="100">
        <f>$Q$314</f>
        <v>453.04397173916351</v>
      </c>
      <c r="Y328" s="100">
        <f>$Q$313</f>
        <v>577.96360594445241</v>
      </c>
      <c r="Z328" s="100">
        <f>$Q$310</f>
        <v>515.50378884180793</v>
      </c>
    </row>
    <row r="329" spans="13:26" ht="20.100000000000001" customHeight="1" x14ac:dyDescent="0.25">
      <c r="X329" s="100">
        <f t="shared" ref="X329:X335" si="52">$Q$314</f>
        <v>453.04397173916351</v>
      </c>
      <c r="Y329" s="100">
        <f t="shared" ref="Y329:Y335" si="53">$Q$313</f>
        <v>577.96360594445241</v>
      </c>
      <c r="Z329" s="100">
        <f t="shared" ref="Z329:Z335" si="54">$Q$310</f>
        <v>515.50378884180793</v>
      </c>
    </row>
    <row r="330" spans="13:26" ht="20.100000000000001" customHeight="1" x14ac:dyDescent="0.25">
      <c r="X330" s="100">
        <f t="shared" si="52"/>
        <v>453.04397173916351</v>
      </c>
      <c r="Y330" s="100">
        <f t="shared" si="53"/>
        <v>577.96360594445241</v>
      </c>
      <c r="Z330" s="100">
        <f t="shared" si="54"/>
        <v>515.50378884180793</v>
      </c>
    </row>
    <row r="331" spans="13:26" ht="20.100000000000001" customHeight="1" x14ac:dyDescent="0.25">
      <c r="X331" s="100">
        <f t="shared" si="52"/>
        <v>453.04397173916351</v>
      </c>
      <c r="Y331" s="100">
        <f t="shared" si="53"/>
        <v>577.96360594445241</v>
      </c>
      <c r="Z331" s="100">
        <f t="shared" si="54"/>
        <v>515.50378884180793</v>
      </c>
    </row>
    <row r="332" spans="13:26" ht="20.100000000000001" customHeight="1" x14ac:dyDescent="0.25">
      <c r="X332" s="100">
        <f t="shared" si="52"/>
        <v>453.04397173916351</v>
      </c>
      <c r="Y332" s="100">
        <f t="shared" si="53"/>
        <v>577.96360594445241</v>
      </c>
      <c r="Z332" s="100">
        <f t="shared" si="54"/>
        <v>515.50378884180793</v>
      </c>
    </row>
    <row r="333" spans="13:26" ht="20.100000000000001" customHeight="1" x14ac:dyDescent="0.25">
      <c r="X333" s="100">
        <f t="shared" si="52"/>
        <v>453.04397173916351</v>
      </c>
      <c r="Y333" s="100">
        <f t="shared" si="53"/>
        <v>577.96360594445241</v>
      </c>
      <c r="Z333" s="100">
        <f t="shared" si="54"/>
        <v>515.50378884180793</v>
      </c>
    </row>
    <row r="334" spans="13:26" ht="20.100000000000001" customHeight="1" x14ac:dyDescent="0.25">
      <c r="X334" s="100">
        <f t="shared" si="52"/>
        <v>453.04397173916351</v>
      </c>
      <c r="Y334" s="100">
        <f t="shared" si="53"/>
        <v>577.96360594445241</v>
      </c>
      <c r="Z334" s="100">
        <f t="shared" si="54"/>
        <v>515.50378884180793</v>
      </c>
    </row>
    <row r="335" spans="13:26" ht="20.100000000000001" customHeight="1" x14ac:dyDescent="0.25">
      <c r="X335" s="100">
        <f t="shared" si="52"/>
        <v>453.04397173916351</v>
      </c>
      <c r="Y335" s="100">
        <f t="shared" si="53"/>
        <v>577.96360594445241</v>
      </c>
      <c r="Z335" s="100">
        <f t="shared" si="54"/>
        <v>515.50378884180793</v>
      </c>
    </row>
    <row r="341" spans="1:28" ht="20.100000000000001" customHeight="1" x14ac:dyDescent="0.25">
      <c r="A341" s="198" t="s">
        <v>57</v>
      </c>
      <c r="B341" s="198"/>
      <c r="C341" s="198"/>
      <c r="D341" s="198"/>
      <c r="E341" s="198"/>
      <c r="F341" s="198"/>
      <c r="G341" s="198"/>
      <c r="H341" s="198" t="s">
        <v>36</v>
      </c>
      <c r="I341" s="198"/>
      <c r="J341" s="198"/>
      <c r="K341" s="198"/>
      <c r="L341" s="198" t="s">
        <v>37</v>
      </c>
      <c r="M341" s="198"/>
      <c r="N341" s="198"/>
      <c r="O341" s="198"/>
      <c r="P341" s="198" t="s">
        <v>35</v>
      </c>
      <c r="Q341" s="198"/>
      <c r="R341" s="198"/>
      <c r="S341" s="198"/>
    </row>
    <row r="342" spans="1:28" ht="20.100000000000001" customHeight="1" x14ac:dyDescent="0.25">
      <c r="A342" s="187" t="s">
        <v>58</v>
      </c>
      <c r="B342" s="187"/>
      <c r="C342" s="187"/>
      <c r="D342" s="187"/>
      <c r="E342" s="187"/>
      <c r="F342" s="187"/>
      <c r="G342" s="187"/>
      <c r="H342" s="212">
        <f>Q238</f>
        <v>515.50378884180793</v>
      </c>
      <c r="I342" s="212"/>
      <c r="J342" s="212"/>
      <c r="K342" s="212"/>
      <c r="L342" s="212">
        <f>Q247</f>
        <v>26.60358047166886</v>
      </c>
      <c r="M342" s="212"/>
      <c r="N342" s="212"/>
      <c r="O342" s="212"/>
      <c r="P342" s="199">
        <f>Q248</f>
        <v>5.160695429889977E-2</v>
      </c>
      <c r="Q342" s="199"/>
      <c r="R342" s="199"/>
      <c r="S342" s="199"/>
      <c r="Y342" s="103">
        <f>P342</f>
        <v>5.160695429889977E-2</v>
      </c>
      <c r="Z342" s="99" t="str">
        <f>A342</f>
        <v>Intervalo em torno da média</v>
      </c>
      <c r="AA342" s="100">
        <f>H342</f>
        <v>515.50378884180793</v>
      </c>
      <c r="AB342" s="100">
        <f>L342</f>
        <v>26.60358047166886</v>
      </c>
    </row>
    <row r="343" spans="1:28" ht="20.100000000000001" customHeight="1" x14ac:dyDescent="0.25">
      <c r="A343" s="195" t="s">
        <v>59</v>
      </c>
      <c r="B343" s="195"/>
      <c r="C343" s="195"/>
      <c r="D343" s="195"/>
      <c r="E343" s="195"/>
      <c r="F343" s="195"/>
      <c r="G343" s="195"/>
      <c r="H343" s="208">
        <f>Q272</f>
        <v>515.50378884180793</v>
      </c>
      <c r="I343" s="208"/>
      <c r="J343" s="208"/>
      <c r="K343" s="208"/>
      <c r="L343" s="208">
        <f>Q273</f>
        <v>26.60358047166886</v>
      </c>
      <c r="M343" s="208"/>
      <c r="N343" s="208"/>
      <c r="O343" s="208"/>
      <c r="P343" s="222">
        <f>Q284</f>
        <v>5.160695429889977E-2</v>
      </c>
      <c r="Q343" s="222"/>
      <c r="R343" s="222"/>
      <c r="S343" s="222"/>
      <c r="Y343" s="103">
        <f>P343</f>
        <v>5.160695429889977E-2</v>
      </c>
      <c r="Z343" s="99" t="str">
        <f>A343</f>
        <v>Critério de Chauvenet</v>
      </c>
      <c r="AA343" s="100">
        <f>H343</f>
        <v>515.50378884180793</v>
      </c>
      <c r="AB343" s="100">
        <f>L343</f>
        <v>26.60358047166886</v>
      </c>
    </row>
    <row r="344" spans="1:28" ht="20.100000000000001" customHeight="1" x14ac:dyDescent="0.25">
      <c r="A344" s="195" t="s">
        <v>60</v>
      </c>
      <c r="B344" s="195"/>
      <c r="C344" s="195"/>
      <c r="D344" s="195"/>
      <c r="E344" s="195"/>
      <c r="F344" s="195"/>
      <c r="G344" s="195"/>
      <c r="H344" s="208">
        <f>Q310</f>
        <v>515.50378884180793</v>
      </c>
      <c r="I344" s="208"/>
      <c r="J344" s="208"/>
      <c r="K344" s="208"/>
      <c r="L344" s="208">
        <f>Q321</f>
        <v>26.60358047166886</v>
      </c>
      <c r="M344" s="208"/>
      <c r="N344" s="208"/>
      <c r="O344" s="208"/>
      <c r="P344" s="222">
        <f>Q322</f>
        <v>5.160695429889977E-2</v>
      </c>
      <c r="Q344" s="222"/>
      <c r="R344" s="222"/>
      <c r="S344" s="222"/>
      <c r="Y344" s="103">
        <f>P344</f>
        <v>5.160695429889977E-2</v>
      </c>
      <c r="Z344" s="99" t="str">
        <f>A344</f>
        <v>Critério de Arley</v>
      </c>
      <c r="AA344" s="100">
        <f>H344</f>
        <v>515.50378884180793</v>
      </c>
      <c r="AB344" s="100">
        <f>L344</f>
        <v>26.60358047166886</v>
      </c>
    </row>
    <row r="346" spans="1:28" ht="20.100000000000001" customHeight="1" x14ac:dyDescent="0.25">
      <c r="A346" s="175" t="s">
        <v>61</v>
      </c>
      <c r="B346" s="175"/>
      <c r="C346" s="175"/>
      <c r="D346" s="175"/>
      <c r="E346" s="175"/>
      <c r="F346" s="175"/>
      <c r="G346" s="175"/>
      <c r="H346" s="216">
        <f>MIN(P342:S344)</f>
        <v>5.160695429889977E-2</v>
      </c>
      <c r="I346" s="216"/>
      <c r="J346" s="216"/>
      <c r="K346" s="216"/>
      <c r="L346" s="216"/>
      <c r="M346" s="216"/>
    </row>
    <row r="347" spans="1:28" ht="20.100000000000001" customHeight="1" x14ac:dyDescent="0.25">
      <c r="A347" s="195" t="s">
        <v>62</v>
      </c>
      <c r="B347" s="195"/>
      <c r="C347" s="195"/>
      <c r="D347" s="195"/>
      <c r="E347" s="195"/>
      <c r="F347" s="195"/>
      <c r="G347" s="195"/>
      <c r="H347" s="197" t="str">
        <f>VLOOKUP(H346,Y342:AA344,2,0)</f>
        <v>Intervalo em torno da média</v>
      </c>
      <c r="I347" s="197"/>
      <c r="J347" s="197"/>
      <c r="K347" s="197"/>
      <c r="L347" s="197"/>
      <c r="M347" s="197"/>
    </row>
    <row r="348" spans="1:28" ht="20.100000000000001" customHeight="1" x14ac:dyDescent="0.25">
      <c r="A348" s="195" t="s">
        <v>63</v>
      </c>
      <c r="B348" s="195"/>
      <c r="C348" s="195"/>
      <c r="D348" s="195"/>
      <c r="E348" s="195"/>
      <c r="F348" s="195"/>
      <c r="G348" s="195"/>
      <c r="H348" s="208">
        <f>VLOOKUP(H346,Y342:AA344,3,0)</f>
        <v>515.50378884180793</v>
      </c>
      <c r="I348" s="208"/>
      <c r="J348" s="208"/>
      <c r="K348" s="208"/>
      <c r="L348" s="208"/>
      <c r="M348" s="208"/>
    </row>
    <row r="349" spans="1:28" ht="20.100000000000001" customHeight="1" x14ac:dyDescent="0.25">
      <c r="A349" s="195" t="s">
        <v>71</v>
      </c>
      <c r="B349" s="195"/>
      <c r="C349" s="195"/>
      <c r="D349" s="195"/>
      <c r="E349" s="195"/>
      <c r="F349" s="195"/>
      <c r="G349" s="195"/>
      <c r="H349" s="208">
        <f>VLOOKUP(H346,Y342:AB344,4,0)</f>
        <v>26.60358047166886</v>
      </c>
      <c r="I349" s="208"/>
      <c r="J349" s="208"/>
      <c r="K349" s="208"/>
      <c r="L349" s="208"/>
      <c r="M349" s="208"/>
    </row>
    <row r="352" spans="1:28" ht="20.100000000000001" customHeight="1" x14ac:dyDescent="0.25">
      <c r="A352" s="233" t="s">
        <v>69</v>
      </c>
      <c r="B352" s="233"/>
      <c r="C352" s="233"/>
      <c r="D352" s="233"/>
      <c r="E352" s="233"/>
      <c r="F352" s="233"/>
      <c r="G352" s="233"/>
      <c r="H352" s="233"/>
      <c r="I352" s="233"/>
      <c r="J352" s="233"/>
      <c r="K352" s="233"/>
      <c r="L352" s="233"/>
      <c r="M352" s="233"/>
      <c r="N352" s="233"/>
      <c r="O352" s="233"/>
      <c r="P352" s="233"/>
      <c r="Q352" s="233"/>
      <c r="R352" s="233"/>
      <c r="S352" s="233"/>
    </row>
    <row r="354" spans="1:22" ht="60" customHeight="1" x14ac:dyDescent="0.25">
      <c r="A354" s="207" t="s">
        <v>246</v>
      </c>
      <c r="B354" s="207"/>
      <c r="C354" s="207"/>
      <c r="D354" s="207"/>
      <c r="E354" s="207"/>
      <c r="F354" s="207"/>
      <c r="G354" s="207"/>
      <c r="H354" s="207"/>
      <c r="I354" s="207"/>
      <c r="J354" s="207"/>
      <c r="K354" s="207"/>
      <c r="L354" s="207"/>
      <c r="M354" s="207"/>
      <c r="N354" s="207"/>
      <c r="O354" s="207"/>
      <c r="P354" s="207"/>
      <c r="Q354" s="207"/>
      <c r="R354" s="207"/>
      <c r="S354" s="207"/>
    </row>
    <row r="356" spans="1:22" ht="20.100000000000001" customHeight="1" x14ac:dyDescent="0.25">
      <c r="A356" s="175" t="s">
        <v>36</v>
      </c>
      <c r="B356" s="175"/>
      <c r="C356" s="175"/>
      <c r="D356" s="175"/>
      <c r="E356" s="175"/>
      <c r="F356" s="193">
        <f>H348</f>
        <v>515.50378884180793</v>
      </c>
      <c r="G356" s="194"/>
      <c r="H356" s="194"/>
      <c r="I356" s="194"/>
    </row>
    <row r="357" spans="1:22" ht="20.100000000000001" customHeight="1" x14ac:dyDescent="0.25">
      <c r="A357" s="195" t="s">
        <v>37</v>
      </c>
      <c r="B357" s="195"/>
      <c r="C357" s="195"/>
      <c r="D357" s="195"/>
      <c r="E357" s="195"/>
      <c r="F357" s="213">
        <f>H349</f>
        <v>26.60358047166886</v>
      </c>
      <c r="G357" s="197"/>
      <c r="H357" s="197"/>
      <c r="I357" s="197"/>
    </row>
    <row r="358" spans="1:22" ht="20.100000000000001" customHeight="1" x14ac:dyDescent="0.25">
      <c r="A358" s="195" t="s">
        <v>248</v>
      </c>
      <c r="B358" s="195"/>
      <c r="C358" s="195"/>
      <c r="D358" s="195"/>
      <c r="E358" s="195"/>
      <c r="F358" s="223">
        <v>12</v>
      </c>
      <c r="G358" s="223"/>
      <c r="H358" s="223"/>
      <c r="I358" s="223"/>
      <c r="T358" s="221" t="s">
        <v>251</v>
      </c>
      <c r="U358" s="221"/>
      <c r="V358" s="221"/>
    </row>
    <row r="359" spans="1:22" ht="20.100000000000001" customHeight="1" x14ac:dyDescent="0.25">
      <c r="A359" s="195" t="s">
        <v>70</v>
      </c>
      <c r="B359" s="195"/>
      <c r="C359" s="195"/>
      <c r="D359" s="195"/>
      <c r="E359" s="195"/>
      <c r="F359" s="240">
        <v>0.8</v>
      </c>
      <c r="G359" s="240"/>
      <c r="H359" s="240"/>
      <c r="I359" s="240"/>
    </row>
    <row r="360" spans="1:22" ht="20.100000000000001" customHeight="1" x14ac:dyDescent="0.25">
      <c r="A360" s="195" t="s">
        <v>424</v>
      </c>
      <c r="B360" s="195"/>
      <c r="C360" s="195"/>
      <c r="D360" s="195"/>
      <c r="E360" s="195"/>
      <c r="F360" s="200">
        <f>_xlfn.T.INV.2T(1-F359,F358-1)</f>
        <v>1.3634303180205409</v>
      </c>
      <c r="G360" s="200"/>
      <c r="H360" s="200"/>
      <c r="I360" s="200"/>
    </row>
    <row r="361" spans="1:22" ht="20.100000000000001" customHeight="1" x14ac:dyDescent="0.25">
      <c r="A361" s="187"/>
      <c r="B361" s="187"/>
      <c r="C361" s="187"/>
      <c r="D361" s="187"/>
      <c r="E361" s="187"/>
      <c r="F361" s="188"/>
      <c r="G361" s="188"/>
      <c r="H361" s="188"/>
      <c r="I361" s="188"/>
    </row>
    <row r="362" spans="1:22" ht="20.100000000000001" customHeight="1" x14ac:dyDescent="0.25">
      <c r="A362" s="187"/>
      <c r="B362" s="187"/>
      <c r="C362" s="187"/>
      <c r="D362" s="187"/>
      <c r="E362" s="187"/>
      <c r="F362" s="188"/>
      <c r="G362" s="188"/>
      <c r="H362" s="188"/>
      <c r="I362" s="188"/>
    </row>
    <row r="363" spans="1:22" ht="20.100000000000001" customHeight="1" x14ac:dyDescent="0.25">
      <c r="A363" s="201" t="s">
        <v>70</v>
      </c>
      <c r="B363" s="201"/>
      <c r="C363" s="201"/>
      <c r="D363" s="201"/>
      <c r="E363" s="201"/>
      <c r="F363" s="201"/>
      <c r="G363" s="201"/>
      <c r="H363" s="201"/>
      <c r="I363" s="201"/>
      <c r="J363" s="201"/>
      <c r="K363" s="201"/>
      <c r="L363" s="201"/>
      <c r="M363" s="201"/>
      <c r="N363" s="201"/>
      <c r="O363" s="201"/>
      <c r="P363" s="201"/>
      <c r="Q363" s="201"/>
      <c r="R363" s="201"/>
      <c r="S363" s="201"/>
    </row>
    <row r="365" spans="1:22" ht="20.100000000000001" customHeight="1" x14ac:dyDescent="0.25">
      <c r="A365" s="175" t="s">
        <v>44</v>
      </c>
      <c r="B365" s="175"/>
      <c r="C365" s="175"/>
      <c r="D365" s="175"/>
      <c r="E365" s="175"/>
      <c r="F365" s="193">
        <f>F356-(_xlfn.CONFIDENCE.T(1-F359,F357,F358))</f>
        <v>505.03292735654804</v>
      </c>
      <c r="G365" s="194"/>
      <c r="H365" s="194"/>
      <c r="I365" s="194"/>
      <c r="L365" s="175" t="s">
        <v>72</v>
      </c>
      <c r="M365" s="175"/>
      <c r="N365" s="175"/>
      <c r="O365" s="175"/>
      <c r="P365" s="193">
        <f>F366-F365</f>
        <v>20.941722970519777</v>
      </c>
      <c r="Q365" s="194"/>
      <c r="R365" s="194"/>
      <c r="S365" s="194"/>
    </row>
    <row r="366" spans="1:22" ht="20.100000000000001" customHeight="1" x14ac:dyDescent="0.25">
      <c r="A366" s="175" t="s">
        <v>45</v>
      </c>
      <c r="B366" s="175"/>
      <c r="C366" s="175"/>
      <c r="D366" s="175"/>
      <c r="E366" s="175"/>
      <c r="F366" s="193">
        <f>F356+(_xlfn.CONFIDENCE.T(1-F359,F357,F358))</f>
        <v>525.97465032706782</v>
      </c>
      <c r="G366" s="194"/>
      <c r="H366" s="194"/>
      <c r="I366" s="194"/>
      <c r="L366" s="175" t="s">
        <v>36</v>
      </c>
      <c r="M366" s="175"/>
      <c r="N366" s="175"/>
      <c r="O366" s="175"/>
      <c r="P366" s="193">
        <f>F356</f>
        <v>515.50378884180793</v>
      </c>
      <c r="Q366" s="194"/>
      <c r="R366" s="194"/>
      <c r="S366" s="194"/>
    </row>
    <row r="367" spans="1:22" ht="20.100000000000001" customHeight="1" x14ac:dyDescent="0.25">
      <c r="L367" s="175" t="s">
        <v>73</v>
      </c>
      <c r="M367" s="175"/>
      <c r="N367" s="175"/>
      <c r="O367" s="175"/>
      <c r="P367" s="214">
        <f>P365/P366</f>
        <v>4.0623800297510788E-2</v>
      </c>
      <c r="Q367" s="214"/>
      <c r="R367" s="214"/>
      <c r="S367" s="214"/>
    </row>
    <row r="369" spans="1:67" ht="20.100000000000001" customHeight="1" x14ac:dyDescent="0.25">
      <c r="A369" s="186" t="str" cm="1">
        <f t="array" ref="A369">_xlfn.IFS(P367&lt;=0.3,X374,AND(P367&gt;0.3,P367&lt;=0.4),X375,AND(P367&gt;0.4,P367&lt;=0.5),X376,P367&gt;0.5,X377)</f>
        <v>O grau de precisão calculado foi inferior a 30% (trinta por cento); em razão disso, o laudo atingiu o grau de fundamentação III, máximo previsto na tabela 5 do item 9.2.3 da NBR 14653-2:2011 (Avaliação de bens. Parte 2: Imóveis urbanos).</v>
      </c>
      <c r="B369" s="186"/>
      <c r="C369" s="186"/>
      <c r="D369" s="186"/>
      <c r="E369" s="186"/>
      <c r="F369" s="186"/>
      <c r="G369" s="186"/>
      <c r="H369" s="186"/>
      <c r="I369" s="186"/>
      <c r="J369" s="186"/>
      <c r="K369" s="186"/>
      <c r="L369" s="186"/>
      <c r="M369" s="186"/>
      <c r="N369" s="186"/>
      <c r="O369" s="186"/>
      <c r="P369" s="186"/>
      <c r="Q369" s="186"/>
      <c r="R369" s="186"/>
      <c r="S369" s="186"/>
    </row>
    <row r="370" spans="1:67" ht="20.100000000000001" customHeight="1" x14ac:dyDescent="0.25">
      <c r="A370" s="186"/>
      <c r="B370" s="186"/>
      <c r="C370" s="186"/>
      <c r="D370" s="186"/>
      <c r="E370" s="186"/>
      <c r="F370" s="186"/>
      <c r="G370" s="186"/>
      <c r="H370" s="186"/>
      <c r="I370" s="186"/>
      <c r="J370" s="186"/>
      <c r="K370" s="186"/>
      <c r="L370" s="186"/>
      <c r="M370" s="186"/>
      <c r="N370" s="186"/>
      <c r="O370" s="186"/>
      <c r="P370" s="186"/>
      <c r="Q370" s="186"/>
      <c r="R370" s="186"/>
      <c r="S370" s="186"/>
    </row>
    <row r="371" spans="1:67" ht="20.100000000000001" customHeight="1" x14ac:dyDescent="0.25">
      <c r="A371" s="26"/>
      <c r="B371" s="26"/>
      <c r="C371" s="26"/>
      <c r="D371" s="26"/>
      <c r="E371" s="26"/>
      <c r="F371" s="26"/>
      <c r="G371" s="26"/>
      <c r="H371" s="26"/>
      <c r="I371" s="26"/>
      <c r="J371" s="26"/>
      <c r="K371" s="26"/>
      <c r="L371" s="26"/>
      <c r="M371" s="26"/>
      <c r="N371" s="26"/>
      <c r="O371" s="26"/>
      <c r="P371" s="26"/>
      <c r="Q371" s="26"/>
      <c r="R371" s="26"/>
      <c r="S371" s="26"/>
    </row>
    <row r="372" spans="1:67" ht="20.100000000000001" customHeight="1" x14ac:dyDescent="0.25">
      <c r="A372" s="202" t="s">
        <v>425</v>
      </c>
      <c r="B372" s="202"/>
      <c r="C372" s="202"/>
      <c r="D372" s="202"/>
      <c r="E372" s="202"/>
      <c r="F372" s="202"/>
      <c r="G372" s="202"/>
      <c r="H372" s="202"/>
      <c r="I372" s="202"/>
      <c r="J372" s="202"/>
      <c r="K372" s="202"/>
      <c r="L372" s="202"/>
      <c r="M372" s="202"/>
      <c r="N372" s="202"/>
      <c r="O372" s="202"/>
      <c r="P372" s="202"/>
      <c r="Q372" s="202"/>
      <c r="R372" s="202"/>
      <c r="S372" s="202"/>
    </row>
    <row r="373" spans="1:67" ht="20.100000000000001" customHeight="1" x14ac:dyDescent="0.25">
      <c r="A373" s="202"/>
      <c r="B373" s="202"/>
      <c r="C373" s="202"/>
      <c r="D373" s="202"/>
      <c r="E373" s="202"/>
      <c r="F373" s="202"/>
      <c r="G373" s="202"/>
      <c r="H373" s="202"/>
      <c r="I373" s="202"/>
      <c r="J373" s="202"/>
      <c r="K373" s="202"/>
      <c r="L373" s="202"/>
      <c r="M373" s="202"/>
      <c r="N373" s="202"/>
      <c r="O373" s="202"/>
      <c r="P373" s="202"/>
      <c r="Q373" s="202"/>
      <c r="R373" s="202"/>
      <c r="S373" s="202"/>
    </row>
    <row r="374" spans="1:67" ht="20.100000000000001" customHeight="1" x14ac:dyDescent="0.25">
      <c r="A374" s="191" t="s">
        <v>91</v>
      </c>
      <c r="B374" s="191"/>
      <c r="C374" s="191"/>
      <c r="D374" s="191"/>
      <c r="E374" s="191"/>
      <c r="F374" s="191"/>
      <c r="G374" s="191"/>
      <c r="H374" s="191"/>
      <c r="I374" s="191"/>
      <c r="J374" s="191"/>
      <c r="K374" s="191"/>
      <c r="L374" s="191"/>
      <c r="M374" s="191"/>
      <c r="N374" s="191"/>
      <c r="O374" s="191"/>
      <c r="P374" s="191"/>
      <c r="Q374" s="191"/>
      <c r="R374" s="191"/>
      <c r="S374" s="191"/>
      <c r="X374" s="211" t="s">
        <v>101</v>
      </c>
      <c r="Y374" s="211"/>
      <c r="Z374" s="21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c r="BI374" s="211"/>
      <c r="BJ374" s="211"/>
      <c r="BK374" s="211"/>
      <c r="BL374" s="211"/>
      <c r="BM374" s="211"/>
      <c r="BN374" s="211"/>
      <c r="BO374" s="211"/>
    </row>
    <row r="375" spans="1:67" ht="20.100000000000001" customHeight="1" x14ac:dyDescent="0.25">
      <c r="A375" s="191"/>
      <c r="B375" s="191"/>
      <c r="C375" s="191"/>
      <c r="D375" s="191"/>
      <c r="E375" s="191"/>
      <c r="F375" s="191"/>
      <c r="G375" s="191"/>
      <c r="H375" s="191"/>
      <c r="I375" s="191"/>
      <c r="J375" s="191"/>
      <c r="K375" s="191"/>
      <c r="L375" s="191"/>
      <c r="M375" s="191"/>
      <c r="N375" s="191"/>
      <c r="O375" s="191"/>
      <c r="P375" s="191"/>
      <c r="Q375" s="191"/>
      <c r="R375" s="191"/>
      <c r="S375" s="191"/>
      <c r="X375" s="211" t="s">
        <v>102</v>
      </c>
      <c r="Y375" s="211"/>
      <c r="Z375" s="21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c r="BI375" s="211"/>
      <c r="BJ375" s="211"/>
      <c r="BK375" s="211"/>
      <c r="BL375" s="211"/>
      <c r="BM375" s="211"/>
      <c r="BN375" s="211"/>
      <c r="BO375" s="211"/>
    </row>
    <row r="376" spans="1:67" ht="20.100000000000001" customHeight="1" x14ac:dyDescent="0.25">
      <c r="A376" s="192" t="s">
        <v>88</v>
      </c>
      <c r="B376" s="192"/>
      <c r="C376" s="192"/>
      <c r="D376" s="192"/>
      <c r="E376" s="192"/>
      <c r="F376" s="192"/>
      <c r="G376" s="192"/>
      <c r="H376" s="192" t="s">
        <v>89</v>
      </c>
      <c r="I376" s="192"/>
      <c r="J376" s="192"/>
      <c r="K376" s="192"/>
      <c r="L376" s="192"/>
      <c r="M376" s="192"/>
      <c r="N376" s="192"/>
      <c r="O376" s="192"/>
      <c r="P376" s="192"/>
      <c r="Q376" s="192"/>
      <c r="R376" s="192"/>
      <c r="S376" s="192"/>
      <c r="X376" s="211" t="s">
        <v>103</v>
      </c>
      <c r="Y376" s="211"/>
      <c r="Z376" s="21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c r="BI376" s="211"/>
      <c r="BJ376" s="211"/>
      <c r="BK376" s="211"/>
      <c r="BL376" s="211"/>
      <c r="BM376" s="211"/>
      <c r="BN376" s="211"/>
      <c r="BO376" s="211"/>
    </row>
    <row r="377" spans="1:67" ht="20.100000000000001" customHeight="1" x14ac:dyDescent="0.25">
      <c r="A377" s="192"/>
      <c r="B377" s="192"/>
      <c r="C377" s="192"/>
      <c r="D377" s="192"/>
      <c r="E377" s="192"/>
      <c r="F377" s="192"/>
      <c r="G377" s="192"/>
      <c r="H377" s="192" t="s">
        <v>92</v>
      </c>
      <c r="I377" s="192"/>
      <c r="J377" s="192"/>
      <c r="K377" s="192"/>
      <c r="L377" s="192" t="s">
        <v>93</v>
      </c>
      <c r="M377" s="192"/>
      <c r="N377" s="192"/>
      <c r="O377" s="192"/>
      <c r="P377" s="192" t="s">
        <v>83</v>
      </c>
      <c r="Q377" s="192"/>
      <c r="R377" s="192"/>
      <c r="S377" s="192"/>
      <c r="X377" s="211" t="s">
        <v>252</v>
      </c>
      <c r="Y377" s="211"/>
      <c r="Z377" s="21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c r="BI377" s="211"/>
      <c r="BJ377" s="211"/>
      <c r="BK377" s="211"/>
      <c r="BL377" s="211"/>
      <c r="BM377" s="211"/>
      <c r="BN377" s="211"/>
      <c r="BO377" s="211"/>
    </row>
    <row r="378" spans="1:67" ht="20.100000000000001" customHeight="1" x14ac:dyDescent="0.25">
      <c r="A378" s="190" t="s">
        <v>90</v>
      </c>
      <c r="B378" s="190"/>
      <c r="C378" s="190"/>
      <c r="D378" s="190"/>
      <c r="E378" s="190"/>
      <c r="F378" s="190"/>
      <c r="G378" s="190"/>
      <c r="H378" s="189" t="s">
        <v>98</v>
      </c>
      <c r="I378" s="189"/>
      <c r="J378" s="189"/>
      <c r="K378" s="189"/>
      <c r="L378" s="189" t="s">
        <v>99</v>
      </c>
      <c r="M378" s="189"/>
      <c r="N378" s="189"/>
      <c r="O378" s="189"/>
      <c r="P378" s="189" t="s">
        <v>100</v>
      </c>
      <c r="Q378" s="189"/>
      <c r="R378" s="189"/>
      <c r="S378" s="189"/>
    </row>
    <row r="379" spans="1:67" ht="20.100000000000001" customHeight="1" x14ac:dyDescent="0.25">
      <c r="A379" s="190"/>
      <c r="B379" s="190"/>
      <c r="C379" s="190"/>
      <c r="D379" s="190"/>
      <c r="E379" s="190"/>
      <c r="F379" s="190"/>
      <c r="G379" s="190"/>
      <c r="H379" s="189"/>
      <c r="I379" s="189"/>
      <c r="J379" s="189"/>
      <c r="K379" s="189"/>
      <c r="L379" s="189"/>
      <c r="M379" s="189"/>
      <c r="N379" s="189"/>
      <c r="O379" s="189"/>
      <c r="P379" s="189"/>
      <c r="Q379" s="189"/>
      <c r="R379" s="189"/>
      <c r="S379" s="189"/>
    </row>
    <row r="382" spans="1:67" ht="20.100000000000001" customHeight="1" x14ac:dyDescent="0.25">
      <c r="A382" s="181" t="s">
        <v>97</v>
      </c>
      <c r="B382" s="181"/>
      <c r="C382" s="181"/>
      <c r="D382" s="181"/>
      <c r="E382" s="181"/>
      <c r="F382" s="181"/>
      <c r="G382" s="181"/>
      <c r="H382" s="181"/>
      <c r="I382" s="181"/>
      <c r="J382" s="181"/>
      <c r="K382" s="181"/>
      <c r="L382" s="181"/>
      <c r="M382" s="181"/>
      <c r="N382" s="181"/>
      <c r="O382" s="181"/>
      <c r="P382" s="181"/>
      <c r="Q382" s="181"/>
      <c r="R382" s="181"/>
      <c r="S382" s="181"/>
    </row>
    <row r="383" spans="1:67" ht="20.100000000000001" customHeight="1" x14ac:dyDescent="0.25">
      <c r="A383" s="29"/>
      <c r="B383" s="29"/>
      <c r="C383" s="29"/>
      <c r="D383" s="29"/>
      <c r="E383" s="29"/>
      <c r="F383" s="29"/>
      <c r="G383" s="29"/>
      <c r="H383" s="29"/>
      <c r="I383" s="29"/>
      <c r="J383" s="29"/>
      <c r="K383" s="29"/>
      <c r="L383" s="29"/>
      <c r="M383" s="29"/>
      <c r="N383" s="29"/>
      <c r="O383" s="29"/>
      <c r="P383" s="29"/>
      <c r="Q383" s="29"/>
      <c r="R383" s="29"/>
      <c r="S383" s="29"/>
      <c r="W383" s="115"/>
    </row>
    <row r="384" spans="1:67" ht="20.100000000000001" customHeight="1" x14ac:dyDescent="0.25">
      <c r="A384" s="177" t="s">
        <v>74</v>
      </c>
      <c r="B384" s="177"/>
      <c r="C384" s="177"/>
      <c r="D384" s="177"/>
      <c r="E384" s="177"/>
      <c r="F384" s="177"/>
      <c r="G384" s="177"/>
      <c r="H384" s="177"/>
      <c r="I384" s="177"/>
      <c r="J384" s="177"/>
      <c r="K384" s="177"/>
      <c r="L384" s="177"/>
      <c r="M384" s="177"/>
      <c r="N384" s="169">
        <v>320</v>
      </c>
      <c r="O384" s="169"/>
      <c r="P384" s="169"/>
      <c r="Q384" s="169"/>
      <c r="R384" s="169"/>
      <c r="S384" s="169"/>
      <c r="W384" s="115"/>
    </row>
    <row r="385" spans="1:36" ht="20.100000000000001" customHeight="1" x14ac:dyDescent="0.25">
      <c r="A385" s="177" t="s">
        <v>75</v>
      </c>
      <c r="B385" s="177"/>
      <c r="C385" s="177"/>
      <c r="D385" s="177"/>
      <c r="E385" s="177"/>
      <c r="F385" s="177"/>
      <c r="G385" s="177"/>
      <c r="H385" s="177"/>
      <c r="I385" s="177"/>
      <c r="J385" s="177"/>
      <c r="K385" s="177"/>
      <c r="L385" s="177"/>
      <c r="M385" s="177"/>
      <c r="N385" s="171">
        <f>F356</f>
        <v>515.50378884180793</v>
      </c>
      <c r="O385" s="171"/>
      <c r="P385" s="171"/>
      <c r="Q385" s="171"/>
      <c r="R385" s="171"/>
      <c r="S385" s="171"/>
    </row>
    <row r="386" spans="1:36" ht="20.100000000000001" customHeight="1" x14ac:dyDescent="0.25">
      <c r="A386" s="177" t="s">
        <v>97</v>
      </c>
      <c r="B386" s="177"/>
      <c r="C386" s="177"/>
      <c r="D386" s="177"/>
      <c r="E386" s="177"/>
      <c r="F386" s="177"/>
      <c r="G386" s="177"/>
      <c r="H386" s="177"/>
      <c r="I386" s="177"/>
      <c r="J386" s="177"/>
      <c r="K386" s="177"/>
      <c r="L386" s="177"/>
      <c r="M386" s="177"/>
      <c r="N386" s="171">
        <f>N384*N385</f>
        <v>164961.21242937853</v>
      </c>
      <c r="O386" s="171"/>
      <c r="P386" s="171"/>
      <c r="Q386" s="171"/>
      <c r="R386" s="171"/>
      <c r="S386" s="171"/>
      <c r="AB386" s="104"/>
    </row>
    <row r="387" spans="1:36" ht="20.100000000000001" customHeight="1" x14ac:dyDescent="0.25">
      <c r="AB387" s="104"/>
    </row>
    <row r="389" spans="1:36" s="101" customFormat="1" ht="20.100000000000001" customHeight="1" x14ac:dyDescent="0.25">
      <c r="A389" s="181" t="s">
        <v>363</v>
      </c>
      <c r="B389" s="181"/>
      <c r="C389" s="181"/>
      <c r="D389" s="181"/>
      <c r="E389" s="181"/>
      <c r="F389" s="181"/>
      <c r="G389" s="181"/>
      <c r="H389" s="181"/>
      <c r="I389" s="181"/>
      <c r="J389" s="181"/>
      <c r="K389" s="181"/>
      <c r="L389" s="181"/>
      <c r="M389" s="181"/>
      <c r="N389" s="181"/>
      <c r="O389" s="181"/>
      <c r="P389" s="181"/>
      <c r="Q389" s="181"/>
      <c r="R389" s="181"/>
      <c r="S389" s="181"/>
      <c r="T389" s="116"/>
      <c r="U389" s="116"/>
      <c r="V389" s="116"/>
      <c r="W389" s="105"/>
      <c r="X389" s="105"/>
      <c r="Y389" s="105"/>
      <c r="Z389" s="105"/>
      <c r="AA389" s="105"/>
      <c r="AB389" s="105"/>
      <c r="AC389" s="105"/>
      <c r="AD389" s="105"/>
      <c r="AE389" s="105"/>
      <c r="AF389" s="105"/>
      <c r="AG389" s="105"/>
      <c r="AI389" s="101" t="s">
        <v>364</v>
      </c>
      <c r="AJ389" s="101" t="s">
        <v>365</v>
      </c>
    </row>
    <row r="390" spans="1:36" s="101" customFormat="1" ht="20.100000000000001" customHeight="1" x14ac:dyDescent="0.25">
      <c r="A390" s="29"/>
      <c r="B390" s="29"/>
      <c r="C390" s="29"/>
      <c r="D390" s="29"/>
      <c r="E390" s="29"/>
      <c r="F390" s="29"/>
      <c r="G390" s="29"/>
      <c r="H390" s="29"/>
      <c r="I390" s="29"/>
      <c r="J390" s="29"/>
      <c r="K390" s="29"/>
      <c r="L390" s="29"/>
      <c r="M390" s="29"/>
      <c r="N390" s="29"/>
      <c r="O390" s="29"/>
      <c r="P390" s="29"/>
      <c r="Q390" s="29"/>
      <c r="R390" s="29"/>
      <c r="S390" s="29"/>
      <c r="T390" s="116"/>
      <c r="U390" s="116"/>
      <c r="V390" s="116"/>
      <c r="W390" s="105"/>
      <c r="AI390" s="101" t="s">
        <v>366</v>
      </c>
      <c r="AJ390" s="101" t="s">
        <v>367</v>
      </c>
    </row>
    <row r="391" spans="1:36" s="101" customFormat="1" ht="20.100000000000001" customHeight="1" x14ac:dyDescent="0.25">
      <c r="A391" s="182" t="s">
        <v>481</v>
      </c>
      <c r="B391" s="182"/>
      <c r="C391" s="182"/>
      <c r="D391" s="182"/>
      <c r="E391" s="182"/>
      <c r="F391" s="182"/>
      <c r="G391" s="182"/>
      <c r="H391" s="182"/>
      <c r="I391" s="182"/>
      <c r="J391" s="182"/>
      <c r="K391" s="182"/>
      <c r="L391" s="182"/>
      <c r="M391" s="182"/>
      <c r="N391" s="182"/>
      <c r="O391" s="182"/>
      <c r="P391" s="182"/>
      <c r="Q391" s="182"/>
      <c r="R391" s="182"/>
      <c r="S391" s="182"/>
      <c r="T391" s="116"/>
      <c r="U391" s="116"/>
      <c r="V391" s="116"/>
      <c r="W391" s="105"/>
      <c r="AI391" s="101" t="s">
        <v>368</v>
      </c>
      <c r="AJ391" s="101" t="s">
        <v>369</v>
      </c>
    </row>
    <row r="392" spans="1:36" s="101" customFormat="1" ht="20.100000000000001" customHeight="1" x14ac:dyDescent="0.25">
      <c r="A392" s="182"/>
      <c r="B392" s="182"/>
      <c r="C392" s="182"/>
      <c r="D392" s="182"/>
      <c r="E392" s="182"/>
      <c r="F392" s="182"/>
      <c r="G392" s="182"/>
      <c r="H392" s="182"/>
      <c r="I392" s="182"/>
      <c r="J392" s="182"/>
      <c r="K392" s="182"/>
      <c r="L392" s="182"/>
      <c r="M392" s="182"/>
      <c r="N392" s="182"/>
      <c r="O392" s="182"/>
      <c r="P392" s="182"/>
      <c r="Q392" s="182"/>
      <c r="R392" s="182"/>
      <c r="S392" s="182"/>
      <c r="T392" s="116"/>
      <c r="U392" s="116"/>
      <c r="V392" s="116"/>
      <c r="W392" s="105"/>
      <c r="AI392" s="101" t="s">
        <v>370</v>
      </c>
    </row>
    <row r="393" spans="1:36" s="101" customFormat="1" ht="20.100000000000001" customHeight="1" x14ac:dyDescent="0.25">
      <c r="A393" s="182"/>
      <c r="B393" s="182"/>
      <c r="C393" s="182"/>
      <c r="D393" s="182"/>
      <c r="E393" s="182"/>
      <c r="F393" s="182"/>
      <c r="G393" s="182"/>
      <c r="H393" s="182"/>
      <c r="I393" s="182"/>
      <c r="J393" s="182"/>
      <c r="K393" s="182"/>
      <c r="L393" s="182"/>
      <c r="M393" s="182"/>
      <c r="N393" s="182"/>
      <c r="O393" s="182"/>
      <c r="P393" s="182"/>
      <c r="Q393" s="182"/>
      <c r="R393" s="182"/>
      <c r="S393" s="182"/>
      <c r="T393" s="116"/>
      <c r="U393" s="116"/>
      <c r="V393" s="116"/>
      <c r="W393" s="105"/>
      <c r="AI393" s="101" t="s">
        <v>371</v>
      </c>
      <c r="AJ393" s="101" t="s">
        <v>372</v>
      </c>
    </row>
    <row r="394" spans="1:36" s="101" customFormat="1" ht="20.100000000000001" customHeight="1" x14ac:dyDescent="0.25">
      <c r="A394" s="182"/>
      <c r="B394" s="182"/>
      <c r="C394" s="182"/>
      <c r="D394" s="182"/>
      <c r="E394" s="182"/>
      <c r="F394" s="182"/>
      <c r="G394" s="182"/>
      <c r="H394" s="182"/>
      <c r="I394" s="182"/>
      <c r="J394" s="182"/>
      <c r="K394" s="182"/>
      <c r="L394" s="182"/>
      <c r="M394" s="182"/>
      <c r="N394" s="182"/>
      <c r="O394" s="182"/>
      <c r="P394" s="182"/>
      <c r="Q394" s="182"/>
      <c r="R394" s="182"/>
      <c r="S394" s="182"/>
      <c r="T394" s="116"/>
      <c r="U394" s="116"/>
      <c r="V394" s="116"/>
      <c r="W394" s="105"/>
      <c r="AI394" s="101" t="s">
        <v>373</v>
      </c>
      <c r="AJ394" s="101" t="s">
        <v>374</v>
      </c>
    </row>
    <row r="395" spans="1:36" s="101" customFormat="1" ht="20.100000000000001" customHeight="1" x14ac:dyDescent="0.25">
      <c r="A395" s="29"/>
      <c r="B395" s="29"/>
      <c r="C395" s="29"/>
      <c r="D395" s="29"/>
      <c r="E395" s="29"/>
      <c r="F395" s="29"/>
      <c r="G395" s="29"/>
      <c r="H395" s="29"/>
      <c r="I395" s="29"/>
      <c r="J395" s="29"/>
      <c r="K395" s="29"/>
      <c r="L395" s="29"/>
      <c r="M395" s="29"/>
      <c r="N395" s="29"/>
      <c r="O395" s="29"/>
      <c r="P395" s="29"/>
      <c r="Q395" s="29"/>
      <c r="R395" s="29"/>
      <c r="S395" s="29"/>
      <c r="T395" s="116"/>
      <c r="U395" s="116"/>
      <c r="V395" s="116"/>
      <c r="W395" s="105"/>
      <c r="AI395" s="101" t="s">
        <v>375</v>
      </c>
      <c r="AJ395" s="101" t="s">
        <v>376</v>
      </c>
    </row>
    <row r="396" spans="1:36" s="101" customFormat="1" ht="20.100000000000001" customHeight="1" x14ac:dyDescent="0.25">
      <c r="A396" s="177" t="s">
        <v>377</v>
      </c>
      <c r="B396" s="177"/>
      <c r="C396" s="177"/>
      <c r="D396" s="177"/>
      <c r="E396" s="183" t="s">
        <v>372</v>
      </c>
      <c r="F396" s="183"/>
      <c r="G396" s="183"/>
      <c r="H396" s="183"/>
      <c r="I396" s="183"/>
      <c r="J396" s="183"/>
      <c r="K396" s="177" t="s">
        <v>378</v>
      </c>
      <c r="L396" s="177"/>
      <c r="M396" s="177"/>
      <c r="N396" s="177"/>
      <c r="O396" s="177"/>
      <c r="P396" s="184" t="s">
        <v>367</v>
      </c>
      <c r="Q396" s="184"/>
      <c r="R396" s="184"/>
      <c r="S396" s="184"/>
      <c r="T396" s="116"/>
      <c r="U396" s="116"/>
      <c r="V396" s="116"/>
      <c r="W396" s="105"/>
      <c r="AI396" s="101" t="s">
        <v>379</v>
      </c>
      <c r="AJ396" s="101" t="s">
        <v>64</v>
      </c>
    </row>
    <row r="397" spans="1:36" s="101" customFormat="1" ht="20.100000000000001" customHeight="1" x14ac:dyDescent="0.25">
      <c r="A397" s="166" t="s">
        <v>380</v>
      </c>
      <c r="B397" s="166"/>
      <c r="C397" s="166"/>
      <c r="D397" s="166"/>
      <c r="E397" s="167" t="s">
        <v>364</v>
      </c>
      <c r="F397" s="167"/>
      <c r="G397" s="167"/>
      <c r="H397" s="167"/>
      <c r="I397" s="167"/>
      <c r="J397" s="167"/>
      <c r="K397" s="166" t="s">
        <v>381</v>
      </c>
      <c r="L397" s="166"/>
      <c r="M397" s="166"/>
      <c r="N397" s="166"/>
      <c r="O397" s="166"/>
      <c r="P397" s="168" t="s">
        <v>382</v>
      </c>
      <c r="Q397" s="168"/>
      <c r="R397" s="168"/>
      <c r="S397" s="168"/>
      <c r="T397" s="116"/>
      <c r="U397" s="116"/>
      <c r="V397" s="116"/>
      <c r="W397" s="105"/>
      <c r="AI397" s="101" t="s">
        <v>383</v>
      </c>
    </row>
    <row r="398" spans="1:36" s="101" customFormat="1" ht="20.100000000000001" customHeight="1" x14ac:dyDescent="0.25">
      <c r="A398" s="166" t="s">
        <v>384</v>
      </c>
      <c r="B398" s="166"/>
      <c r="C398" s="166"/>
      <c r="D398" s="166"/>
      <c r="E398" s="166"/>
      <c r="F398" s="166"/>
      <c r="G398" s="166"/>
      <c r="H398" s="166"/>
      <c r="I398" s="166"/>
      <c r="J398" s="166"/>
      <c r="K398" s="166"/>
      <c r="L398" s="166"/>
      <c r="M398" s="166"/>
      <c r="N398" s="166"/>
      <c r="O398" s="166"/>
      <c r="P398" s="185">
        <v>1997.51</v>
      </c>
      <c r="Q398" s="185"/>
      <c r="R398" s="185"/>
      <c r="S398" s="185"/>
      <c r="T398" s="116"/>
      <c r="U398" s="116"/>
      <c r="V398" s="116"/>
      <c r="W398" s="105"/>
    </row>
    <row r="399" spans="1:36" s="101" customFormat="1" ht="20.100000000000001" customHeight="1" x14ac:dyDescent="0.25">
      <c r="A399" s="29"/>
      <c r="B399" s="29"/>
      <c r="C399" s="29"/>
      <c r="D399" s="29"/>
      <c r="E399" s="29"/>
      <c r="F399" s="29"/>
      <c r="G399" s="29"/>
      <c r="H399" s="29"/>
      <c r="I399" s="29"/>
      <c r="J399" s="29"/>
      <c r="K399" s="29"/>
      <c r="L399" s="29"/>
      <c r="M399" s="29"/>
      <c r="N399" s="29"/>
      <c r="O399" s="29"/>
      <c r="P399" s="29"/>
      <c r="Q399" s="29"/>
      <c r="R399" s="29"/>
      <c r="S399" s="29"/>
      <c r="T399" s="116"/>
      <c r="U399" s="116"/>
      <c r="V399" s="116"/>
      <c r="W399" s="105"/>
    </row>
    <row r="400" spans="1:36" s="101" customFormat="1" ht="20.100000000000001" customHeight="1" x14ac:dyDescent="0.25">
      <c r="A400" s="177" t="s">
        <v>498</v>
      </c>
      <c r="B400" s="177"/>
      <c r="C400" s="177"/>
      <c r="D400" s="177"/>
      <c r="E400" s="177"/>
      <c r="F400" s="177"/>
      <c r="G400" s="177"/>
      <c r="H400" s="177"/>
      <c r="I400" s="177"/>
      <c r="J400" s="177"/>
      <c r="K400" s="177"/>
      <c r="L400" s="177"/>
      <c r="M400" s="177"/>
      <c r="N400" s="169">
        <v>195.32</v>
      </c>
      <c r="O400" s="169"/>
      <c r="P400" s="169"/>
      <c r="Q400" s="169"/>
      <c r="R400" s="169"/>
      <c r="S400" s="169"/>
      <c r="T400" s="116"/>
      <c r="U400" s="116"/>
      <c r="V400" s="116"/>
      <c r="W400" s="105"/>
    </row>
    <row r="401" spans="1:23" s="101" customFormat="1" ht="20.100000000000001" customHeight="1" x14ac:dyDescent="0.25">
      <c r="A401" s="166" t="s">
        <v>384</v>
      </c>
      <c r="B401" s="166"/>
      <c r="C401" s="166"/>
      <c r="D401" s="166"/>
      <c r="E401" s="166"/>
      <c r="F401" s="166"/>
      <c r="G401" s="166"/>
      <c r="H401" s="166"/>
      <c r="I401" s="166"/>
      <c r="J401" s="166"/>
      <c r="K401" s="166"/>
      <c r="L401" s="166"/>
      <c r="M401" s="166"/>
      <c r="N401" s="170">
        <f>P398</f>
        <v>1997.51</v>
      </c>
      <c r="O401" s="170"/>
      <c r="P401" s="170"/>
      <c r="Q401" s="170"/>
      <c r="R401" s="170"/>
      <c r="S401" s="170"/>
      <c r="T401" s="116"/>
      <c r="U401" s="116"/>
      <c r="V401" s="116"/>
      <c r="W401" s="105"/>
    </row>
    <row r="402" spans="1:23" s="101" customFormat="1" ht="20.100000000000001" customHeight="1" x14ac:dyDescent="0.25">
      <c r="A402" s="166" t="s">
        <v>385</v>
      </c>
      <c r="B402" s="166"/>
      <c r="C402" s="166"/>
      <c r="D402" s="166"/>
      <c r="E402" s="166"/>
      <c r="F402" s="166"/>
      <c r="G402" s="166"/>
      <c r="H402" s="166"/>
      <c r="I402" s="166"/>
      <c r="J402" s="166"/>
      <c r="K402" s="166"/>
      <c r="L402" s="166"/>
      <c r="M402" s="166"/>
      <c r="N402" s="171">
        <f>P398*N400</f>
        <v>390153.6532</v>
      </c>
      <c r="O402" s="171"/>
      <c r="P402" s="171"/>
      <c r="Q402" s="171"/>
      <c r="R402" s="171"/>
      <c r="S402" s="171"/>
      <c r="T402" s="116"/>
      <c r="U402" s="116"/>
      <c r="V402" s="116"/>
      <c r="W402" s="105"/>
    </row>
    <row r="403" spans="1:23" s="101" customFormat="1" ht="20.100000000000001" customHeight="1" x14ac:dyDescent="0.25">
      <c r="A403" s="30"/>
      <c r="B403" s="30"/>
      <c r="C403" s="30"/>
      <c r="D403" s="30"/>
      <c r="E403" s="30"/>
      <c r="F403" s="30"/>
      <c r="G403" s="30"/>
      <c r="H403" s="30"/>
      <c r="I403" s="30"/>
      <c r="J403" s="30"/>
      <c r="K403" s="30"/>
      <c r="L403" s="30"/>
      <c r="M403" s="30"/>
      <c r="N403" s="30"/>
      <c r="O403" s="30"/>
      <c r="P403" s="30"/>
      <c r="Q403" s="30"/>
      <c r="R403" s="30"/>
      <c r="S403" s="30"/>
      <c r="T403" s="116"/>
      <c r="U403" s="116"/>
      <c r="V403" s="116"/>
      <c r="W403" s="105"/>
    </row>
    <row r="404" spans="1:23" s="101" customFormat="1" ht="20.100000000000001" customHeight="1" x14ac:dyDescent="0.25">
      <c r="A404" s="29"/>
      <c r="B404" s="29"/>
      <c r="C404" s="29"/>
      <c r="D404" s="29"/>
      <c r="E404" s="29"/>
      <c r="F404" s="29"/>
      <c r="G404" s="29"/>
      <c r="H404" s="29"/>
      <c r="I404" s="29"/>
      <c r="J404" s="29"/>
      <c r="K404" s="29"/>
      <c r="L404" s="29"/>
      <c r="M404" s="29"/>
      <c r="N404" s="29"/>
      <c r="O404" s="29"/>
      <c r="P404" s="29"/>
      <c r="Q404" s="29"/>
      <c r="R404" s="29"/>
      <c r="S404" s="29"/>
      <c r="T404" s="116"/>
      <c r="U404" s="116"/>
      <c r="V404" s="116"/>
      <c r="W404" s="105"/>
    </row>
    <row r="405" spans="1:23" s="101" customFormat="1" ht="20.100000000000001" customHeight="1" x14ac:dyDescent="0.25">
      <c r="A405" s="178" t="s">
        <v>386</v>
      </c>
      <c r="B405" s="178"/>
      <c r="C405" s="178"/>
      <c r="D405" s="178"/>
      <c r="E405" s="178"/>
      <c r="F405" s="178"/>
      <c r="G405" s="178"/>
      <c r="H405" s="178"/>
      <c r="I405" s="178"/>
      <c r="J405" s="178"/>
      <c r="K405" s="178"/>
      <c r="L405" s="178"/>
      <c r="M405" s="178"/>
      <c r="N405" s="178"/>
      <c r="O405" s="178"/>
      <c r="P405" s="178"/>
      <c r="Q405" s="178"/>
      <c r="R405" s="178"/>
      <c r="S405" s="178"/>
      <c r="T405" s="116"/>
      <c r="U405" s="116"/>
      <c r="V405" s="116"/>
      <c r="W405" s="105"/>
    </row>
    <row r="406" spans="1:23" s="101" customFormat="1" ht="20.100000000000001" customHeight="1" x14ac:dyDescent="0.25">
      <c r="A406" s="29"/>
      <c r="B406" s="29"/>
      <c r="C406" s="29"/>
      <c r="D406" s="29"/>
      <c r="E406" s="29"/>
      <c r="F406" s="29"/>
      <c r="G406" s="29"/>
      <c r="H406" s="29"/>
      <c r="I406" s="29"/>
      <c r="J406" s="29"/>
      <c r="K406" s="29"/>
      <c r="L406" s="29"/>
      <c r="M406" s="29"/>
      <c r="N406" s="29"/>
      <c r="O406" s="29"/>
      <c r="P406" s="29"/>
      <c r="Q406" s="29"/>
      <c r="R406" s="29"/>
      <c r="S406" s="29"/>
      <c r="T406" s="116"/>
      <c r="U406" s="116"/>
      <c r="V406" s="116"/>
      <c r="W406" s="105"/>
    </row>
    <row r="407" spans="1:23" s="101" customFormat="1" ht="20.100000000000001" customHeight="1" x14ac:dyDescent="0.25">
      <c r="A407" s="177" t="s">
        <v>387</v>
      </c>
      <c r="B407" s="177"/>
      <c r="C407" s="177"/>
      <c r="D407" s="177"/>
      <c r="E407" s="177"/>
      <c r="F407" s="203">
        <v>20</v>
      </c>
      <c r="G407" s="203"/>
      <c r="H407" s="203"/>
      <c r="I407" s="203"/>
      <c r="J407" s="29"/>
      <c r="K407" s="29"/>
      <c r="L407" s="29"/>
      <c r="M407" s="29"/>
      <c r="N407" s="29"/>
      <c r="O407" s="29"/>
      <c r="P407" s="29"/>
      <c r="Q407" s="29"/>
      <c r="R407" s="29"/>
      <c r="S407" s="29"/>
      <c r="T407" s="116"/>
      <c r="U407" s="116"/>
      <c r="V407" s="116"/>
      <c r="W407" s="105"/>
    </row>
    <row r="408" spans="1:23" s="101" customFormat="1" ht="20.100000000000001" customHeight="1" x14ac:dyDescent="0.25">
      <c r="A408" s="177" t="s">
        <v>388</v>
      </c>
      <c r="B408" s="177"/>
      <c r="C408" s="177"/>
      <c r="D408" s="177"/>
      <c r="E408" s="177"/>
      <c r="F408" s="179">
        <v>70</v>
      </c>
      <c r="G408" s="179"/>
      <c r="H408" s="179"/>
      <c r="I408" s="179"/>
      <c r="J408" s="29"/>
      <c r="K408" s="29"/>
      <c r="L408" s="29"/>
      <c r="M408" s="29"/>
      <c r="N408" s="29"/>
      <c r="O408" s="29"/>
      <c r="P408" s="29"/>
      <c r="Q408" s="29"/>
      <c r="R408" s="29"/>
      <c r="S408" s="29"/>
      <c r="T408" s="116"/>
      <c r="U408" s="116"/>
      <c r="V408" s="116"/>
      <c r="W408" s="105"/>
    </row>
    <row r="409" spans="1:23" s="101" customFormat="1" ht="20.100000000000001" customHeight="1" x14ac:dyDescent="0.25">
      <c r="A409" s="166" t="s">
        <v>389</v>
      </c>
      <c r="B409" s="166"/>
      <c r="C409" s="166"/>
      <c r="D409" s="166"/>
      <c r="E409" s="166"/>
      <c r="F409" s="180">
        <f>F407/F408</f>
        <v>0.2857142857142857</v>
      </c>
      <c r="G409" s="180"/>
      <c r="H409" s="180"/>
      <c r="I409" s="180"/>
      <c r="J409" s="29"/>
      <c r="K409" s="29"/>
      <c r="L409" s="29"/>
      <c r="M409" s="29"/>
      <c r="N409" s="29"/>
      <c r="O409" s="29"/>
      <c r="P409" s="29"/>
      <c r="Q409" s="29"/>
      <c r="R409" s="29"/>
      <c r="S409" s="29"/>
      <c r="T409" s="116"/>
      <c r="U409" s="116"/>
      <c r="V409" s="116"/>
      <c r="W409" s="105"/>
    </row>
    <row r="410" spans="1:23" s="101" customFormat="1" ht="20.100000000000001" customHeight="1" x14ac:dyDescent="0.25">
      <c r="A410" s="29"/>
      <c r="B410" s="29"/>
      <c r="C410" s="29"/>
      <c r="D410" s="29"/>
      <c r="E410" s="29"/>
      <c r="F410" s="29"/>
      <c r="G410" s="29"/>
      <c r="H410" s="29"/>
      <c r="I410" s="29"/>
      <c r="J410" s="29"/>
      <c r="K410" s="29"/>
      <c r="L410" s="29"/>
      <c r="M410" s="29"/>
      <c r="N410" s="29"/>
      <c r="O410" s="29"/>
      <c r="P410" s="29"/>
      <c r="Q410" s="29"/>
      <c r="R410" s="29"/>
      <c r="S410" s="29"/>
      <c r="T410" s="116"/>
      <c r="U410" s="116"/>
      <c r="V410" s="116"/>
      <c r="W410" s="105"/>
    </row>
    <row r="411" spans="1:23" s="106" customFormat="1" ht="20.100000000000001" customHeight="1" x14ac:dyDescent="0.25">
      <c r="A411" s="176" t="s">
        <v>426</v>
      </c>
      <c r="B411" s="176"/>
      <c r="C411" s="176"/>
      <c r="D411" s="176"/>
      <c r="E411" s="176"/>
      <c r="F411" s="176"/>
      <c r="G411" s="176"/>
      <c r="H411" s="176"/>
      <c r="I411" s="176"/>
      <c r="J411" s="176"/>
      <c r="K411" s="176"/>
      <c r="L411" s="176"/>
      <c r="M411" s="176"/>
      <c r="N411" s="176"/>
      <c r="O411" s="176"/>
      <c r="P411" s="176"/>
      <c r="Q411" s="176"/>
      <c r="R411" s="176"/>
      <c r="S411" s="176"/>
      <c r="T411" s="117"/>
      <c r="U411" s="117"/>
      <c r="V411" s="117"/>
      <c r="W411" s="118"/>
    </row>
    <row r="412" spans="1:23" s="106" customFormat="1" ht="20.100000000000001" customHeight="1" x14ac:dyDescent="0.25">
      <c r="A412" s="27"/>
      <c r="B412" s="27"/>
      <c r="C412" s="27"/>
      <c r="D412" s="27"/>
      <c r="E412" s="27"/>
      <c r="F412" s="27"/>
      <c r="G412" s="27"/>
      <c r="H412" s="27"/>
      <c r="I412" s="27"/>
      <c r="J412" s="27"/>
      <c r="K412" s="27"/>
      <c r="L412" s="27"/>
      <c r="M412" s="27"/>
      <c r="N412" s="27"/>
      <c r="O412" s="27"/>
      <c r="P412" s="27"/>
      <c r="Q412" s="27"/>
      <c r="R412" s="27"/>
      <c r="S412" s="27"/>
      <c r="T412" s="117"/>
      <c r="U412" s="117"/>
      <c r="V412" s="117"/>
      <c r="W412" s="118"/>
    </row>
    <row r="413" spans="1:23" s="106" customFormat="1" ht="20.100000000000001" customHeight="1" x14ac:dyDescent="0.25">
      <c r="A413" s="119" t="s">
        <v>427</v>
      </c>
      <c r="B413" s="119"/>
      <c r="C413" s="119"/>
      <c r="D413" s="119"/>
      <c r="E413" s="119"/>
      <c r="F413" s="119"/>
      <c r="G413" s="119"/>
      <c r="H413" s="119"/>
      <c r="I413" s="119"/>
      <c r="J413" s="119"/>
      <c r="K413" s="119"/>
      <c r="L413" s="119"/>
      <c r="M413" s="119"/>
      <c r="N413" s="119"/>
      <c r="O413" s="119"/>
      <c r="P413" s="119"/>
      <c r="Q413" s="119"/>
      <c r="R413" s="119"/>
      <c r="S413" s="119"/>
      <c r="T413" s="117"/>
      <c r="U413" s="117"/>
      <c r="V413" s="117"/>
      <c r="W413" s="118"/>
    </row>
    <row r="414" spans="1:23" s="106" customFormat="1" ht="20.100000000000001" customHeight="1" x14ac:dyDescent="0.25">
      <c r="A414" s="119"/>
      <c r="B414" s="119"/>
      <c r="C414" s="119"/>
      <c r="D414" s="119"/>
      <c r="E414" s="119"/>
      <c r="F414" s="119"/>
      <c r="G414" s="119"/>
      <c r="H414" s="119"/>
      <c r="I414" s="119"/>
      <c r="J414" s="119"/>
      <c r="K414" s="119"/>
      <c r="L414" s="119"/>
      <c r="M414" s="119"/>
      <c r="N414" s="119"/>
      <c r="O414" s="119"/>
      <c r="P414" s="119"/>
      <c r="Q414" s="119"/>
      <c r="R414" s="119"/>
      <c r="S414" s="119"/>
      <c r="T414" s="117"/>
      <c r="U414" s="117"/>
      <c r="V414" s="117"/>
      <c r="W414" s="118"/>
    </row>
    <row r="415" spans="1:23" s="106" customFormat="1" ht="20.100000000000001" customHeight="1" x14ac:dyDescent="0.25">
      <c r="A415" s="119"/>
      <c r="B415" s="119"/>
      <c r="C415" s="119"/>
      <c r="D415" s="119"/>
      <c r="E415" s="119"/>
      <c r="F415" s="119"/>
      <c r="G415" s="119"/>
      <c r="H415" s="119"/>
      <c r="I415" s="119"/>
      <c r="J415" s="119"/>
      <c r="K415" s="119"/>
      <c r="L415" s="119"/>
      <c r="M415" s="119"/>
      <c r="N415" s="119"/>
      <c r="O415" s="119"/>
      <c r="P415" s="119"/>
      <c r="Q415" s="119"/>
      <c r="R415" s="119"/>
      <c r="S415" s="119"/>
      <c r="T415" s="117"/>
      <c r="U415" s="117"/>
      <c r="V415" s="117"/>
      <c r="W415" s="118"/>
    </row>
    <row r="416" spans="1:23" s="106" customFormat="1" ht="20.100000000000001" customHeight="1" x14ac:dyDescent="0.2">
      <c r="A416" s="32"/>
      <c r="B416" s="33"/>
      <c r="C416" s="33"/>
      <c r="D416" s="33"/>
      <c r="E416" s="34"/>
      <c r="F416" s="33"/>
      <c r="G416" s="33"/>
      <c r="H416" s="33"/>
      <c r="I416" s="33"/>
      <c r="J416" s="33"/>
      <c r="K416" s="33"/>
      <c r="L416" s="33"/>
      <c r="M416" s="35"/>
      <c r="N416" s="27"/>
      <c r="O416" s="27"/>
      <c r="P416" s="27"/>
      <c r="Q416" s="27"/>
      <c r="R416" s="27"/>
      <c r="S416" s="27"/>
      <c r="T416" s="117"/>
      <c r="U416" s="117"/>
      <c r="V416" s="117"/>
      <c r="W416" s="118"/>
    </row>
    <row r="417" spans="1:23" s="106" customFormat="1" ht="20.100000000000001" customHeight="1" x14ac:dyDescent="0.25">
      <c r="A417" s="36"/>
      <c r="B417" s="27"/>
      <c r="C417" s="27"/>
      <c r="D417" s="27"/>
      <c r="E417" s="27"/>
      <c r="F417" s="27"/>
      <c r="G417" s="27"/>
      <c r="H417" s="27"/>
      <c r="I417" s="27"/>
      <c r="J417" s="27"/>
      <c r="K417" s="27"/>
      <c r="L417" s="27"/>
      <c r="M417" s="37"/>
      <c r="N417" s="27"/>
      <c r="O417" s="27"/>
      <c r="P417" s="27"/>
      <c r="Q417" s="27"/>
      <c r="R417" s="27"/>
      <c r="S417" s="27"/>
      <c r="T417" s="117"/>
      <c r="U417" s="117"/>
      <c r="V417" s="117"/>
      <c r="W417" s="118"/>
    </row>
    <row r="418" spans="1:23" s="106" customFormat="1" ht="20.100000000000001" customHeight="1" x14ac:dyDescent="0.25">
      <c r="A418" s="36"/>
      <c r="B418" s="27"/>
      <c r="C418" s="27"/>
      <c r="D418" s="27"/>
      <c r="E418" s="27"/>
      <c r="F418" s="27"/>
      <c r="G418" s="27"/>
      <c r="H418" s="27"/>
      <c r="I418" s="27"/>
      <c r="J418" s="27"/>
      <c r="K418" s="27"/>
      <c r="L418" s="27"/>
      <c r="M418" s="37"/>
      <c r="N418" s="27"/>
      <c r="O418" s="27"/>
      <c r="P418" s="27"/>
      <c r="Q418" s="27"/>
      <c r="R418" s="27"/>
      <c r="S418" s="27"/>
      <c r="T418" s="117"/>
      <c r="U418" s="117"/>
      <c r="V418" s="117"/>
      <c r="W418" s="118"/>
    </row>
    <row r="419" spans="1:23" s="106" customFormat="1" ht="20.100000000000001" customHeight="1" x14ac:dyDescent="0.25">
      <c r="A419" s="36"/>
      <c r="B419" s="27"/>
      <c r="C419" s="27"/>
      <c r="D419" s="27"/>
      <c r="E419" s="27"/>
      <c r="F419" s="27"/>
      <c r="G419" s="27"/>
      <c r="H419" s="27"/>
      <c r="I419" s="27"/>
      <c r="J419" s="27"/>
      <c r="K419" s="27"/>
      <c r="L419" s="27"/>
      <c r="M419" s="37"/>
      <c r="N419" s="27"/>
      <c r="O419" s="27"/>
      <c r="P419" s="27"/>
      <c r="Q419" s="27"/>
      <c r="R419" s="27"/>
      <c r="S419" s="27"/>
      <c r="T419" s="117"/>
      <c r="U419" s="117"/>
      <c r="V419" s="117"/>
      <c r="W419" s="118"/>
    </row>
    <row r="420" spans="1:23" s="106" customFormat="1" ht="20.100000000000001" customHeight="1" x14ac:dyDescent="0.25">
      <c r="A420" s="36"/>
      <c r="B420" s="27"/>
      <c r="C420" s="27"/>
      <c r="D420" s="27"/>
      <c r="E420" s="27"/>
      <c r="F420" s="27"/>
      <c r="G420" s="27"/>
      <c r="H420" s="27"/>
      <c r="I420" s="27"/>
      <c r="J420" s="27"/>
      <c r="K420" s="27"/>
      <c r="L420" s="27"/>
      <c r="M420" s="37"/>
      <c r="N420" s="27"/>
      <c r="O420" s="27"/>
      <c r="P420" s="27"/>
      <c r="Q420" s="27"/>
      <c r="R420" s="27"/>
      <c r="S420" s="27"/>
      <c r="T420" s="117"/>
      <c r="U420" s="117"/>
      <c r="V420" s="117"/>
      <c r="W420" s="118"/>
    </row>
    <row r="421" spans="1:23" s="106" customFormat="1" ht="20.100000000000001" customHeight="1" x14ac:dyDescent="0.25">
      <c r="A421" s="38"/>
      <c r="B421" s="39"/>
      <c r="C421" s="39"/>
      <c r="D421" s="39"/>
      <c r="E421" s="39"/>
      <c r="F421" s="39"/>
      <c r="G421" s="39"/>
      <c r="H421" s="150" t="s">
        <v>428</v>
      </c>
      <c r="I421" s="150"/>
      <c r="J421" s="150"/>
      <c r="K421" s="151">
        <f>((1/2)*((F407/F408+(F407^2/F408^2)))*100)</f>
        <v>18.367346938775508</v>
      </c>
      <c r="L421" s="151"/>
      <c r="M421" s="152"/>
      <c r="N421" s="27"/>
      <c r="O421" s="27"/>
      <c r="P421" s="27"/>
      <c r="Q421" s="27"/>
      <c r="R421" s="27"/>
      <c r="S421" s="27"/>
      <c r="T421" s="117"/>
      <c r="U421" s="117"/>
      <c r="V421" s="117"/>
      <c r="W421" s="118"/>
    </row>
    <row r="422" spans="1:23" s="106" customFormat="1" ht="20.100000000000001" customHeight="1" x14ac:dyDescent="0.25">
      <c r="A422" s="27"/>
      <c r="B422" s="27"/>
      <c r="C422" s="27"/>
      <c r="D422" s="27"/>
      <c r="E422" s="27"/>
      <c r="F422" s="27"/>
      <c r="G422" s="27"/>
      <c r="H422" s="27"/>
      <c r="I422" s="27"/>
      <c r="J422" s="27"/>
      <c r="K422" s="27"/>
      <c r="L422" s="27"/>
      <c r="M422" s="27"/>
      <c r="N422" s="27"/>
      <c r="O422" s="27"/>
      <c r="P422" s="27"/>
      <c r="Q422" s="27"/>
      <c r="R422" s="27"/>
      <c r="S422" s="27"/>
      <c r="T422" s="117"/>
      <c r="U422" s="117"/>
      <c r="V422" s="117"/>
      <c r="W422" s="118"/>
    </row>
    <row r="423" spans="1:23" s="106" customFormat="1" ht="20.100000000000001" customHeight="1" x14ac:dyDescent="0.25">
      <c r="A423" s="119" t="s">
        <v>429</v>
      </c>
      <c r="B423" s="119"/>
      <c r="C423" s="119"/>
      <c r="D423" s="119"/>
      <c r="E423" s="119"/>
      <c r="F423" s="119"/>
      <c r="G423" s="119"/>
      <c r="H423" s="119"/>
      <c r="I423" s="119"/>
      <c r="J423" s="119"/>
      <c r="K423" s="119"/>
      <c r="L423" s="119"/>
      <c r="M423" s="119"/>
      <c r="N423" s="119"/>
      <c r="O423" s="119"/>
      <c r="P423" s="119"/>
      <c r="Q423" s="119"/>
      <c r="R423" s="119"/>
      <c r="S423" s="119"/>
      <c r="T423" s="117"/>
      <c r="U423" s="117"/>
      <c r="V423" s="117"/>
      <c r="W423" s="118"/>
    </row>
    <row r="424" spans="1:23" s="106" customFormat="1" ht="20.100000000000001" customHeight="1" x14ac:dyDescent="0.25">
      <c r="A424" s="119"/>
      <c r="B424" s="119"/>
      <c r="C424" s="119"/>
      <c r="D424" s="119"/>
      <c r="E424" s="119"/>
      <c r="F424" s="119"/>
      <c r="G424" s="119"/>
      <c r="H424" s="119"/>
      <c r="I424" s="119"/>
      <c r="J424" s="119"/>
      <c r="K424" s="119"/>
      <c r="L424" s="119"/>
      <c r="M424" s="119"/>
      <c r="N424" s="119"/>
      <c r="O424" s="119"/>
      <c r="P424" s="119"/>
      <c r="Q424" s="119"/>
      <c r="R424" s="119"/>
      <c r="S424" s="119"/>
      <c r="T424" s="117"/>
      <c r="U424" s="117"/>
      <c r="V424" s="117"/>
      <c r="W424" s="118"/>
    </row>
    <row r="425" spans="1:23" s="106" customFormat="1" ht="20.100000000000001" customHeight="1" x14ac:dyDescent="0.25">
      <c r="A425" s="153"/>
      <c r="B425" s="153"/>
      <c r="C425" s="153"/>
      <c r="D425" s="153"/>
      <c r="E425" s="153"/>
      <c r="F425" s="153"/>
      <c r="G425" s="153"/>
      <c r="H425" s="153"/>
      <c r="I425" s="153"/>
      <c r="J425" s="153"/>
      <c r="K425" s="153"/>
      <c r="L425" s="153"/>
      <c r="M425" s="153"/>
      <c r="N425" s="153"/>
      <c r="O425" s="153"/>
      <c r="P425" s="153"/>
      <c r="Q425" s="153"/>
      <c r="R425" s="153"/>
      <c r="S425" s="153"/>
      <c r="T425" s="117"/>
      <c r="U425" s="117"/>
      <c r="V425" s="117"/>
      <c r="W425" s="118"/>
    </row>
    <row r="426" spans="1:23" s="106" customFormat="1" ht="39.950000000000003" customHeight="1" x14ac:dyDescent="0.25">
      <c r="A426" s="164" t="s">
        <v>17</v>
      </c>
      <c r="B426" s="165"/>
      <c r="C426" s="149" t="s">
        <v>430</v>
      </c>
      <c r="D426" s="149"/>
      <c r="E426" s="149"/>
      <c r="F426" s="149"/>
      <c r="G426" s="149"/>
      <c r="H426" s="149"/>
      <c r="I426" s="149"/>
      <c r="J426" s="149"/>
      <c r="K426" s="149"/>
      <c r="L426" s="149"/>
      <c r="M426" s="149"/>
      <c r="N426" s="149"/>
      <c r="O426" s="149"/>
      <c r="P426" s="149"/>
      <c r="Q426" s="149"/>
      <c r="R426" s="149" t="s">
        <v>431</v>
      </c>
      <c r="S426" s="149"/>
      <c r="T426" s="117"/>
      <c r="U426" s="117"/>
      <c r="V426" s="117"/>
      <c r="W426" s="118"/>
    </row>
    <row r="427" spans="1:23" s="106" customFormat="1" ht="20.100000000000001" customHeight="1" x14ac:dyDescent="0.25">
      <c r="A427" s="145">
        <v>1</v>
      </c>
      <c r="B427" s="146"/>
      <c r="C427" s="141" t="s">
        <v>432</v>
      </c>
      <c r="D427" s="141"/>
      <c r="E427" s="141"/>
      <c r="F427" s="141"/>
      <c r="G427" s="141"/>
      <c r="H427" s="141"/>
      <c r="I427" s="141"/>
      <c r="J427" s="141"/>
      <c r="K427" s="141"/>
      <c r="L427" s="141"/>
      <c r="M427" s="141"/>
      <c r="N427" s="141"/>
      <c r="O427" s="141"/>
      <c r="P427" s="141"/>
      <c r="Q427" s="141"/>
      <c r="R427" s="142">
        <v>0.04</v>
      </c>
      <c r="S427" s="142"/>
      <c r="T427" s="117"/>
      <c r="U427" s="117"/>
      <c r="V427" s="117"/>
      <c r="W427" s="118"/>
    </row>
    <row r="428" spans="1:23" s="106" customFormat="1" ht="20.100000000000001" customHeight="1" x14ac:dyDescent="0.25">
      <c r="A428" s="147"/>
      <c r="B428" s="148"/>
      <c r="C428" s="141"/>
      <c r="D428" s="141"/>
      <c r="E428" s="141"/>
      <c r="F428" s="141"/>
      <c r="G428" s="141"/>
      <c r="H428" s="141"/>
      <c r="I428" s="141"/>
      <c r="J428" s="141"/>
      <c r="K428" s="141"/>
      <c r="L428" s="141"/>
      <c r="M428" s="141"/>
      <c r="N428" s="141"/>
      <c r="O428" s="141"/>
      <c r="P428" s="141"/>
      <c r="Q428" s="141"/>
      <c r="R428" s="142"/>
      <c r="S428" s="142"/>
      <c r="T428" s="117"/>
      <c r="U428" s="117"/>
      <c r="V428" s="117"/>
      <c r="W428" s="118"/>
    </row>
    <row r="429" spans="1:23" s="106" customFormat="1" ht="20.100000000000001" customHeight="1" x14ac:dyDescent="0.25">
      <c r="A429" s="143">
        <v>2</v>
      </c>
      <c r="B429" s="144"/>
      <c r="C429" s="141" t="s">
        <v>433</v>
      </c>
      <c r="D429" s="141"/>
      <c r="E429" s="141"/>
      <c r="F429" s="141"/>
      <c r="G429" s="141"/>
      <c r="H429" s="141"/>
      <c r="I429" s="141"/>
      <c r="J429" s="141"/>
      <c r="K429" s="141"/>
      <c r="L429" s="141"/>
      <c r="M429" s="141"/>
      <c r="N429" s="141"/>
      <c r="O429" s="141"/>
      <c r="P429" s="141"/>
      <c r="Q429" s="141"/>
      <c r="R429" s="142">
        <v>7.0000000000000001E-3</v>
      </c>
      <c r="S429" s="142"/>
      <c r="T429" s="117"/>
      <c r="U429" s="117"/>
      <c r="V429" s="117"/>
      <c r="W429" s="118"/>
    </row>
    <row r="430" spans="1:23" s="106" customFormat="1" ht="20.100000000000001" customHeight="1" x14ac:dyDescent="0.25">
      <c r="A430" s="143">
        <v>3</v>
      </c>
      <c r="B430" s="144"/>
      <c r="C430" s="141" t="s">
        <v>434</v>
      </c>
      <c r="D430" s="141"/>
      <c r="E430" s="141"/>
      <c r="F430" s="141"/>
      <c r="G430" s="141"/>
      <c r="H430" s="141"/>
      <c r="I430" s="141"/>
      <c r="J430" s="141"/>
      <c r="K430" s="141"/>
      <c r="L430" s="141"/>
      <c r="M430" s="141"/>
      <c r="N430" s="141"/>
      <c r="O430" s="141"/>
      <c r="P430" s="141"/>
      <c r="Q430" s="141"/>
      <c r="R430" s="142">
        <v>0.15</v>
      </c>
      <c r="S430" s="142"/>
      <c r="T430" s="117"/>
      <c r="U430" s="117"/>
      <c r="V430" s="117"/>
      <c r="W430" s="118"/>
    </row>
    <row r="431" spans="1:23" s="106" customFormat="1" ht="20.100000000000001" customHeight="1" x14ac:dyDescent="0.25">
      <c r="A431" s="143">
        <v>4</v>
      </c>
      <c r="B431" s="144"/>
      <c r="C431" s="141" t="s">
        <v>435</v>
      </c>
      <c r="D431" s="141"/>
      <c r="E431" s="141"/>
      <c r="F431" s="141"/>
      <c r="G431" s="141"/>
      <c r="H431" s="141"/>
      <c r="I431" s="141"/>
      <c r="J431" s="141"/>
      <c r="K431" s="141"/>
      <c r="L431" s="141"/>
      <c r="M431" s="141"/>
      <c r="N431" s="141"/>
      <c r="O431" s="141"/>
      <c r="P431" s="141"/>
      <c r="Q431" s="141"/>
      <c r="R431" s="142">
        <v>0.1</v>
      </c>
      <c r="S431" s="142"/>
      <c r="T431" s="117"/>
      <c r="U431" s="117"/>
      <c r="V431" s="117"/>
      <c r="W431" s="118"/>
    </row>
    <row r="432" spans="1:23" s="106" customFormat="1" ht="20.100000000000001" customHeight="1" x14ac:dyDescent="0.25">
      <c r="A432" s="143">
        <v>5</v>
      </c>
      <c r="B432" s="144"/>
      <c r="C432" s="141" t="s">
        <v>436</v>
      </c>
      <c r="D432" s="141"/>
      <c r="E432" s="141"/>
      <c r="F432" s="141"/>
      <c r="G432" s="141"/>
      <c r="H432" s="141"/>
      <c r="I432" s="141"/>
      <c r="J432" s="141"/>
      <c r="K432" s="141"/>
      <c r="L432" s="141"/>
      <c r="M432" s="141"/>
      <c r="N432" s="141"/>
      <c r="O432" s="141"/>
      <c r="P432" s="141"/>
      <c r="Q432" s="141"/>
      <c r="R432" s="142">
        <v>7.4999999999999997E-2</v>
      </c>
      <c r="S432" s="142"/>
      <c r="T432" s="117"/>
      <c r="U432" s="117"/>
      <c r="V432" s="117"/>
      <c r="W432" s="118"/>
    </row>
    <row r="433" spans="1:23" s="106" customFormat="1" ht="20.100000000000001" customHeight="1" x14ac:dyDescent="0.25">
      <c r="A433" s="143">
        <v>6</v>
      </c>
      <c r="B433" s="144"/>
      <c r="C433" s="141" t="s">
        <v>437</v>
      </c>
      <c r="D433" s="141"/>
      <c r="E433" s="141"/>
      <c r="F433" s="141"/>
      <c r="G433" s="141"/>
      <c r="H433" s="141"/>
      <c r="I433" s="141"/>
      <c r="J433" s="141"/>
      <c r="K433" s="141"/>
      <c r="L433" s="141"/>
      <c r="M433" s="141"/>
      <c r="N433" s="141"/>
      <c r="O433" s="141"/>
      <c r="P433" s="141"/>
      <c r="Q433" s="141"/>
      <c r="R433" s="142">
        <v>0.04</v>
      </c>
      <c r="S433" s="142"/>
      <c r="T433" s="117"/>
      <c r="U433" s="117"/>
      <c r="V433" s="117"/>
      <c r="W433" s="118"/>
    </row>
    <row r="434" spans="1:23" s="106" customFormat="1" ht="20.100000000000001" customHeight="1" x14ac:dyDescent="0.25">
      <c r="A434" s="143">
        <v>7</v>
      </c>
      <c r="B434" s="144"/>
      <c r="C434" s="141" t="s">
        <v>438</v>
      </c>
      <c r="D434" s="141"/>
      <c r="E434" s="141"/>
      <c r="F434" s="141"/>
      <c r="G434" s="141"/>
      <c r="H434" s="141"/>
      <c r="I434" s="141"/>
      <c r="J434" s="141"/>
      <c r="K434" s="141"/>
      <c r="L434" s="141"/>
      <c r="M434" s="141"/>
      <c r="N434" s="141"/>
      <c r="O434" s="141"/>
      <c r="P434" s="141"/>
      <c r="Q434" s="141"/>
      <c r="R434" s="142">
        <v>0.12</v>
      </c>
      <c r="S434" s="142"/>
      <c r="T434" s="117"/>
      <c r="U434" s="117"/>
      <c r="V434" s="117"/>
      <c r="W434" s="118"/>
    </row>
    <row r="435" spans="1:23" s="106" customFormat="1" ht="20.100000000000001" customHeight="1" x14ac:dyDescent="0.25">
      <c r="A435" s="145">
        <v>8</v>
      </c>
      <c r="B435" s="146"/>
      <c r="C435" s="141" t="s">
        <v>439</v>
      </c>
      <c r="D435" s="141"/>
      <c r="E435" s="141"/>
      <c r="F435" s="141"/>
      <c r="G435" s="141"/>
      <c r="H435" s="141"/>
      <c r="I435" s="141"/>
      <c r="J435" s="141"/>
      <c r="K435" s="141"/>
      <c r="L435" s="141"/>
      <c r="M435" s="141"/>
      <c r="N435" s="141"/>
      <c r="O435" s="141"/>
      <c r="P435" s="141"/>
      <c r="Q435" s="141"/>
      <c r="R435" s="142">
        <v>0.08</v>
      </c>
      <c r="S435" s="142"/>
      <c r="T435" s="117"/>
      <c r="U435" s="117"/>
      <c r="V435" s="117"/>
      <c r="W435" s="118"/>
    </row>
    <row r="436" spans="1:23" s="106" customFormat="1" ht="20.100000000000001" customHeight="1" x14ac:dyDescent="0.25">
      <c r="A436" s="147"/>
      <c r="B436" s="148"/>
      <c r="C436" s="141"/>
      <c r="D436" s="141"/>
      <c r="E436" s="141"/>
      <c r="F436" s="141"/>
      <c r="G436" s="141"/>
      <c r="H436" s="141"/>
      <c r="I436" s="141"/>
      <c r="J436" s="141"/>
      <c r="K436" s="141"/>
      <c r="L436" s="141"/>
      <c r="M436" s="141"/>
      <c r="N436" s="141"/>
      <c r="O436" s="141"/>
      <c r="P436" s="141"/>
      <c r="Q436" s="141"/>
      <c r="R436" s="142"/>
      <c r="S436" s="142"/>
      <c r="T436" s="117"/>
      <c r="U436" s="117"/>
      <c r="V436" s="117"/>
      <c r="W436" s="118"/>
    </row>
    <row r="437" spans="1:23" s="106" customFormat="1" ht="20.100000000000001" customHeight="1" x14ac:dyDescent="0.25">
      <c r="A437" s="143">
        <v>9</v>
      </c>
      <c r="B437" s="144"/>
      <c r="C437" s="141" t="s">
        <v>440</v>
      </c>
      <c r="D437" s="141"/>
      <c r="E437" s="141"/>
      <c r="F437" s="141"/>
      <c r="G437" s="141"/>
      <c r="H437" s="141"/>
      <c r="I437" s="141"/>
      <c r="J437" s="141"/>
      <c r="K437" s="141"/>
      <c r="L437" s="141"/>
      <c r="M437" s="141"/>
      <c r="N437" s="141"/>
      <c r="O437" s="141"/>
      <c r="P437" s="141"/>
      <c r="Q437" s="141"/>
      <c r="R437" s="142">
        <v>7.0000000000000007E-2</v>
      </c>
      <c r="S437" s="142"/>
      <c r="T437" s="117"/>
      <c r="U437" s="117"/>
      <c r="V437" s="117"/>
      <c r="W437" s="118"/>
    </row>
    <row r="438" spans="1:23" s="106" customFormat="1" ht="20.100000000000001" customHeight="1" x14ac:dyDescent="0.25">
      <c r="A438" s="143">
        <v>10</v>
      </c>
      <c r="B438" s="144"/>
      <c r="C438" s="141" t="s">
        <v>441</v>
      </c>
      <c r="D438" s="141"/>
      <c r="E438" s="141"/>
      <c r="F438" s="141"/>
      <c r="G438" s="141"/>
      <c r="H438" s="141"/>
      <c r="I438" s="141"/>
      <c r="J438" s="141"/>
      <c r="K438" s="141"/>
      <c r="L438" s="141"/>
      <c r="M438" s="141"/>
      <c r="N438" s="141"/>
      <c r="O438" s="141"/>
      <c r="P438" s="141"/>
      <c r="Q438" s="141"/>
      <c r="R438" s="142">
        <v>0.03</v>
      </c>
      <c r="S438" s="142"/>
      <c r="T438" s="117"/>
      <c r="U438" s="117"/>
      <c r="V438" s="117"/>
      <c r="W438" s="118"/>
    </row>
    <row r="439" spans="1:23" s="106" customFormat="1" ht="20.100000000000001" customHeight="1" x14ac:dyDescent="0.25">
      <c r="A439" s="143">
        <v>11</v>
      </c>
      <c r="B439" s="144"/>
      <c r="C439" s="141" t="s">
        <v>442</v>
      </c>
      <c r="D439" s="141"/>
      <c r="E439" s="141"/>
      <c r="F439" s="141"/>
      <c r="G439" s="141"/>
      <c r="H439" s="141"/>
      <c r="I439" s="141"/>
      <c r="J439" s="141"/>
      <c r="K439" s="141"/>
      <c r="L439" s="141"/>
      <c r="M439" s="141"/>
      <c r="N439" s="141"/>
      <c r="O439" s="141"/>
      <c r="P439" s="141"/>
      <c r="Q439" s="141"/>
      <c r="R439" s="142">
        <v>4.4999999999999998E-2</v>
      </c>
      <c r="S439" s="142"/>
      <c r="T439" s="117"/>
      <c r="U439" s="117"/>
      <c r="V439" s="117"/>
      <c r="W439" s="118"/>
    </row>
    <row r="440" spans="1:23" s="106" customFormat="1" ht="20.100000000000001" customHeight="1" x14ac:dyDescent="0.25">
      <c r="A440" s="143">
        <v>12</v>
      </c>
      <c r="B440" s="144"/>
      <c r="C440" s="141" t="s">
        <v>443</v>
      </c>
      <c r="D440" s="141"/>
      <c r="E440" s="141"/>
      <c r="F440" s="141"/>
      <c r="G440" s="141"/>
      <c r="H440" s="141"/>
      <c r="I440" s="141"/>
      <c r="J440" s="141"/>
      <c r="K440" s="141"/>
      <c r="L440" s="141"/>
      <c r="M440" s="141"/>
      <c r="N440" s="141"/>
      <c r="O440" s="141"/>
      <c r="P440" s="141"/>
      <c r="Q440" s="141"/>
      <c r="R440" s="142">
        <v>0.01</v>
      </c>
      <c r="S440" s="142"/>
      <c r="T440" s="117"/>
      <c r="U440" s="117"/>
      <c r="V440" s="117"/>
      <c r="W440" s="118"/>
    </row>
    <row r="441" spans="1:23" s="106" customFormat="1" ht="20.100000000000001" customHeight="1" x14ac:dyDescent="0.25">
      <c r="A441" s="143">
        <v>13</v>
      </c>
      <c r="B441" s="144"/>
      <c r="C441" s="141" t="s">
        <v>444</v>
      </c>
      <c r="D441" s="141"/>
      <c r="E441" s="141"/>
      <c r="F441" s="141"/>
      <c r="G441" s="141"/>
      <c r="H441" s="141"/>
      <c r="I441" s="141"/>
      <c r="J441" s="141"/>
      <c r="K441" s="141"/>
      <c r="L441" s="141"/>
      <c r="M441" s="141"/>
      <c r="N441" s="141"/>
      <c r="O441" s="141"/>
      <c r="P441" s="141"/>
      <c r="Q441" s="141"/>
      <c r="R441" s="142">
        <v>7.0000000000000007E-2</v>
      </c>
      <c r="S441" s="142"/>
      <c r="T441" s="117"/>
      <c r="U441" s="117"/>
      <c r="V441" s="117"/>
      <c r="W441" s="118"/>
    </row>
    <row r="442" spans="1:23" s="106" customFormat="1" ht="20.100000000000001" customHeight="1" x14ac:dyDescent="0.25">
      <c r="A442" s="143">
        <v>14</v>
      </c>
      <c r="B442" s="144"/>
      <c r="C442" s="141" t="s">
        <v>445</v>
      </c>
      <c r="D442" s="141"/>
      <c r="E442" s="141"/>
      <c r="F442" s="141"/>
      <c r="G442" s="141"/>
      <c r="H442" s="141"/>
      <c r="I442" s="141"/>
      <c r="J442" s="141"/>
      <c r="K442" s="141"/>
      <c r="L442" s="141"/>
      <c r="M442" s="141"/>
      <c r="N442" s="141"/>
      <c r="O442" s="141"/>
      <c r="P442" s="141"/>
      <c r="Q442" s="141"/>
      <c r="R442" s="142">
        <v>1.4999999999999999E-2</v>
      </c>
      <c r="S442" s="142"/>
      <c r="T442" s="117"/>
      <c r="U442" s="117"/>
      <c r="V442" s="117"/>
      <c r="W442" s="118"/>
    </row>
    <row r="443" spans="1:23" s="106" customFormat="1" ht="20.100000000000001" customHeight="1" x14ac:dyDescent="0.25">
      <c r="A443" s="143">
        <v>15</v>
      </c>
      <c r="B443" s="144"/>
      <c r="C443" s="141" t="s">
        <v>446</v>
      </c>
      <c r="D443" s="141"/>
      <c r="E443" s="141"/>
      <c r="F443" s="141"/>
      <c r="G443" s="141"/>
      <c r="H443" s="141"/>
      <c r="I443" s="141"/>
      <c r="J443" s="141"/>
      <c r="K443" s="141"/>
      <c r="L443" s="141"/>
      <c r="M443" s="141"/>
      <c r="N443" s="141"/>
      <c r="O443" s="141"/>
      <c r="P443" s="141"/>
      <c r="Q443" s="141"/>
      <c r="R443" s="142">
        <v>3.3000000000000002E-2</v>
      </c>
      <c r="S443" s="142"/>
      <c r="T443" s="117"/>
      <c r="U443" s="117"/>
      <c r="V443" s="117"/>
      <c r="W443" s="118"/>
    </row>
    <row r="444" spans="1:23" s="106" customFormat="1" ht="20.100000000000001" customHeight="1" x14ac:dyDescent="0.25">
      <c r="A444" s="143">
        <v>16</v>
      </c>
      <c r="B444" s="144"/>
      <c r="C444" s="141" t="s">
        <v>447</v>
      </c>
      <c r="D444" s="141"/>
      <c r="E444" s="141"/>
      <c r="F444" s="141"/>
      <c r="G444" s="141"/>
      <c r="H444" s="141"/>
      <c r="I444" s="141"/>
      <c r="J444" s="141"/>
      <c r="K444" s="141"/>
      <c r="L444" s="141"/>
      <c r="M444" s="141"/>
      <c r="N444" s="141"/>
      <c r="O444" s="141"/>
      <c r="P444" s="141"/>
      <c r="Q444" s="141"/>
      <c r="R444" s="142">
        <v>1.7000000000000001E-2</v>
      </c>
      <c r="S444" s="142"/>
      <c r="T444" s="117"/>
      <c r="U444" s="117"/>
      <c r="V444" s="117"/>
      <c r="W444" s="118"/>
    </row>
    <row r="445" spans="1:23" s="106" customFormat="1" ht="20.100000000000001" customHeight="1" x14ac:dyDescent="0.25">
      <c r="A445" s="143">
        <v>17</v>
      </c>
      <c r="B445" s="144"/>
      <c r="C445" s="141" t="s">
        <v>448</v>
      </c>
      <c r="D445" s="141"/>
      <c r="E445" s="141"/>
      <c r="F445" s="141"/>
      <c r="G445" s="141"/>
      <c r="H445" s="141"/>
      <c r="I445" s="141"/>
      <c r="J445" s="141"/>
      <c r="K445" s="141"/>
      <c r="L445" s="141"/>
      <c r="M445" s="141"/>
      <c r="N445" s="141"/>
      <c r="O445" s="141"/>
      <c r="P445" s="141"/>
      <c r="Q445" s="141"/>
      <c r="R445" s="142">
        <v>1.4999999999999999E-2</v>
      </c>
      <c r="S445" s="142"/>
      <c r="T445" s="117"/>
      <c r="U445" s="117"/>
      <c r="V445" s="117"/>
      <c r="W445" s="118"/>
    </row>
    <row r="446" spans="1:23" s="106" customFormat="1" ht="20.100000000000001" customHeight="1" x14ac:dyDescent="0.25">
      <c r="A446" s="143">
        <v>18</v>
      </c>
      <c r="B446" s="144"/>
      <c r="C446" s="141" t="s">
        <v>449</v>
      </c>
      <c r="D446" s="141"/>
      <c r="E446" s="141"/>
      <c r="F446" s="141"/>
      <c r="G446" s="141"/>
      <c r="H446" s="141"/>
      <c r="I446" s="141"/>
      <c r="J446" s="141"/>
      <c r="K446" s="141"/>
      <c r="L446" s="141"/>
      <c r="M446" s="141"/>
      <c r="N446" s="141"/>
      <c r="O446" s="141"/>
      <c r="P446" s="141"/>
      <c r="Q446" s="141"/>
      <c r="R446" s="142">
        <v>3.5000000000000003E-2</v>
      </c>
      <c r="S446" s="142"/>
      <c r="T446" s="117"/>
      <c r="U446" s="117"/>
      <c r="V446" s="117"/>
      <c r="W446" s="118"/>
    </row>
    <row r="447" spans="1:23" s="106" customFormat="1" ht="20.100000000000001" customHeight="1" x14ac:dyDescent="0.25">
      <c r="A447" s="143">
        <v>19</v>
      </c>
      <c r="B447" s="144"/>
      <c r="C447" s="141" t="s">
        <v>450</v>
      </c>
      <c r="D447" s="141"/>
      <c r="E447" s="141"/>
      <c r="F447" s="141"/>
      <c r="G447" s="141"/>
      <c r="H447" s="141"/>
      <c r="I447" s="141"/>
      <c r="J447" s="141"/>
      <c r="K447" s="141"/>
      <c r="L447" s="141"/>
      <c r="M447" s="141"/>
      <c r="N447" s="141"/>
      <c r="O447" s="141"/>
      <c r="P447" s="141"/>
      <c r="Q447" s="141"/>
      <c r="R447" s="142">
        <v>0.01</v>
      </c>
      <c r="S447" s="142"/>
      <c r="T447" s="117"/>
      <c r="U447" s="117"/>
      <c r="V447" s="117"/>
      <c r="W447" s="118"/>
    </row>
    <row r="448" spans="1:23" s="106" customFormat="1" ht="20.100000000000001" customHeight="1" x14ac:dyDescent="0.25">
      <c r="A448" s="145">
        <v>20</v>
      </c>
      <c r="B448" s="146"/>
      <c r="C448" s="141" t="s">
        <v>451</v>
      </c>
      <c r="D448" s="141"/>
      <c r="E448" s="141"/>
      <c r="F448" s="141"/>
      <c r="G448" s="141"/>
      <c r="H448" s="141"/>
      <c r="I448" s="141"/>
      <c r="J448" s="141"/>
      <c r="K448" s="141"/>
      <c r="L448" s="141"/>
      <c r="M448" s="141"/>
      <c r="N448" s="141"/>
      <c r="O448" s="141"/>
      <c r="P448" s="141"/>
      <c r="Q448" s="141"/>
      <c r="R448" s="142">
        <v>2.5000000000000001E-2</v>
      </c>
      <c r="S448" s="142"/>
      <c r="T448" s="117"/>
      <c r="U448" s="117"/>
      <c r="V448" s="117"/>
      <c r="W448" s="118"/>
    </row>
    <row r="449" spans="1:23" s="106" customFormat="1" ht="20.100000000000001" customHeight="1" x14ac:dyDescent="0.25">
      <c r="A449" s="147"/>
      <c r="B449" s="148"/>
      <c r="C449" s="141"/>
      <c r="D449" s="141"/>
      <c r="E449" s="141"/>
      <c r="F449" s="141"/>
      <c r="G449" s="141"/>
      <c r="H449" s="141"/>
      <c r="I449" s="141"/>
      <c r="J449" s="141"/>
      <c r="K449" s="141"/>
      <c r="L449" s="141"/>
      <c r="M449" s="141"/>
      <c r="N449" s="141"/>
      <c r="O449" s="141"/>
      <c r="P449" s="141"/>
      <c r="Q449" s="141"/>
      <c r="R449" s="142"/>
      <c r="S449" s="142"/>
      <c r="T449" s="117"/>
      <c r="U449" s="117"/>
      <c r="V449" s="117"/>
      <c r="W449" s="118"/>
    </row>
    <row r="450" spans="1:23" s="106" customFormat="1" ht="20.100000000000001" customHeight="1" x14ac:dyDescent="0.25">
      <c r="A450" s="143">
        <v>21</v>
      </c>
      <c r="B450" s="144"/>
      <c r="C450" s="141" t="s">
        <v>452</v>
      </c>
      <c r="D450" s="141"/>
      <c r="E450" s="141"/>
      <c r="F450" s="141"/>
      <c r="G450" s="141"/>
      <c r="H450" s="141"/>
      <c r="I450" s="141"/>
      <c r="J450" s="141"/>
      <c r="K450" s="141"/>
      <c r="L450" s="141"/>
      <c r="M450" s="141"/>
      <c r="N450" s="141"/>
      <c r="O450" s="141"/>
      <c r="P450" s="141"/>
      <c r="Q450" s="141"/>
      <c r="R450" s="142">
        <v>1.2999999999999999E-2</v>
      </c>
      <c r="S450" s="142"/>
      <c r="T450" s="117"/>
      <c r="U450" s="117"/>
      <c r="V450" s="117"/>
      <c r="W450" s="118"/>
    </row>
    <row r="451" spans="1:23" s="106" customFormat="1" ht="20.100000000000001" customHeight="1" x14ac:dyDescent="0.25">
      <c r="A451" s="27"/>
      <c r="B451" s="27"/>
      <c r="C451" s="27"/>
      <c r="D451" s="27"/>
      <c r="E451" s="27"/>
      <c r="F451" s="27"/>
      <c r="G451" s="27"/>
      <c r="H451" s="27"/>
      <c r="I451" s="27"/>
      <c r="J451" s="27"/>
      <c r="K451" s="27"/>
      <c r="L451" s="27"/>
      <c r="M451" s="27"/>
      <c r="N451" s="27"/>
      <c r="O451" s="27"/>
      <c r="P451" s="27"/>
      <c r="Q451" s="27"/>
      <c r="R451" s="27"/>
      <c r="S451" s="27"/>
      <c r="T451" s="117"/>
      <c r="U451" s="117"/>
      <c r="V451" s="117"/>
      <c r="W451" s="118"/>
    </row>
    <row r="452" spans="1:23" s="106" customFormat="1" ht="20.100000000000001" customHeight="1" x14ac:dyDescent="0.2">
      <c r="A452" s="27"/>
      <c r="B452" s="27"/>
      <c r="C452" s="27"/>
      <c r="D452" s="3"/>
      <c r="E452" s="3"/>
      <c r="F452" s="3"/>
      <c r="G452" s="3"/>
      <c r="H452" s="3"/>
      <c r="I452" s="3"/>
      <c r="J452" s="3"/>
      <c r="K452" s="3"/>
      <c r="L452" s="3"/>
      <c r="M452" s="3"/>
      <c r="N452" s="3"/>
      <c r="O452" s="3"/>
      <c r="P452" s="3"/>
      <c r="Q452" s="3"/>
      <c r="R452" s="3"/>
      <c r="S452" s="3"/>
      <c r="T452" s="117"/>
      <c r="U452" s="117"/>
      <c r="V452" s="117"/>
      <c r="W452" s="118"/>
    </row>
    <row r="453" spans="1:23" s="106" customFormat="1" ht="39.950000000000003" customHeight="1" x14ac:dyDescent="0.25">
      <c r="A453" s="164" t="s">
        <v>17</v>
      </c>
      <c r="B453" s="165"/>
      <c r="C453" s="149" t="s">
        <v>431</v>
      </c>
      <c r="D453" s="149"/>
      <c r="E453" s="149" t="s">
        <v>303</v>
      </c>
      <c r="F453" s="149"/>
      <c r="G453" s="149" t="s">
        <v>88</v>
      </c>
      <c r="H453" s="149"/>
      <c r="I453" s="149"/>
      <c r="J453" s="149"/>
      <c r="K453" s="149"/>
      <c r="L453" s="149"/>
      <c r="M453" s="149"/>
      <c r="N453" s="149" t="s">
        <v>453</v>
      </c>
      <c r="O453" s="149"/>
      <c r="P453" s="149"/>
      <c r="Q453" s="149" t="s">
        <v>454</v>
      </c>
      <c r="R453" s="149"/>
      <c r="S453" s="149"/>
      <c r="T453" s="117"/>
      <c r="U453" s="117"/>
      <c r="V453" s="117"/>
      <c r="W453" s="118"/>
    </row>
    <row r="454" spans="1:23" s="106" customFormat="1" ht="20.100000000000001" customHeight="1" x14ac:dyDescent="0.2">
      <c r="A454" s="162">
        <v>1</v>
      </c>
      <c r="B454" s="163"/>
      <c r="C454" s="127">
        <v>0.04</v>
      </c>
      <c r="D454" s="127"/>
      <c r="E454" s="128" t="s">
        <v>307</v>
      </c>
      <c r="F454" s="128"/>
      <c r="G454" s="129" t="str">
        <f>VLOOKUP(E454,$U$456:$W$464,3,0)</f>
        <v>Novo</v>
      </c>
      <c r="H454" s="129"/>
      <c r="I454" s="129"/>
      <c r="J454" s="129"/>
      <c r="K454" s="129"/>
      <c r="L454" s="129"/>
      <c r="M454" s="129"/>
      <c r="N454" s="130">
        <f>VLOOKUP(E454,$U$456:$W$464,2,0)</f>
        <v>0</v>
      </c>
      <c r="O454" s="130"/>
      <c r="P454" s="130"/>
      <c r="Q454" s="131">
        <f t="shared" ref="Q454:Q474" si="55">C454*N454</f>
        <v>0</v>
      </c>
      <c r="R454" s="131"/>
      <c r="S454" s="131"/>
      <c r="T454" s="117"/>
      <c r="U454" s="117"/>
      <c r="V454" s="117"/>
      <c r="W454" s="118"/>
    </row>
    <row r="455" spans="1:23" s="106" customFormat="1" ht="20.100000000000001" customHeight="1" x14ac:dyDescent="0.2">
      <c r="A455" s="162">
        <v>2</v>
      </c>
      <c r="B455" s="163"/>
      <c r="C455" s="127">
        <v>7.0000000000000001E-3</v>
      </c>
      <c r="D455" s="127"/>
      <c r="E455" s="128" t="s">
        <v>307</v>
      </c>
      <c r="F455" s="128"/>
      <c r="G455" s="129" t="str">
        <f t="shared" ref="G455:G474" si="56">VLOOKUP(E455,$U$456:$W$464,3,0)</f>
        <v>Novo</v>
      </c>
      <c r="H455" s="129"/>
      <c r="I455" s="129"/>
      <c r="J455" s="129"/>
      <c r="K455" s="129"/>
      <c r="L455" s="129"/>
      <c r="M455" s="129"/>
      <c r="N455" s="130">
        <f t="shared" ref="N455:N474" si="57">VLOOKUP(E455,$U$456:$W$464,2,0)</f>
        <v>0</v>
      </c>
      <c r="O455" s="130"/>
      <c r="P455" s="130"/>
      <c r="Q455" s="131">
        <f t="shared" si="55"/>
        <v>0</v>
      </c>
      <c r="R455" s="131"/>
      <c r="S455" s="131"/>
      <c r="T455" s="117"/>
      <c r="U455" s="118"/>
      <c r="V455" s="118"/>
      <c r="W455" s="118"/>
    </row>
    <row r="456" spans="1:23" s="106" customFormat="1" ht="20.100000000000001" customHeight="1" x14ac:dyDescent="0.2">
      <c r="A456" s="162">
        <v>3</v>
      </c>
      <c r="B456" s="163"/>
      <c r="C456" s="127">
        <v>0.15</v>
      </c>
      <c r="D456" s="127"/>
      <c r="E456" s="128" t="s">
        <v>307</v>
      </c>
      <c r="F456" s="128"/>
      <c r="G456" s="129" t="str">
        <f t="shared" si="56"/>
        <v>Novo</v>
      </c>
      <c r="H456" s="129"/>
      <c r="I456" s="129"/>
      <c r="J456" s="129"/>
      <c r="K456" s="129"/>
      <c r="L456" s="129"/>
      <c r="M456" s="129"/>
      <c r="N456" s="130">
        <f t="shared" si="57"/>
        <v>0</v>
      </c>
      <c r="O456" s="130"/>
      <c r="P456" s="130"/>
      <c r="Q456" s="131">
        <f t="shared" si="55"/>
        <v>0</v>
      </c>
      <c r="R456" s="131"/>
      <c r="S456" s="131"/>
      <c r="T456" s="117"/>
      <c r="U456" s="118" t="s">
        <v>307</v>
      </c>
      <c r="V456" s="118">
        <v>0</v>
      </c>
      <c r="W456" s="118" t="s">
        <v>262</v>
      </c>
    </row>
    <row r="457" spans="1:23" s="106" customFormat="1" ht="20.100000000000001" customHeight="1" x14ac:dyDescent="0.2">
      <c r="A457" s="162">
        <v>4</v>
      </c>
      <c r="B457" s="163"/>
      <c r="C457" s="127">
        <v>0.1</v>
      </c>
      <c r="D457" s="127"/>
      <c r="E457" s="128" t="s">
        <v>307</v>
      </c>
      <c r="F457" s="128"/>
      <c r="G457" s="129" t="str">
        <f t="shared" si="56"/>
        <v>Novo</v>
      </c>
      <c r="H457" s="129"/>
      <c r="I457" s="129"/>
      <c r="J457" s="129"/>
      <c r="K457" s="129"/>
      <c r="L457" s="129"/>
      <c r="M457" s="129"/>
      <c r="N457" s="130">
        <f t="shared" si="57"/>
        <v>0</v>
      </c>
      <c r="O457" s="130"/>
      <c r="P457" s="130"/>
      <c r="Q457" s="131">
        <f t="shared" si="55"/>
        <v>0</v>
      </c>
      <c r="R457" s="131"/>
      <c r="S457" s="131"/>
      <c r="T457" s="117"/>
      <c r="U457" s="118" t="s">
        <v>309</v>
      </c>
      <c r="V457" s="118">
        <v>0.32</v>
      </c>
      <c r="W457" s="118" t="s">
        <v>310</v>
      </c>
    </row>
    <row r="458" spans="1:23" s="106" customFormat="1" ht="20.100000000000001" customHeight="1" x14ac:dyDescent="0.2">
      <c r="A458" s="162">
        <v>5</v>
      </c>
      <c r="B458" s="163"/>
      <c r="C458" s="127">
        <v>7.4999999999999997E-2</v>
      </c>
      <c r="D458" s="127"/>
      <c r="E458" s="128" t="s">
        <v>307</v>
      </c>
      <c r="F458" s="128"/>
      <c r="G458" s="129" t="str">
        <f t="shared" si="56"/>
        <v>Novo</v>
      </c>
      <c r="H458" s="129"/>
      <c r="I458" s="129"/>
      <c r="J458" s="129"/>
      <c r="K458" s="129"/>
      <c r="L458" s="129"/>
      <c r="M458" s="129"/>
      <c r="N458" s="130">
        <f t="shared" si="57"/>
        <v>0</v>
      </c>
      <c r="O458" s="130"/>
      <c r="P458" s="130"/>
      <c r="Q458" s="131">
        <f t="shared" si="55"/>
        <v>0</v>
      </c>
      <c r="R458" s="131"/>
      <c r="S458" s="131"/>
      <c r="T458" s="117"/>
      <c r="U458" s="118" t="s">
        <v>312</v>
      </c>
      <c r="V458" s="118">
        <v>2.52</v>
      </c>
      <c r="W458" s="118" t="s">
        <v>7</v>
      </c>
    </row>
    <row r="459" spans="1:23" s="106" customFormat="1" ht="20.100000000000001" customHeight="1" x14ac:dyDescent="0.2">
      <c r="A459" s="162">
        <v>6</v>
      </c>
      <c r="B459" s="163"/>
      <c r="C459" s="127">
        <v>0.04</v>
      </c>
      <c r="D459" s="127"/>
      <c r="E459" s="128" t="s">
        <v>307</v>
      </c>
      <c r="F459" s="128"/>
      <c r="G459" s="129" t="str">
        <f t="shared" si="56"/>
        <v>Novo</v>
      </c>
      <c r="H459" s="129"/>
      <c r="I459" s="129"/>
      <c r="J459" s="129"/>
      <c r="K459" s="129"/>
      <c r="L459" s="129"/>
      <c r="M459" s="129"/>
      <c r="N459" s="130">
        <f t="shared" si="57"/>
        <v>0</v>
      </c>
      <c r="O459" s="130"/>
      <c r="P459" s="130"/>
      <c r="Q459" s="131">
        <f t="shared" si="55"/>
        <v>0</v>
      </c>
      <c r="R459" s="131"/>
      <c r="S459" s="131"/>
      <c r="T459" s="117"/>
      <c r="U459" s="118" t="s">
        <v>314</v>
      </c>
      <c r="V459" s="118">
        <v>8.09</v>
      </c>
      <c r="W459" s="118" t="s">
        <v>315</v>
      </c>
    </row>
    <row r="460" spans="1:23" s="106" customFormat="1" ht="20.100000000000001" customHeight="1" x14ac:dyDescent="0.2">
      <c r="A460" s="162">
        <v>7</v>
      </c>
      <c r="B460" s="163"/>
      <c r="C460" s="127">
        <v>0.12</v>
      </c>
      <c r="D460" s="127"/>
      <c r="E460" s="128" t="s">
        <v>307</v>
      </c>
      <c r="F460" s="128"/>
      <c r="G460" s="129" t="str">
        <f t="shared" si="56"/>
        <v>Novo</v>
      </c>
      <c r="H460" s="129"/>
      <c r="I460" s="129"/>
      <c r="J460" s="129"/>
      <c r="K460" s="129"/>
      <c r="L460" s="129"/>
      <c r="M460" s="129"/>
      <c r="N460" s="130">
        <f t="shared" si="57"/>
        <v>0</v>
      </c>
      <c r="O460" s="130"/>
      <c r="P460" s="130"/>
      <c r="Q460" s="131">
        <f t="shared" si="55"/>
        <v>0</v>
      </c>
      <c r="R460" s="131"/>
      <c r="S460" s="131"/>
      <c r="T460" s="117"/>
      <c r="U460" s="118" t="s">
        <v>317</v>
      </c>
      <c r="V460" s="118">
        <v>18.100000000000001</v>
      </c>
      <c r="W460" s="118" t="s">
        <v>318</v>
      </c>
    </row>
    <row r="461" spans="1:23" s="106" customFormat="1" ht="20.100000000000001" customHeight="1" x14ac:dyDescent="0.2">
      <c r="A461" s="162">
        <v>8</v>
      </c>
      <c r="B461" s="163"/>
      <c r="C461" s="127">
        <v>0.08</v>
      </c>
      <c r="D461" s="127"/>
      <c r="E461" s="128" t="s">
        <v>309</v>
      </c>
      <c r="F461" s="128"/>
      <c r="G461" s="129" t="str">
        <f t="shared" si="56"/>
        <v>Entre novo e regular</v>
      </c>
      <c r="H461" s="129"/>
      <c r="I461" s="129"/>
      <c r="J461" s="129"/>
      <c r="K461" s="129"/>
      <c r="L461" s="129"/>
      <c r="M461" s="129"/>
      <c r="N461" s="130">
        <f t="shared" si="57"/>
        <v>0.32</v>
      </c>
      <c r="O461" s="130"/>
      <c r="P461" s="130"/>
      <c r="Q461" s="131">
        <f t="shared" si="55"/>
        <v>2.5600000000000001E-2</v>
      </c>
      <c r="R461" s="131"/>
      <c r="S461" s="131"/>
      <c r="T461" s="117"/>
      <c r="U461" s="118" t="s">
        <v>320</v>
      </c>
      <c r="V461" s="118">
        <v>33.200000000000003</v>
      </c>
      <c r="W461" s="118" t="s">
        <v>321</v>
      </c>
    </row>
    <row r="462" spans="1:23" s="106" customFormat="1" ht="20.100000000000001" customHeight="1" x14ac:dyDescent="0.2">
      <c r="A462" s="162">
        <v>9</v>
      </c>
      <c r="B462" s="163"/>
      <c r="C462" s="127">
        <v>7.0000000000000007E-2</v>
      </c>
      <c r="D462" s="127"/>
      <c r="E462" s="128" t="s">
        <v>307</v>
      </c>
      <c r="F462" s="128"/>
      <c r="G462" s="129" t="str">
        <f t="shared" si="56"/>
        <v>Novo</v>
      </c>
      <c r="H462" s="129"/>
      <c r="I462" s="129"/>
      <c r="J462" s="129"/>
      <c r="K462" s="129"/>
      <c r="L462" s="129"/>
      <c r="M462" s="129"/>
      <c r="N462" s="130">
        <f t="shared" si="57"/>
        <v>0</v>
      </c>
      <c r="O462" s="130"/>
      <c r="P462" s="130"/>
      <c r="Q462" s="131">
        <f t="shared" si="55"/>
        <v>0</v>
      </c>
      <c r="R462" s="131"/>
      <c r="S462" s="131"/>
      <c r="T462" s="117"/>
      <c r="U462" s="118" t="s">
        <v>323</v>
      </c>
      <c r="V462" s="118">
        <v>52.6</v>
      </c>
      <c r="W462" s="118" t="s">
        <v>324</v>
      </c>
    </row>
    <row r="463" spans="1:23" s="106" customFormat="1" ht="20.100000000000001" customHeight="1" x14ac:dyDescent="0.2">
      <c r="A463" s="162">
        <v>10</v>
      </c>
      <c r="B463" s="163"/>
      <c r="C463" s="127">
        <v>0.03</v>
      </c>
      <c r="D463" s="127"/>
      <c r="E463" s="128" t="s">
        <v>307</v>
      </c>
      <c r="F463" s="128"/>
      <c r="G463" s="129" t="str">
        <f t="shared" si="56"/>
        <v>Novo</v>
      </c>
      <c r="H463" s="129"/>
      <c r="I463" s="129"/>
      <c r="J463" s="129"/>
      <c r="K463" s="129"/>
      <c r="L463" s="129"/>
      <c r="M463" s="129"/>
      <c r="N463" s="130">
        <f t="shared" si="57"/>
        <v>0</v>
      </c>
      <c r="O463" s="130"/>
      <c r="P463" s="130"/>
      <c r="Q463" s="131">
        <f t="shared" si="55"/>
        <v>0</v>
      </c>
      <c r="R463" s="131"/>
      <c r="S463" s="131"/>
      <c r="T463" s="117"/>
      <c r="U463" s="118" t="s">
        <v>326</v>
      </c>
      <c r="V463" s="118">
        <v>75.2</v>
      </c>
      <c r="W463" s="118" t="s">
        <v>327</v>
      </c>
    </row>
    <row r="464" spans="1:23" s="106" customFormat="1" ht="20.100000000000001" customHeight="1" x14ac:dyDescent="0.2">
      <c r="A464" s="162">
        <v>11</v>
      </c>
      <c r="B464" s="163"/>
      <c r="C464" s="127">
        <v>4.4999999999999998E-2</v>
      </c>
      <c r="D464" s="127"/>
      <c r="E464" s="128" t="s">
        <v>83</v>
      </c>
      <c r="F464" s="128"/>
      <c r="G464" s="129" t="str">
        <f t="shared" si="56"/>
        <v>Sem valor</v>
      </c>
      <c r="H464" s="129"/>
      <c r="I464" s="129"/>
      <c r="J464" s="129"/>
      <c r="K464" s="129"/>
      <c r="L464" s="129"/>
      <c r="M464" s="129"/>
      <c r="N464" s="130">
        <f t="shared" si="57"/>
        <v>100</v>
      </c>
      <c r="O464" s="130"/>
      <c r="P464" s="130"/>
      <c r="Q464" s="131">
        <f t="shared" si="55"/>
        <v>4.5</v>
      </c>
      <c r="R464" s="131"/>
      <c r="S464" s="131"/>
      <c r="T464" s="117"/>
      <c r="U464" s="118" t="s">
        <v>83</v>
      </c>
      <c r="V464" s="118">
        <v>100</v>
      </c>
      <c r="W464" s="118" t="s">
        <v>329</v>
      </c>
    </row>
    <row r="465" spans="1:23" s="106" customFormat="1" ht="20.100000000000001" customHeight="1" x14ac:dyDescent="0.2">
      <c r="A465" s="162">
        <v>12</v>
      </c>
      <c r="B465" s="163"/>
      <c r="C465" s="127">
        <v>0.01</v>
      </c>
      <c r="D465" s="127"/>
      <c r="E465" s="128" t="s">
        <v>83</v>
      </c>
      <c r="F465" s="128"/>
      <c r="G465" s="129" t="str">
        <f t="shared" si="56"/>
        <v>Sem valor</v>
      </c>
      <c r="H465" s="129"/>
      <c r="I465" s="129"/>
      <c r="J465" s="129"/>
      <c r="K465" s="129"/>
      <c r="L465" s="129"/>
      <c r="M465" s="129"/>
      <c r="N465" s="130">
        <f t="shared" si="57"/>
        <v>100</v>
      </c>
      <c r="O465" s="130"/>
      <c r="P465" s="130"/>
      <c r="Q465" s="131">
        <f t="shared" si="55"/>
        <v>1</v>
      </c>
      <c r="R465" s="131"/>
      <c r="S465" s="131"/>
      <c r="T465" s="117"/>
      <c r="U465" s="118"/>
      <c r="V465" s="118"/>
      <c r="W465" s="118"/>
    </row>
    <row r="466" spans="1:23" s="106" customFormat="1" ht="20.100000000000001" customHeight="1" x14ac:dyDescent="0.2">
      <c r="A466" s="162">
        <v>13</v>
      </c>
      <c r="B466" s="163"/>
      <c r="C466" s="127">
        <v>7.0000000000000007E-2</v>
      </c>
      <c r="D466" s="127"/>
      <c r="E466" s="128" t="s">
        <v>307</v>
      </c>
      <c r="F466" s="128"/>
      <c r="G466" s="129" t="str">
        <f t="shared" si="56"/>
        <v>Novo</v>
      </c>
      <c r="H466" s="129"/>
      <c r="I466" s="129"/>
      <c r="J466" s="129"/>
      <c r="K466" s="129"/>
      <c r="L466" s="129"/>
      <c r="M466" s="129"/>
      <c r="N466" s="130">
        <f t="shared" si="57"/>
        <v>0</v>
      </c>
      <c r="O466" s="130"/>
      <c r="P466" s="130"/>
      <c r="Q466" s="131">
        <f t="shared" si="55"/>
        <v>0</v>
      </c>
      <c r="R466" s="131"/>
      <c r="S466" s="131"/>
      <c r="T466" s="117"/>
      <c r="U466" s="117"/>
      <c r="V466" s="117"/>
      <c r="W466" s="118"/>
    </row>
    <row r="467" spans="1:23" s="106" customFormat="1" ht="20.100000000000001" customHeight="1" x14ac:dyDescent="0.2">
      <c r="A467" s="162">
        <v>14</v>
      </c>
      <c r="B467" s="163"/>
      <c r="C467" s="127">
        <v>1.4999999999999999E-2</v>
      </c>
      <c r="D467" s="127"/>
      <c r="E467" s="128" t="s">
        <v>307</v>
      </c>
      <c r="F467" s="128"/>
      <c r="G467" s="129" t="str">
        <f t="shared" si="56"/>
        <v>Novo</v>
      </c>
      <c r="H467" s="129"/>
      <c r="I467" s="129"/>
      <c r="J467" s="129"/>
      <c r="K467" s="129"/>
      <c r="L467" s="129"/>
      <c r="M467" s="129"/>
      <c r="N467" s="130">
        <f t="shared" si="57"/>
        <v>0</v>
      </c>
      <c r="O467" s="130"/>
      <c r="P467" s="130"/>
      <c r="Q467" s="131">
        <f t="shared" si="55"/>
        <v>0</v>
      </c>
      <c r="R467" s="131"/>
      <c r="S467" s="131"/>
      <c r="T467" s="117"/>
      <c r="U467" s="117"/>
      <c r="V467" s="117"/>
      <c r="W467" s="118"/>
    </row>
    <row r="468" spans="1:23" s="106" customFormat="1" ht="20.100000000000001" customHeight="1" x14ac:dyDescent="0.2">
      <c r="A468" s="162">
        <v>15</v>
      </c>
      <c r="B468" s="163"/>
      <c r="C468" s="127">
        <v>3.3000000000000002E-2</v>
      </c>
      <c r="D468" s="127"/>
      <c r="E468" s="128" t="s">
        <v>307</v>
      </c>
      <c r="F468" s="128"/>
      <c r="G468" s="129" t="str">
        <f t="shared" si="56"/>
        <v>Novo</v>
      </c>
      <c r="H468" s="129"/>
      <c r="I468" s="129"/>
      <c r="J468" s="129"/>
      <c r="K468" s="129"/>
      <c r="L468" s="129"/>
      <c r="M468" s="129"/>
      <c r="N468" s="130">
        <f t="shared" si="57"/>
        <v>0</v>
      </c>
      <c r="O468" s="130"/>
      <c r="P468" s="130"/>
      <c r="Q468" s="131">
        <f t="shared" si="55"/>
        <v>0</v>
      </c>
      <c r="R468" s="131"/>
      <c r="S468" s="131"/>
      <c r="T468" s="117"/>
      <c r="U468" s="117"/>
      <c r="V468" s="117"/>
      <c r="W468" s="118"/>
    </row>
    <row r="469" spans="1:23" s="106" customFormat="1" ht="20.100000000000001" customHeight="1" x14ac:dyDescent="0.2">
      <c r="A469" s="162">
        <v>16</v>
      </c>
      <c r="B469" s="163"/>
      <c r="C469" s="127">
        <v>1.7000000000000001E-2</v>
      </c>
      <c r="D469" s="127"/>
      <c r="E469" s="128" t="s">
        <v>307</v>
      </c>
      <c r="F469" s="128"/>
      <c r="G469" s="129" t="str">
        <f t="shared" si="56"/>
        <v>Novo</v>
      </c>
      <c r="H469" s="129"/>
      <c r="I469" s="129"/>
      <c r="J469" s="129"/>
      <c r="K469" s="129"/>
      <c r="L469" s="129"/>
      <c r="M469" s="129"/>
      <c r="N469" s="130">
        <f t="shared" si="57"/>
        <v>0</v>
      </c>
      <c r="O469" s="130"/>
      <c r="P469" s="130"/>
      <c r="Q469" s="131">
        <f t="shared" si="55"/>
        <v>0</v>
      </c>
      <c r="R469" s="131"/>
      <c r="S469" s="131"/>
      <c r="T469" s="117"/>
      <c r="U469" s="117"/>
      <c r="V469" s="117"/>
      <c r="W469" s="118"/>
    </row>
    <row r="470" spans="1:23" s="106" customFormat="1" ht="20.100000000000001" customHeight="1" x14ac:dyDescent="0.2">
      <c r="A470" s="162">
        <v>17</v>
      </c>
      <c r="B470" s="163"/>
      <c r="C470" s="127">
        <v>1.4999999999999999E-2</v>
      </c>
      <c r="D470" s="127"/>
      <c r="E470" s="128" t="s">
        <v>83</v>
      </c>
      <c r="F470" s="128"/>
      <c r="G470" s="129" t="str">
        <f t="shared" si="56"/>
        <v>Sem valor</v>
      </c>
      <c r="H470" s="129"/>
      <c r="I470" s="129"/>
      <c r="J470" s="129"/>
      <c r="K470" s="129"/>
      <c r="L470" s="129"/>
      <c r="M470" s="129"/>
      <c r="N470" s="130">
        <f t="shared" si="57"/>
        <v>100</v>
      </c>
      <c r="O470" s="130"/>
      <c r="P470" s="130"/>
      <c r="Q470" s="131">
        <f t="shared" si="55"/>
        <v>1.5</v>
      </c>
      <c r="R470" s="131"/>
      <c r="S470" s="131"/>
      <c r="T470" s="117"/>
      <c r="U470" s="117"/>
      <c r="V470" s="117"/>
      <c r="W470" s="118"/>
    </row>
    <row r="471" spans="1:23" s="106" customFormat="1" ht="20.100000000000001" customHeight="1" x14ac:dyDescent="0.2">
      <c r="A471" s="162">
        <v>18</v>
      </c>
      <c r="B471" s="163"/>
      <c r="C471" s="127">
        <v>3.5000000000000003E-2</v>
      </c>
      <c r="D471" s="127"/>
      <c r="E471" s="128" t="s">
        <v>83</v>
      </c>
      <c r="F471" s="128"/>
      <c r="G471" s="129" t="str">
        <f t="shared" si="56"/>
        <v>Sem valor</v>
      </c>
      <c r="H471" s="129"/>
      <c r="I471" s="129"/>
      <c r="J471" s="129"/>
      <c r="K471" s="129"/>
      <c r="L471" s="129"/>
      <c r="M471" s="129"/>
      <c r="N471" s="130">
        <f t="shared" si="57"/>
        <v>100</v>
      </c>
      <c r="O471" s="130"/>
      <c r="P471" s="130"/>
      <c r="Q471" s="131">
        <f t="shared" si="55"/>
        <v>3.5000000000000004</v>
      </c>
      <c r="R471" s="131"/>
      <c r="S471" s="131"/>
      <c r="T471" s="117"/>
      <c r="U471" s="117"/>
      <c r="V471" s="117"/>
      <c r="W471" s="118"/>
    </row>
    <row r="472" spans="1:23" s="106" customFormat="1" ht="20.100000000000001" customHeight="1" x14ac:dyDescent="0.2">
      <c r="A472" s="162">
        <v>19</v>
      </c>
      <c r="B472" s="163"/>
      <c r="C472" s="127">
        <v>0.01</v>
      </c>
      <c r="D472" s="127"/>
      <c r="E472" s="128" t="s">
        <v>307</v>
      </c>
      <c r="F472" s="128"/>
      <c r="G472" s="129" t="str">
        <f t="shared" si="56"/>
        <v>Novo</v>
      </c>
      <c r="H472" s="129"/>
      <c r="I472" s="129"/>
      <c r="J472" s="129"/>
      <c r="K472" s="129"/>
      <c r="L472" s="129"/>
      <c r="M472" s="129"/>
      <c r="N472" s="130">
        <f t="shared" si="57"/>
        <v>0</v>
      </c>
      <c r="O472" s="130"/>
      <c r="P472" s="130"/>
      <c r="Q472" s="131">
        <f t="shared" si="55"/>
        <v>0</v>
      </c>
      <c r="R472" s="131"/>
      <c r="S472" s="131"/>
      <c r="T472" s="117"/>
      <c r="U472" s="117"/>
      <c r="V472" s="117"/>
      <c r="W472" s="118"/>
    </row>
    <row r="473" spans="1:23" s="106" customFormat="1" ht="20.100000000000001" customHeight="1" x14ac:dyDescent="0.2">
      <c r="A473" s="162">
        <v>20</v>
      </c>
      <c r="B473" s="163"/>
      <c r="C473" s="127">
        <v>2.5000000000000001E-2</v>
      </c>
      <c r="D473" s="127"/>
      <c r="E473" s="128" t="s">
        <v>307</v>
      </c>
      <c r="F473" s="128"/>
      <c r="G473" s="129" t="str">
        <f t="shared" si="56"/>
        <v>Novo</v>
      </c>
      <c r="H473" s="129"/>
      <c r="I473" s="129"/>
      <c r="J473" s="129"/>
      <c r="K473" s="129"/>
      <c r="L473" s="129"/>
      <c r="M473" s="129"/>
      <c r="N473" s="130">
        <f t="shared" si="57"/>
        <v>0</v>
      </c>
      <c r="O473" s="130"/>
      <c r="P473" s="130"/>
      <c r="Q473" s="131">
        <f t="shared" si="55"/>
        <v>0</v>
      </c>
      <c r="R473" s="131"/>
      <c r="S473" s="131"/>
      <c r="T473" s="117"/>
      <c r="U473" s="117"/>
      <c r="V473" s="117"/>
      <c r="W473" s="118"/>
    </row>
    <row r="474" spans="1:23" s="106" customFormat="1" ht="20.100000000000001" customHeight="1" x14ac:dyDescent="0.2">
      <c r="A474" s="162">
        <v>21</v>
      </c>
      <c r="B474" s="163"/>
      <c r="C474" s="127">
        <v>1.2999999999999999E-2</v>
      </c>
      <c r="D474" s="127"/>
      <c r="E474" s="128" t="s">
        <v>83</v>
      </c>
      <c r="F474" s="128"/>
      <c r="G474" s="129" t="str">
        <f t="shared" si="56"/>
        <v>Sem valor</v>
      </c>
      <c r="H474" s="129"/>
      <c r="I474" s="129"/>
      <c r="J474" s="129"/>
      <c r="K474" s="129"/>
      <c r="L474" s="129"/>
      <c r="M474" s="129"/>
      <c r="N474" s="130">
        <f t="shared" si="57"/>
        <v>100</v>
      </c>
      <c r="O474" s="130"/>
      <c r="P474" s="130"/>
      <c r="Q474" s="131">
        <f t="shared" si="55"/>
        <v>1.3</v>
      </c>
      <c r="R474" s="131"/>
      <c r="S474" s="131"/>
      <c r="T474" s="117"/>
      <c r="U474" s="117"/>
      <c r="V474" s="117"/>
      <c r="W474" s="118"/>
    </row>
    <row r="475" spans="1:23" s="106" customFormat="1" ht="20.100000000000001" customHeight="1" x14ac:dyDescent="0.25">
      <c r="A475" s="27"/>
      <c r="B475" s="27"/>
      <c r="C475" s="27"/>
      <c r="D475" s="27"/>
      <c r="E475" s="27"/>
      <c r="F475" s="27"/>
      <c r="G475" s="27"/>
      <c r="H475" s="27"/>
      <c r="I475" s="27"/>
      <c r="J475" s="27"/>
      <c r="K475" s="27"/>
      <c r="L475" s="27"/>
      <c r="M475" s="27"/>
      <c r="N475" s="27"/>
      <c r="O475" s="27"/>
      <c r="P475" s="27"/>
      <c r="Q475" s="27"/>
      <c r="R475" s="27"/>
      <c r="S475" s="27"/>
      <c r="T475" s="117"/>
      <c r="U475" s="117"/>
      <c r="V475" s="117"/>
      <c r="W475" s="118"/>
    </row>
    <row r="476" spans="1:23" s="106" customFormat="1" ht="20.100000000000001" customHeight="1" x14ac:dyDescent="0.2">
      <c r="A476" s="135" t="s">
        <v>455</v>
      </c>
      <c r="B476" s="135"/>
      <c r="C476" s="135"/>
      <c r="D476" s="135"/>
      <c r="E476" s="135"/>
      <c r="F476" s="135"/>
      <c r="G476" s="135"/>
      <c r="H476" s="135"/>
      <c r="I476" s="135"/>
      <c r="J476" s="135"/>
      <c r="K476" s="135"/>
      <c r="L476" s="135"/>
      <c r="M476" s="135"/>
      <c r="N476" s="135"/>
      <c r="O476" s="135"/>
      <c r="P476" s="135"/>
      <c r="Q476" s="135"/>
      <c r="R476" s="135"/>
      <c r="S476" s="135"/>
      <c r="T476" s="117"/>
      <c r="U476" s="117"/>
      <c r="V476" s="117"/>
      <c r="W476" s="118"/>
    </row>
    <row r="477" spans="1:23" s="106" customFormat="1" ht="20.100000000000001" customHeight="1" x14ac:dyDescent="0.2">
      <c r="A477" s="40"/>
      <c r="B477" s="40"/>
      <c r="C477" s="40"/>
      <c r="D477" s="40"/>
      <c r="E477" s="40"/>
      <c r="F477" s="40"/>
      <c r="G477" s="40"/>
      <c r="H477" s="40"/>
      <c r="I477" s="40"/>
      <c r="J477" s="40"/>
      <c r="K477" s="40"/>
      <c r="L477" s="40"/>
      <c r="M477" s="40"/>
      <c r="N477" s="40"/>
      <c r="O477" s="40"/>
      <c r="P477" s="40"/>
      <c r="Q477" s="27"/>
      <c r="R477" s="27"/>
      <c r="S477" s="40"/>
      <c r="T477" s="117"/>
      <c r="U477" s="117"/>
      <c r="V477" s="117"/>
      <c r="W477" s="118"/>
    </row>
    <row r="478" spans="1:23" s="106" customFormat="1" ht="20.100000000000001" customHeight="1" x14ac:dyDescent="0.2">
      <c r="A478" s="139" t="s">
        <v>456</v>
      </c>
      <c r="B478" s="139"/>
      <c r="C478" s="138">
        <v>1</v>
      </c>
      <c r="D478" s="138"/>
      <c r="E478" s="3"/>
      <c r="F478" s="3"/>
      <c r="G478" s="3"/>
      <c r="H478" s="3"/>
      <c r="I478" s="27"/>
      <c r="J478" s="40"/>
      <c r="K478" s="139" t="s">
        <v>457</v>
      </c>
      <c r="L478" s="139"/>
      <c r="M478" s="139"/>
      <c r="N478" s="139"/>
      <c r="O478" s="139"/>
      <c r="P478" s="139"/>
      <c r="Q478" s="140">
        <f>SUM(Q454:S474)</f>
        <v>11.825600000000001</v>
      </c>
      <c r="R478" s="140"/>
      <c r="S478" s="140"/>
      <c r="T478" s="117"/>
      <c r="U478" s="117"/>
      <c r="V478" s="117"/>
      <c r="W478" s="118"/>
    </row>
    <row r="479" spans="1:23" s="106" customFormat="1" ht="20.100000000000001" customHeight="1" x14ac:dyDescent="0.2">
      <c r="A479" s="3"/>
      <c r="B479" s="3"/>
      <c r="C479" s="3"/>
      <c r="D479" s="3"/>
      <c r="E479" s="3"/>
      <c r="F479" s="3"/>
      <c r="G479" s="3"/>
      <c r="H479" s="3"/>
      <c r="I479" s="3"/>
      <c r="J479" s="3"/>
      <c r="K479" s="3"/>
      <c r="L479" s="3"/>
      <c r="M479" s="3"/>
      <c r="N479" s="3"/>
      <c r="O479" s="3"/>
      <c r="P479" s="3"/>
      <c r="Q479" s="3"/>
      <c r="R479" s="27"/>
      <c r="S479" s="27"/>
      <c r="T479" s="117"/>
      <c r="U479" s="117"/>
      <c r="V479" s="117"/>
      <c r="W479" s="118"/>
    </row>
    <row r="480" spans="1:23" s="106" customFormat="1" ht="20.100000000000001" customHeight="1" x14ac:dyDescent="0.25">
      <c r="A480" s="135" t="s">
        <v>458</v>
      </c>
      <c r="B480" s="135"/>
      <c r="C480" s="135"/>
      <c r="D480" s="135"/>
      <c r="E480" s="135"/>
      <c r="F480" s="135"/>
      <c r="G480" s="135"/>
      <c r="H480" s="135"/>
      <c r="I480" s="135"/>
      <c r="J480" s="135"/>
      <c r="K480" s="135"/>
      <c r="L480" s="135"/>
      <c r="M480" s="135"/>
      <c r="N480" s="135"/>
      <c r="O480" s="135"/>
      <c r="P480" s="135"/>
      <c r="Q480" s="135"/>
      <c r="R480" s="137">
        <f>Q478</f>
        <v>11.825600000000001</v>
      </c>
      <c r="S480" s="137"/>
      <c r="T480" s="117"/>
      <c r="U480" s="117"/>
      <c r="V480" s="117"/>
      <c r="W480" s="118"/>
    </row>
    <row r="481" spans="1:23" s="106" customFormat="1" ht="20.100000000000001" customHeight="1" x14ac:dyDescent="0.25">
      <c r="A481" s="136"/>
      <c r="B481" s="136"/>
      <c r="C481" s="136"/>
      <c r="D481" s="136"/>
      <c r="E481" s="136"/>
      <c r="F481" s="136"/>
      <c r="G481" s="136"/>
      <c r="H481" s="136"/>
      <c r="I481" s="136"/>
      <c r="J481" s="136"/>
      <c r="K481" s="136"/>
      <c r="L481" s="136"/>
      <c r="M481" s="136"/>
      <c r="N481" s="136"/>
      <c r="O481" s="136"/>
      <c r="P481" s="136"/>
      <c r="Q481" s="136"/>
      <c r="R481" s="137"/>
      <c r="S481" s="137"/>
      <c r="T481" s="117"/>
      <c r="U481" s="117"/>
      <c r="V481" s="117"/>
      <c r="W481" s="118"/>
    </row>
    <row r="482" spans="1:23" s="106" customFormat="1" ht="20.100000000000001" customHeight="1" x14ac:dyDescent="0.25">
      <c r="A482" s="27"/>
      <c r="B482" s="27"/>
      <c r="C482" s="27"/>
      <c r="D482" s="27"/>
      <c r="E482" s="27"/>
      <c r="F482" s="27"/>
      <c r="G482" s="27"/>
      <c r="H482" s="27"/>
      <c r="I482" s="27"/>
      <c r="J482" s="27"/>
      <c r="K482" s="27"/>
      <c r="L482" s="27"/>
      <c r="M482" s="27"/>
      <c r="N482" s="27"/>
      <c r="O482" s="27"/>
      <c r="P482" s="27"/>
      <c r="Q482" s="27"/>
      <c r="R482" s="27"/>
      <c r="S482" s="27"/>
      <c r="T482" s="117"/>
      <c r="U482" s="117"/>
      <c r="V482" s="117"/>
      <c r="W482" s="118"/>
    </row>
    <row r="483" spans="1:23" s="106" customFormat="1" ht="20.100000000000001" customHeight="1" x14ac:dyDescent="0.25">
      <c r="A483" s="27"/>
      <c r="B483" s="27"/>
      <c r="C483" s="27"/>
      <c r="D483" s="27"/>
      <c r="E483" s="27"/>
      <c r="F483" s="27"/>
      <c r="G483" s="27"/>
      <c r="H483" s="27"/>
      <c r="I483" s="27"/>
      <c r="J483" s="27"/>
      <c r="K483" s="27"/>
      <c r="L483" s="27"/>
      <c r="M483" s="27"/>
      <c r="N483" s="27"/>
      <c r="O483" s="27"/>
      <c r="P483" s="27"/>
      <c r="Q483" s="27"/>
      <c r="R483" s="27"/>
      <c r="S483" s="27"/>
      <c r="T483" s="117"/>
      <c r="U483" s="117"/>
      <c r="V483" s="117"/>
      <c r="W483" s="118"/>
    </row>
    <row r="484" spans="1:23" s="106" customFormat="1" ht="20.100000000000001" customHeight="1" x14ac:dyDescent="0.25">
      <c r="A484" s="155" t="s">
        <v>459</v>
      </c>
      <c r="B484" s="155"/>
      <c r="C484" s="155"/>
      <c r="D484" s="155"/>
      <c r="E484" s="155"/>
      <c r="F484" s="155"/>
      <c r="G484" s="155"/>
      <c r="H484" s="155"/>
      <c r="I484" s="155"/>
      <c r="J484" s="155"/>
      <c r="K484" s="155"/>
      <c r="L484" s="155"/>
      <c r="M484" s="155"/>
      <c r="N484" s="155"/>
      <c r="O484" s="155"/>
      <c r="P484" s="155"/>
      <c r="Q484" s="155"/>
      <c r="R484" s="155"/>
      <c r="S484" s="155"/>
      <c r="T484" s="117"/>
      <c r="U484" s="117"/>
      <c r="V484" s="117"/>
      <c r="W484" s="118"/>
    </row>
    <row r="485" spans="1:23" s="106" customFormat="1" ht="20.100000000000001" customHeight="1" x14ac:dyDescent="0.25">
      <c r="A485" s="32"/>
      <c r="B485" s="33"/>
      <c r="C485" s="33"/>
      <c r="D485" s="33"/>
      <c r="E485" s="33"/>
      <c r="F485" s="33"/>
      <c r="G485" s="33"/>
      <c r="H485" s="33"/>
      <c r="I485" s="33"/>
      <c r="J485" s="33"/>
      <c r="K485" s="33"/>
      <c r="L485" s="33"/>
      <c r="M485" s="33"/>
      <c r="N485" s="33"/>
      <c r="O485" s="33"/>
      <c r="P485" s="33"/>
      <c r="Q485" s="33"/>
      <c r="R485" s="33"/>
      <c r="S485" s="35"/>
      <c r="T485" s="117"/>
      <c r="U485" s="117"/>
      <c r="V485" s="117"/>
      <c r="W485" s="118"/>
    </row>
    <row r="486" spans="1:23" s="106" customFormat="1" ht="20.100000000000001" customHeight="1" x14ac:dyDescent="0.25">
      <c r="A486" s="36"/>
      <c r="B486" s="27"/>
      <c r="C486" s="27"/>
      <c r="D486" s="27"/>
      <c r="E486" s="27"/>
      <c r="F486" s="27"/>
      <c r="G486" s="27"/>
      <c r="H486" s="27"/>
      <c r="I486" s="27"/>
      <c r="J486" s="27"/>
      <c r="K486" s="27"/>
      <c r="L486" s="27"/>
      <c r="M486" s="27"/>
      <c r="N486" s="27"/>
      <c r="O486" s="27"/>
      <c r="P486" s="27"/>
      <c r="Q486" s="27"/>
      <c r="R486" s="27"/>
      <c r="S486" s="37"/>
      <c r="T486" s="117"/>
      <c r="U486" s="117"/>
      <c r="V486" s="117"/>
      <c r="W486" s="118"/>
    </row>
    <row r="487" spans="1:23" s="106" customFormat="1" ht="20.100000000000001" customHeight="1" x14ac:dyDescent="0.25">
      <c r="A487" s="36"/>
      <c r="B487" s="27"/>
      <c r="C487" s="27"/>
      <c r="D487" s="27"/>
      <c r="E487" s="27"/>
      <c r="F487" s="27"/>
      <c r="G487" s="27"/>
      <c r="H487" s="27"/>
      <c r="I487" s="27"/>
      <c r="J487" s="27"/>
      <c r="K487" s="27"/>
      <c r="L487" s="27"/>
      <c r="M487" s="27"/>
      <c r="N487" s="27"/>
      <c r="O487" s="27"/>
      <c r="P487" s="27"/>
      <c r="Q487" s="27"/>
      <c r="R487" s="27"/>
      <c r="S487" s="37"/>
      <c r="T487" s="117"/>
      <c r="U487" s="117"/>
      <c r="V487" s="117"/>
      <c r="W487" s="118"/>
    </row>
    <row r="488" spans="1:23" s="106" customFormat="1" ht="20.100000000000001" customHeight="1" x14ac:dyDescent="0.25">
      <c r="A488" s="36"/>
      <c r="B488" s="27"/>
      <c r="C488" s="27"/>
      <c r="D488" s="27"/>
      <c r="E488" s="27"/>
      <c r="F488" s="27"/>
      <c r="G488" s="27"/>
      <c r="H488" s="27"/>
      <c r="I488" s="27"/>
      <c r="J488" s="27"/>
      <c r="K488" s="27"/>
      <c r="L488" s="27"/>
      <c r="M488" s="27"/>
      <c r="N488" s="27"/>
      <c r="O488" s="27"/>
      <c r="P488" s="27"/>
      <c r="Q488" s="27"/>
      <c r="R488" s="27"/>
      <c r="S488" s="37"/>
      <c r="T488" s="117"/>
      <c r="U488" s="117"/>
      <c r="V488" s="117"/>
      <c r="W488" s="118"/>
    </row>
    <row r="489" spans="1:23" s="106" customFormat="1" ht="20.100000000000001" customHeight="1" x14ac:dyDescent="0.25">
      <c r="A489" s="36"/>
      <c r="B489" s="27"/>
      <c r="C489" s="27"/>
      <c r="D489" s="27"/>
      <c r="E489" s="27"/>
      <c r="F489" s="27"/>
      <c r="G489" s="27"/>
      <c r="H489" s="27"/>
      <c r="I489" s="27"/>
      <c r="J489" s="27"/>
      <c r="K489" s="27"/>
      <c r="L489" s="27"/>
      <c r="M489" s="27"/>
      <c r="N489" s="27"/>
      <c r="O489" s="27"/>
      <c r="P489" s="27"/>
      <c r="Q489" s="27"/>
      <c r="R489" s="27"/>
      <c r="S489" s="37"/>
      <c r="T489" s="117"/>
      <c r="U489" s="117"/>
      <c r="V489" s="117"/>
      <c r="W489" s="118"/>
    </row>
    <row r="490" spans="1:23" s="106" customFormat="1" ht="20.100000000000001" customHeight="1" x14ac:dyDescent="0.25">
      <c r="A490" s="36"/>
      <c r="B490" s="27"/>
      <c r="C490" s="27"/>
      <c r="D490" s="27"/>
      <c r="E490" s="27"/>
      <c r="F490" s="27"/>
      <c r="G490" s="27"/>
      <c r="H490" s="27"/>
      <c r="I490" s="27"/>
      <c r="J490" s="27"/>
      <c r="K490" s="27"/>
      <c r="L490" s="27"/>
      <c r="M490" s="27"/>
      <c r="N490" s="27"/>
      <c r="O490" s="27"/>
      <c r="P490" s="27"/>
      <c r="Q490" s="27"/>
      <c r="R490" s="27"/>
      <c r="S490" s="37"/>
      <c r="T490" s="117"/>
      <c r="U490" s="117"/>
      <c r="V490" s="117"/>
      <c r="W490" s="118"/>
    </row>
    <row r="491" spans="1:23" s="106" customFormat="1" ht="20.100000000000001" customHeight="1" x14ac:dyDescent="0.25">
      <c r="A491" s="36"/>
      <c r="B491" s="27"/>
      <c r="C491" s="27"/>
      <c r="D491" s="27"/>
      <c r="E491" s="27"/>
      <c r="F491" s="27"/>
      <c r="G491" s="27"/>
      <c r="H491" s="27"/>
      <c r="I491" s="27"/>
      <c r="J491" s="27"/>
      <c r="K491" s="27"/>
      <c r="L491" s="27"/>
      <c r="M491" s="27"/>
      <c r="N491" s="27"/>
      <c r="O491" s="27"/>
      <c r="P491" s="27"/>
      <c r="Q491" s="27"/>
      <c r="R491" s="27"/>
      <c r="S491" s="37"/>
      <c r="T491" s="117"/>
      <c r="U491" s="117"/>
      <c r="V491" s="117"/>
      <c r="W491" s="118"/>
    </row>
    <row r="492" spans="1:23" s="106" customFormat="1" ht="20.100000000000001" customHeight="1" x14ac:dyDescent="0.25">
      <c r="A492" s="36"/>
      <c r="B492" s="27"/>
      <c r="C492" s="27"/>
      <c r="D492" s="27"/>
      <c r="E492" s="27"/>
      <c r="F492" s="27"/>
      <c r="G492" s="27"/>
      <c r="H492" s="27"/>
      <c r="I492" s="27"/>
      <c r="J492" s="27"/>
      <c r="K492" s="27"/>
      <c r="L492" s="27"/>
      <c r="M492" s="27"/>
      <c r="N492" s="27"/>
      <c r="O492" s="27"/>
      <c r="P492" s="27"/>
      <c r="Q492" s="27"/>
      <c r="R492" s="27"/>
      <c r="S492" s="37"/>
      <c r="T492" s="117"/>
      <c r="U492" s="117"/>
      <c r="V492" s="117"/>
      <c r="W492" s="118"/>
    </row>
    <row r="493" spans="1:23" s="106" customFormat="1" ht="20.100000000000001" customHeight="1" x14ac:dyDescent="0.25">
      <c r="A493" s="36"/>
      <c r="B493" s="27"/>
      <c r="C493" s="27"/>
      <c r="D493" s="27"/>
      <c r="E493" s="27"/>
      <c r="F493" s="27"/>
      <c r="G493" s="27"/>
      <c r="H493" s="27"/>
      <c r="I493" s="27"/>
      <c r="J493" s="27"/>
      <c r="K493" s="27"/>
      <c r="L493" s="27"/>
      <c r="M493" s="27"/>
      <c r="N493" s="27"/>
      <c r="O493" s="27"/>
      <c r="P493" s="27"/>
      <c r="Q493" s="27"/>
      <c r="R493" s="27"/>
      <c r="S493" s="37"/>
      <c r="T493" s="117"/>
      <c r="U493" s="117"/>
      <c r="V493" s="117"/>
      <c r="W493" s="118"/>
    </row>
    <row r="494" spans="1:23" s="106" customFormat="1" ht="20.100000000000001" customHeight="1" x14ac:dyDescent="0.25">
      <c r="A494" s="36"/>
      <c r="B494" s="27"/>
      <c r="C494" s="27"/>
      <c r="D494" s="27"/>
      <c r="E494" s="27"/>
      <c r="F494" s="27"/>
      <c r="G494" s="27"/>
      <c r="H494" s="27"/>
      <c r="I494" s="27"/>
      <c r="J494" s="27"/>
      <c r="K494" s="27"/>
      <c r="L494" s="27"/>
      <c r="M494" s="27"/>
      <c r="N494" s="27"/>
      <c r="O494" s="27"/>
      <c r="P494" s="27"/>
      <c r="Q494" s="27"/>
      <c r="R494" s="27"/>
      <c r="S494" s="37"/>
      <c r="T494" s="117"/>
      <c r="U494" s="117"/>
      <c r="V494" s="117"/>
      <c r="W494" s="118"/>
    </row>
    <row r="495" spans="1:23" s="106" customFormat="1" ht="20.100000000000001" customHeight="1" x14ac:dyDescent="0.25">
      <c r="A495" s="36"/>
      <c r="B495" s="27"/>
      <c r="C495" s="27"/>
      <c r="D495" s="27"/>
      <c r="E495" s="27"/>
      <c r="F495" s="27"/>
      <c r="G495" s="27"/>
      <c r="H495" s="27"/>
      <c r="I495" s="27"/>
      <c r="J495" s="27"/>
      <c r="K495" s="27"/>
      <c r="L495" s="27"/>
      <c r="M495" s="27"/>
      <c r="N495" s="27"/>
      <c r="O495" s="27"/>
      <c r="P495" s="27"/>
      <c r="Q495" s="27"/>
      <c r="R495" s="27"/>
      <c r="S495" s="37"/>
      <c r="T495" s="117"/>
      <c r="U495" s="117"/>
      <c r="V495" s="117"/>
      <c r="W495" s="118"/>
    </row>
    <row r="496" spans="1:23" s="106" customFormat="1" ht="20.100000000000001" customHeight="1" x14ac:dyDescent="0.25">
      <c r="A496" s="36"/>
      <c r="B496" s="27"/>
      <c r="C496" s="27"/>
      <c r="D496" s="27"/>
      <c r="E496" s="27"/>
      <c r="F496" s="27"/>
      <c r="G496" s="27"/>
      <c r="H496" s="27"/>
      <c r="I496" s="27"/>
      <c r="J496" s="27"/>
      <c r="K496" s="27"/>
      <c r="L496" s="27"/>
      <c r="M496" s="27"/>
      <c r="N496" s="27"/>
      <c r="O496" s="27"/>
      <c r="P496" s="27"/>
      <c r="Q496" s="27"/>
      <c r="R496" s="27"/>
      <c r="S496" s="37"/>
      <c r="T496" s="117"/>
      <c r="U496" s="117"/>
      <c r="V496" s="117"/>
      <c r="W496" s="118"/>
    </row>
    <row r="497" spans="1:23" s="106" customFormat="1" ht="20.100000000000001" customHeight="1" x14ac:dyDescent="0.25">
      <c r="A497" s="36"/>
      <c r="B497" s="27"/>
      <c r="C497" s="27"/>
      <c r="D497" s="27"/>
      <c r="E497" s="27"/>
      <c r="F497" s="27"/>
      <c r="G497" s="27"/>
      <c r="H497" s="27"/>
      <c r="I497" s="27"/>
      <c r="J497" s="27"/>
      <c r="K497" s="27"/>
      <c r="L497" s="27"/>
      <c r="M497" s="27"/>
      <c r="N497" s="27"/>
      <c r="O497" s="27"/>
      <c r="P497" s="27"/>
      <c r="Q497" s="27"/>
      <c r="R497" s="27"/>
      <c r="S497" s="37"/>
      <c r="T497" s="117"/>
      <c r="U497" s="117"/>
      <c r="V497" s="117"/>
      <c r="W497" s="118"/>
    </row>
    <row r="498" spans="1:23" s="106" customFormat="1" ht="20.100000000000001" customHeight="1" x14ac:dyDescent="0.25">
      <c r="A498" s="38"/>
      <c r="B498" s="39"/>
      <c r="C498" s="39"/>
      <c r="D498" s="39"/>
      <c r="E498" s="39"/>
      <c r="F498" s="39"/>
      <c r="G498" s="39"/>
      <c r="H498" s="39"/>
      <c r="I498" s="39"/>
      <c r="J498" s="39"/>
      <c r="K498" s="39"/>
      <c r="L498" s="39"/>
      <c r="M498" s="39"/>
      <c r="N498" s="39"/>
      <c r="O498" s="39"/>
      <c r="P498" s="39"/>
      <c r="Q498" s="39"/>
      <c r="R498" s="39"/>
      <c r="S498" s="41"/>
      <c r="T498" s="117"/>
      <c r="U498" s="117"/>
      <c r="V498" s="117"/>
      <c r="W498" s="118"/>
    </row>
    <row r="499" spans="1:23" s="106" customFormat="1" ht="20.100000000000001" customHeight="1" x14ac:dyDescent="0.25">
      <c r="A499" s="27"/>
      <c r="B499" s="27"/>
      <c r="C499" s="27"/>
      <c r="D499" s="27"/>
      <c r="E499" s="27"/>
      <c r="F499" s="27"/>
      <c r="G499" s="27"/>
      <c r="H499" s="27"/>
      <c r="I499" s="27"/>
      <c r="J499" s="27"/>
      <c r="K499" s="27"/>
      <c r="L499" s="27"/>
      <c r="M499" s="27"/>
      <c r="N499" s="27"/>
      <c r="O499" s="27"/>
      <c r="P499" s="27"/>
      <c r="Q499" s="27"/>
      <c r="R499" s="27"/>
      <c r="S499" s="27"/>
      <c r="T499" s="117"/>
      <c r="U499" s="117"/>
      <c r="V499" s="117"/>
      <c r="W499" s="118"/>
    </row>
    <row r="500" spans="1:23" s="106" customFormat="1" ht="20.100000000000001" customHeight="1" x14ac:dyDescent="0.25">
      <c r="A500" s="27"/>
      <c r="B500" s="27"/>
      <c r="C500" s="27"/>
      <c r="D500" s="27"/>
      <c r="E500" s="27"/>
      <c r="F500" s="27"/>
      <c r="G500" s="27"/>
      <c r="H500" s="27"/>
      <c r="I500" s="27"/>
      <c r="J500" s="27"/>
      <c r="K500" s="27"/>
      <c r="L500" s="27"/>
      <c r="M500" s="27"/>
      <c r="N500" s="27"/>
      <c r="O500" s="27"/>
      <c r="P500" s="126"/>
      <c r="Q500" s="126"/>
      <c r="R500" s="126"/>
      <c r="S500" s="126"/>
      <c r="T500" s="117"/>
      <c r="U500" s="117"/>
      <c r="V500" s="117"/>
      <c r="W500" s="118"/>
    </row>
    <row r="501" spans="1:23" s="106" customFormat="1" ht="20.100000000000001" customHeight="1" x14ac:dyDescent="0.25">
      <c r="A501" s="132" t="s">
        <v>390</v>
      </c>
      <c r="B501" s="132"/>
      <c r="C501" s="132"/>
      <c r="D501" s="132"/>
      <c r="E501" s="132"/>
      <c r="F501" s="132"/>
      <c r="G501" s="132"/>
      <c r="H501" s="132"/>
      <c r="I501" s="132"/>
      <c r="J501" s="132"/>
      <c r="K501" s="132"/>
      <c r="L501" s="132"/>
      <c r="M501" s="132"/>
      <c r="N501" s="132"/>
      <c r="O501" s="132"/>
      <c r="P501" s="161"/>
      <c r="Q501" s="161"/>
      <c r="R501" s="161"/>
      <c r="S501" s="161"/>
      <c r="T501" s="117"/>
      <c r="U501" s="117"/>
      <c r="V501" s="117"/>
      <c r="W501" s="118"/>
    </row>
    <row r="502" spans="1:23" s="106" customFormat="1" ht="20.100000000000001" customHeight="1" x14ac:dyDescent="0.25">
      <c r="A502" s="27"/>
      <c r="B502" s="27"/>
      <c r="C502" s="27"/>
      <c r="D502" s="27"/>
      <c r="E502" s="27"/>
      <c r="F502" s="27"/>
      <c r="G502" s="27"/>
      <c r="H502" s="27"/>
      <c r="I502" s="27"/>
      <c r="J502" s="27"/>
      <c r="K502" s="27"/>
      <c r="L502" s="27"/>
      <c r="M502" s="27"/>
      <c r="N502" s="27"/>
      <c r="O502" s="27"/>
      <c r="P502" s="27"/>
      <c r="Q502" s="27"/>
      <c r="R502" s="27"/>
      <c r="S502" s="27"/>
      <c r="T502" s="117"/>
      <c r="U502" s="117"/>
      <c r="V502" s="117"/>
      <c r="W502" s="118"/>
    </row>
    <row r="503" spans="1:23" s="106" customFormat="1" ht="20.100000000000001" customHeight="1" x14ac:dyDescent="0.25">
      <c r="A503" s="121" t="s">
        <v>463</v>
      </c>
      <c r="B503" s="121"/>
      <c r="C503" s="121"/>
      <c r="D503" s="121"/>
      <c r="E503" s="121"/>
      <c r="F503" s="121"/>
      <c r="G503" s="121"/>
      <c r="H503" s="121"/>
      <c r="I503" s="121"/>
      <c r="J503" s="42"/>
      <c r="K503" s="42"/>
      <c r="L503" s="42"/>
      <c r="M503" s="158">
        <f>Q478</f>
        <v>11.825600000000001</v>
      </c>
      <c r="N503" s="159"/>
      <c r="O503" s="159"/>
      <c r="P503" s="159"/>
      <c r="Q503" s="159"/>
      <c r="R503" s="159"/>
      <c r="S503" s="159"/>
      <c r="T503" s="117"/>
      <c r="U503" s="117"/>
      <c r="V503" s="117"/>
      <c r="W503" s="118"/>
    </row>
    <row r="504" spans="1:23" s="106" customFormat="1" ht="20.100000000000001" customHeight="1" x14ac:dyDescent="0.25">
      <c r="A504" s="27"/>
      <c r="B504" s="27"/>
      <c r="C504" s="27"/>
      <c r="D504" s="27"/>
      <c r="E504" s="27"/>
      <c r="F504" s="27"/>
      <c r="G504" s="27"/>
      <c r="H504" s="27"/>
      <c r="I504" s="27"/>
      <c r="J504" s="27"/>
      <c r="K504" s="27"/>
      <c r="L504" s="27"/>
      <c r="M504" s="27"/>
      <c r="N504" s="27"/>
      <c r="O504" s="27"/>
      <c r="P504" s="27"/>
      <c r="Q504" s="27"/>
      <c r="R504" s="27"/>
      <c r="S504" s="27"/>
      <c r="T504" s="117"/>
      <c r="U504" s="117"/>
      <c r="V504" s="117"/>
      <c r="W504" s="118"/>
    </row>
    <row r="505" spans="1:23" s="106" customFormat="1" ht="20.100000000000001" customHeight="1" x14ac:dyDescent="0.25">
      <c r="A505" s="132" t="s">
        <v>391</v>
      </c>
      <c r="B505" s="132"/>
      <c r="C505" s="132"/>
      <c r="D505" s="132"/>
      <c r="E505" s="132"/>
      <c r="F505" s="132"/>
      <c r="G505" s="132"/>
      <c r="H505" s="132"/>
      <c r="I505" s="132"/>
      <c r="J505" s="132"/>
      <c r="K505" s="132"/>
      <c r="L505" s="132"/>
      <c r="M505" s="39"/>
      <c r="N505" s="39"/>
      <c r="O505" s="39"/>
      <c r="P505" s="160">
        <f>(K421)+(100-(K421))*(M503/100)</f>
        <v>28.020897959183671</v>
      </c>
      <c r="Q505" s="160"/>
      <c r="R505" s="160"/>
      <c r="S505" s="160"/>
      <c r="T505" s="117"/>
      <c r="U505" s="117"/>
      <c r="V505" s="117"/>
      <c r="W505" s="118"/>
    </row>
    <row r="506" spans="1:23" s="106" customFormat="1" ht="20.100000000000001" customHeight="1" x14ac:dyDescent="0.25">
      <c r="A506" s="132" t="s">
        <v>392</v>
      </c>
      <c r="B506" s="132"/>
      <c r="C506" s="132"/>
      <c r="D506" s="132"/>
      <c r="E506" s="132"/>
      <c r="F506" s="132"/>
      <c r="G506" s="132"/>
      <c r="H506" s="132"/>
      <c r="I506" s="132"/>
      <c r="J506" s="132"/>
      <c r="K506" s="132"/>
      <c r="L506" s="132"/>
      <c r="M506" s="39"/>
      <c r="N506" s="39"/>
      <c r="O506" s="39"/>
      <c r="P506" s="133">
        <f>-(P505/100)</f>
        <v>-0.28020897959183672</v>
      </c>
      <c r="Q506" s="133"/>
      <c r="R506" s="133"/>
      <c r="S506" s="133"/>
      <c r="T506" s="117"/>
      <c r="U506" s="117"/>
      <c r="V506" s="117"/>
      <c r="W506" s="118"/>
    </row>
    <row r="507" spans="1:23" s="106" customFormat="1" ht="20.100000000000001" customHeight="1" x14ac:dyDescent="0.25">
      <c r="A507" s="121" t="s">
        <v>393</v>
      </c>
      <c r="B507" s="121"/>
      <c r="C507" s="121"/>
      <c r="D507" s="121"/>
      <c r="E507" s="121"/>
      <c r="F507" s="121"/>
      <c r="G507" s="121"/>
      <c r="H507" s="121"/>
      <c r="I507" s="121"/>
      <c r="J507" s="121"/>
      <c r="K507" s="121"/>
      <c r="L507" s="121"/>
      <c r="M507" s="42"/>
      <c r="N507" s="42"/>
      <c r="O507" s="42"/>
      <c r="P507" s="134">
        <f>1+P506</f>
        <v>0.71979102040816323</v>
      </c>
      <c r="Q507" s="134"/>
      <c r="R507" s="134"/>
      <c r="S507" s="134"/>
      <c r="T507" s="117"/>
      <c r="U507" s="117"/>
      <c r="V507" s="117"/>
      <c r="W507" s="118"/>
    </row>
    <row r="508" spans="1:23" s="106" customFormat="1" ht="20.100000000000001" customHeight="1" x14ac:dyDescent="0.2">
      <c r="A508" s="27"/>
      <c r="B508" s="27"/>
      <c r="C508" s="43"/>
      <c r="D508" s="27"/>
      <c r="E508" s="27"/>
      <c r="F508" s="27"/>
      <c r="G508" s="27"/>
      <c r="H508" s="27"/>
      <c r="I508" s="27"/>
      <c r="J508" s="27"/>
      <c r="K508" s="27"/>
      <c r="L508" s="27"/>
      <c r="M508" s="27"/>
      <c r="N508" s="27"/>
      <c r="O508" s="27"/>
      <c r="P508" s="27"/>
      <c r="Q508" s="27"/>
      <c r="R508" s="27"/>
      <c r="S508" s="27"/>
      <c r="T508" s="117"/>
      <c r="U508" s="117"/>
      <c r="V508" s="117"/>
      <c r="W508" s="118"/>
    </row>
    <row r="509" spans="1:23" s="106" customFormat="1" ht="20.100000000000001" customHeight="1" x14ac:dyDescent="0.25">
      <c r="A509" s="132" t="s">
        <v>385</v>
      </c>
      <c r="B509" s="132"/>
      <c r="C509" s="132"/>
      <c r="D509" s="132"/>
      <c r="E509" s="132"/>
      <c r="F509" s="132"/>
      <c r="G509" s="132"/>
      <c r="H509" s="132"/>
      <c r="I509" s="132"/>
      <c r="J509" s="132"/>
      <c r="K509" s="132"/>
      <c r="L509" s="132"/>
      <c r="M509" s="132"/>
      <c r="N509" s="157">
        <f>N402</f>
        <v>390153.6532</v>
      </c>
      <c r="O509" s="157"/>
      <c r="P509" s="157"/>
      <c r="Q509" s="157"/>
      <c r="R509" s="157"/>
      <c r="S509" s="157"/>
      <c r="T509" s="117"/>
      <c r="U509" s="117"/>
      <c r="V509" s="117"/>
      <c r="W509" s="118"/>
    </row>
    <row r="510" spans="1:23" s="106" customFormat="1" ht="20.100000000000001" customHeight="1" x14ac:dyDescent="0.25">
      <c r="A510" s="132" t="s">
        <v>394</v>
      </c>
      <c r="B510" s="132"/>
      <c r="C510" s="132"/>
      <c r="D510" s="132"/>
      <c r="E510" s="132"/>
      <c r="F510" s="132"/>
      <c r="G510" s="132"/>
      <c r="H510" s="132"/>
      <c r="I510" s="132"/>
      <c r="J510" s="132"/>
      <c r="K510" s="132"/>
      <c r="L510" s="132"/>
      <c r="M510" s="132"/>
      <c r="N510" s="157">
        <f>N509*P506</f>
        <v>-109324.55704719934</v>
      </c>
      <c r="O510" s="157"/>
      <c r="P510" s="157"/>
      <c r="Q510" s="157"/>
      <c r="R510" s="157"/>
      <c r="S510" s="157"/>
      <c r="T510" s="117"/>
      <c r="U510" s="117"/>
      <c r="V510" s="117"/>
      <c r="W510" s="118"/>
    </row>
    <row r="511" spans="1:23" s="106" customFormat="1" ht="20.100000000000001" customHeight="1" x14ac:dyDescent="0.25">
      <c r="A511" s="27"/>
      <c r="B511" s="27"/>
      <c r="C511" s="27"/>
      <c r="D511" s="27"/>
      <c r="E511" s="27"/>
      <c r="F511" s="27"/>
      <c r="G511" s="27"/>
      <c r="H511" s="27"/>
      <c r="I511" s="27"/>
      <c r="J511" s="27"/>
      <c r="K511" s="27"/>
      <c r="L511" s="27"/>
      <c r="M511" s="27"/>
      <c r="N511" s="27"/>
      <c r="O511" s="27"/>
      <c r="P511" s="27"/>
      <c r="Q511" s="27"/>
      <c r="R511" s="27"/>
      <c r="S511" s="27"/>
      <c r="T511" s="117"/>
      <c r="U511" s="117"/>
      <c r="V511" s="117"/>
      <c r="W511" s="118"/>
    </row>
    <row r="512" spans="1:23" s="106" customFormat="1" ht="20.100000000000001" customHeight="1" x14ac:dyDescent="0.25">
      <c r="A512" s="132" t="s">
        <v>395</v>
      </c>
      <c r="B512" s="132"/>
      <c r="C512" s="132"/>
      <c r="D512" s="132"/>
      <c r="E512" s="132"/>
      <c r="F512" s="132"/>
      <c r="G512" s="132"/>
      <c r="H512" s="132"/>
      <c r="I512" s="132"/>
      <c r="J512" s="132"/>
      <c r="K512" s="132"/>
      <c r="L512" s="132"/>
      <c r="M512" s="132"/>
      <c r="N512" s="157">
        <f>N509+N510</f>
        <v>280829.09615280066</v>
      </c>
      <c r="O512" s="157"/>
      <c r="P512" s="157"/>
      <c r="Q512" s="157"/>
      <c r="R512" s="157"/>
      <c r="S512" s="157"/>
      <c r="T512" s="117"/>
      <c r="U512" s="117"/>
      <c r="V512" s="117"/>
      <c r="W512" s="118"/>
    </row>
    <row r="513" spans="1:25" s="106" customFormat="1" ht="20.100000000000001" customHeight="1" x14ac:dyDescent="0.25">
      <c r="A513" s="27"/>
      <c r="B513" s="27"/>
      <c r="C513" s="27"/>
      <c r="D513" s="27"/>
      <c r="E513" s="27"/>
      <c r="F513" s="27"/>
      <c r="G513" s="27"/>
      <c r="H513" s="27"/>
      <c r="I513" s="27"/>
      <c r="J513" s="27"/>
      <c r="K513" s="27"/>
      <c r="L513" s="27"/>
      <c r="M513" s="27"/>
      <c r="N513" s="27"/>
      <c r="O513" s="27"/>
      <c r="P513" s="27"/>
      <c r="Q513" s="27"/>
      <c r="R513" s="27"/>
      <c r="S513" s="27"/>
      <c r="T513" s="117"/>
      <c r="U513" s="117"/>
      <c r="V513" s="117"/>
      <c r="W513" s="118"/>
    </row>
    <row r="514" spans="1:25" s="106" customFormat="1" ht="20.100000000000001" customHeight="1" x14ac:dyDescent="0.25">
      <c r="A514" s="27"/>
      <c r="B514" s="27"/>
      <c r="C514" s="27"/>
      <c r="D514" s="27"/>
      <c r="E514" s="27"/>
      <c r="F514" s="27"/>
      <c r="G514" s="27"/>
      <c r="H514" s="27"/>
      <c r="I514" s="27"/>
      <c r="J514" s="27"/>
      <c r="K514" s="27"/>
      <c r="L514" s="27"/>
      <c r="M514" s="27"/>
      <c r="N514" s="27"/>
      <c r="O514" s="27"/>
      <c r="P514" s="27"/>
      <c r="Q514" s="27"/>
      <c r="R514" s="27"/>
      <c r="S514" s="27"/>
      <c r="T514" s="117"/>
      <c r="U514" s="117"/>
      <c r="V514" s="117"/>
      <c r="W514" s="118"/>
    </row>
    <row r="515" spans="1:25" s="106" customFormat="1" ht="20.100000000000001" customHeight="1" x14ac:dyDescent="0.25">
      <c r="A515" s="124" t="s">
        <v>396</v>
      </c>
      <c r="B515" s="124"/>
      <c r="C515" s="124"/>
      <c r="D515" s="124"/>
      <c r="E515" s="124"/>
      <c r="F515" s="124"/>
      <c r="G515" s="124"/>
      <c r="H515" s="124"/>
      <c r="I515" s="124"/>
      <c r="J515" s="124"/>
      <c r="K515" s="124"/>
      <c r="L515" s="124"/>
      <c r="M515" s="124"/>
      <c r="N515" s="124"/>
      <c r="O515" s="124"/>
      <c r="P515" s="124"/>
      <c r="Q515" s="124"/>
      <c r="R515" s="124"/>
      <c r="S515" s="124"/>
      <c r="T515" s="117"/>
      <c r="U515" s="117"/>
      <c r="V515" s="117"/>
      <c r="W515" s="118"/>
    </row>
    <row r="516" spans="1:25" s="106" customFormat="1" ht="20.100000000000001" customHeight="1" x14ac:dyDescent="0.25">
      <c r="A516" s="27"/>
      <c r="B516" s="27"/>
      <c r="C516" s="27"/>
      <c r="D516" s="27"/>
      <c r="E516" s="27"/>
      <c r="F516" s="27"/>
      <c r="G516" s="27"/>
      <c r="H516" s="27"/>
      <c r="I516" s="27"/>
      <c r="J516" s="27"/>
      <c r="K516" s="27"/>
      <c r="L516" s="27"/>
      <c r="M516" s="27"/>
      <c r="N516" s="27"/>
      <c r="O516" s="27"/>
      <c r="P516" s="27"/>
      <c r="Q516" s="27"/>
      <c r="R516" s="27"/>
      <c r="S516" s="27"/>
      <c r="T516" s="117"/>
      <c r="U516" s="117"/>
      <c r="V516" s="117"/>
      <c r="W516" s="118"/>
    </row>
    <row r="517" spans="1:25" s="106" customFormat="1" ht="20.100000000000001" customHeight="1" x14ac:dyDescent="0.25">
      <c r="A517" s="132" t="s">
        <v>398</v>
      </c>
      <c r="B517" s="132"/>
      <c r="C517" s="132"/>
      <c r="D517" s="132"/>
      <c r="E517" s="132"/>
      <c r="F517" s="39"/>
      <c r="G517" s="39"/>
      <c r="H517" s="39"/>
      <c r="I517" s="39"/>
      <c r="J517" s="39"/>
      <c r="K517" s="39"/>
      <c r="L517" s="39"/>
      <c r="M517" s="156" t="s">
        <v>268</v>
      </c>
      <c r="N517" s="156"/>
      <c r="O517" s="156"/>
      <c r="P517" s="156"/>
      <c r="Q517" s="156"/>
      <c r="R517" s="156"/>
      <c r="S517" s="156"/>
      <c r="T517" s="117"/>
      <c r="U517" s="117"/>
      <c r="V517" s="117"/>
      <c r="W517" s="118"/>
    </row>
    <row r="518" spans="1:25" s="106" customFormat="1" ht="20.100000000000001" customHeight="1" x14ac:dyDescent="0.25">
      <c r="A518" s="132" t="s">
        <v>399</v>
      </c>
      <c r="B518" s="132"/>
      <c r="C518" s="132"/>
      <c r="D518" s="132"/>
      <c r="E518" s="132"/>
      <c r="F518" s="39"/>
      <c r="G518" s="39"/>
      <c r="H518" s="39"/>
      <c r="I518" s="39"/>
      <c r="J518" s="39"/>
      <c r="K518" s="39"/>
      <c r="L518" s="39"/>
      <c r="M518" s="46">
        <f>F407</f>
        <v>20</v>
      </c>
      <c r="N518" s="39" t="s">
        <v>400</v>
      </c>
      <c r="O518" s="39"/>
      <c r="P518" s="39"/>
      <c r="Q518" s="39"/>
      <c r="R518" s="39"/>
      <c r="S518" s="39"/>
      <c r="T518" s="117"/>
      <c r="U518" s="117"/>
      <c r="V518" s="117"/>
      <c r="W518" s="118"/>
    </row>
    <row r="519" spans="1:25" s="106" customFormat="1" ht="20.100000000000001" customHeight="1" x14ac:dyDescent="0.25">
      <c r="A519" s="27"/>
      <c r="B519" s="27"/>
      <c r="C519" s="27"/>
      <c r="D519" s="27"/>
      <c r="E519" s="27"/>
      <c r="F519" s="27"/>
      <c r="G519" s="27"/>
      <c r="H519" s="27"/>
      <c r="I519" s="27"/>
      <c r="J519" s="27"/>
      <c r="K519" s="27"/>
      <c r="L519" s="27"/>
      <c r="M519" s="27"/>
      <c r="N519" s="27"/>
      <c r="O519" s="27"/>
      <c r="P519" s="27"/>
      <c r="Q519" s="27"/>
      <c r="R519" s="27"/>
      <c r="S519" s="27"/>
      <c r="T519" s="117"/>
      <c r="U519" s="117"/>
      <c r="V519" s="117"/>
      <c r="W519" s="118"/>
    </row>
    <row r="520" spans="1:25" s="106" customFormat="1" ht="20.100000000000001" customHeight="1" x14ac:dyDescent="0.25">
      <c r="A520" s="132" t="s">
        <v>401</v>
      </c>
      <c r="B520" s="132"/>
      <c r="C520" s="132"/>
      <c r="D520" s="132"/>
      <c r="E520" s="132"/>
      <c r="F520" s="132"/>
      <c r="G520" s="132"/>
      <c r="H520" s="132"/>
      <c r="I520" s="132"/>
      <c r="J520" s="132"/>
      <c r="K520" s="132"/>
      <c r="L520" s="132"/>
      <c r="M520" s="132"/>
      <c r="N520" s="157">
        <f>N386</f>
        <v>164961.21242937853</v>
      </c>
      <c r="O520" s="157"/>
      <c r="P520" s="157"/>
      <c r="Q520" s="157"/>
      <c r="R520" s="157"/>
      <c r="S520" s="157"/>
      <c r="T520" s="117"/>
      <c r="U520" s="117"/>
      <c r="V520" s="117"/>
      <c r="W520" s="118"/>
      <c r="X520" s="106" t="s">
        <v>397</v>
      </c>
    </row>
    <row r="521" spans="1:25" s="106" customFormat="1" ht="20.100000000000001" customHeight="1" x14ac:dyDescent="0.25">
      <c r="A521" s="132" t="s">
        <v>402</v>
      </c>
      <c r="B521" s="132"/>
      <c r="C521" s="132"/>
      <c r="D521" s="132"/>
      <c r="E521" s="132"/>
      <c r="F521" s="132"/>
      <c r="G521" s="132"/>
      <c r="H521" s="132"/>
      <c r="I521" s="132"/>
      <c r="J521" s="132"/>
      <c r="K521" s="132"/>
      <c r="L521" s="132"/>
      <c r="M521" s="132"/>
      <c r="N521" s="157">
        <f>N512</f>
        <v>280829.09615280066</v>
      </c>
      <c r="O521" s="157"/>
      <c r="P521" s="157"/>
      <c r="Q521" s="157"/>
      <c r="R521" s="157"/>
      <c r="S521" s="157"/>
      <c r="T521" s="117"/>
      <c r="U521" s="117"/>
      <c r="V521" s="117"/>
      <c r="W521" s="118"/>
      <c r="X521" s="106" t="s">
        <v>460</v>
      </c>
      <c r="Y521" s="106">
        <f>MATCH(M518,'VANTAGEM DA COISA FEITA'!U12:U81,0)</f>
        <v>20</v>
      </c>
    </row>
    <row r="522" spans="1:25" s="106" customFormat="1" ht="20.100000000000001" customHeight="1" x14ac:dyDescent="0.25">
      <c r="A522" s="27"/>
      <c r="B522" s="27"/>
      <c r="C522" s="27"/>
      <c r="D522" s="27"/>
      <c r="E522" s="27"/>
      <c r="F522" s="27"/>
      <c r="G522" s="27"/>
      <c r="H522" s="27"/>
      <c r="I522" s="27"/>
      <c r="J522" s="27"/>
      <c r="K522" s="27"/>
      <c r="L522" s="27"/>
      <c r="M522" s="27"/>
      <c r="N522" s="27"/>
      <c r="O522" s="27"/>
      <c r="P522" s="27"/>
      <c r="Q522" s="27"/>
      <c r="R522" s="27"/>
      <c r="S522" s="27"/>
      <c r="T522" s="117"/>
      <c r="U522" s="117"/>
      <c r="V522" s="117"/>
      <c r="W522" s="118"/>
      <c r="X522" s="106" t="s">
        <v>461</v>
      </c>
      <c r="Y522" s="106">
        <f>MATCH(M517,'VANTAGEM DA COISA FEITA'!V11:Y11,0)</f>
        <v>3</v>
      </c>
    </row>
    <row r="523" spans="1:25" s="106" customFormat="1" ht="20.100000000000001" customHeight="1" x14ac:dyDescent="0.25">
      <c r="A523" s="132" t="s">
        <v>403</v>
      </c>
      <c r="B523" s="132"/>
      <c r="C523" s="132"/>
      <c r="D523" s="132"/>
      <c r="E523" s="132"/>
      <c r="F523" s="132"/>
      <c r="G523" s="132"/>
      <c r="H523" s="132"/>
      <c r="I523" s="132"/>
      <c r="J523" s="132"/>
      <c r="K523" s="132"/>
      <c r="L523" s="132"/>
      <c r="M523" s="132"/>
      <c r="N523" s="157">
        <f>N520+N521</f>
        <v>445790.30858217919</v>
      </c>
      <c r="O523" s="157"/>
      <c r="P523" s="157"/>
      <c r="Q523" s="157"/>
      <c r="R523" s="157"/>
      <c r="S523" s="157"/>
      <c r="T523" s="117"/>
      <c r="U523" s="117"/>
      <c r="V523" s="117"/>
      <c r="W523" s="118"/>
      <c r="X523" s="106" t="s">
        <v>462</v>
      </c>
      <c r="Y523" s="106" cm="1">
        <f t="array" ref="Y523">INDEX('VANTAGEM DA COISA FEITA'!V12:Y81,Y521,Y522)</f>
        <v>5.2000000000000005E-2</v>
      </c>
    </row>
    <row r="524" spans="1:25" s="106" customFormat="1" ht="20.100000000000001" customHeight="1" x14ac:dyDescent="0.25">
      <c r="A524" s="132" t="s">
        <v>404</v>
      </c>
      <c r="B524" s="132"/>
      <c r="C524" s="132"/>
      <c r="D524" s="132"/>
      <c r="E524" s="132"/>
      <c r="F524" s="132"/>
      <c r="G524" s="132"/>
      <c r="H524" s="132"/>
      <c r="I524" s="132"/>
      <c r="J524" s="132"/>
      <c r="K524" s="132"/>
      <c r="L524" s="132"/>
      <c r="M524" s="132"/>
      <c r="N524" s="132">
        <f>1+Y523</f>
        <v>1.052</v>
      </c>
      <c r="O524" s="132"/>
      <c r="P524" s="132"/>
      <c r="Q524" s="132"/>
      <c r="R524" s="132"/>
      <c r="S524" s="132"/>
      <c r="T524" s="117"/>
      <c r="U524" s="117"/>
      <c r="V524" s="117"/>
      <c r="W524" s="118"/>
    </row>
    <row r="525" spans="1:25" s="106" customFormat="1" ht="20.100000000000001" customHeight="1" x14ac:dyDescent="0.25">
      <c r="A525" s="27"/>
      <c r="B525" s="27"/>
      <c r="C525" s="27"/>
      <c r="D525" s="27"/>
      <c r="E525" s="27"/>
      <c r="F525" s="27"/>
      <c r="G525" s="27"/>
      <c r="H525" s="27"/>
      <c r="I525" s="27"/>
      <c r="J525" s="27"/>
      <c r="K525" s="27"/>
      <c r="L525" s="27"/>
      <c r="M525" s="27"/>
      <c r="N525" s="27"/>
      <c r="O525" s="27"/>
      <c r="P525" s="27"/>
      <c r="Q525" s="27"/>
      <c r="R525" s="27"/>
      <c r="S525" s="27"/>
      <c r="T525" s="117"/>
      <c r="U525" s="117"/>
      <c r="V525" s="117"/>
      <c r="W525" s="118"/>
      <c r="Y525" s="107"/>
    </row>
    <row r="526" spans="1:25" s="106" customFormat="1" ht="20.100000000000001" customHeight="1" x14ac:dyDescent="0.25">
      <c r="A526" s="132" t="s">
        <v>406</v>
      </c>
      <c r="B526" s="132"/>
      <c r="C526" s="132"/>
      <c r="D526" s="132"/>
      <c r="E526" s="132"/>
      <c r="F526" s="132"/>
      <c r="G526" s="132"/>
      <c r="H526" s="132"/>
      <c r="I526" s="132"/>
      <c r="J526" s="132"/>
      <c r="K526" s="132"/>
      <c r="L526" s="132"/>
      <c r="M526" s="132"/>
      <c r="N526" s="157">
        <f>N523*N524</f>
        <v>468971.40462845255</v>
      </c>
      <c r="O526" s="157"/>
      <c r="P526" s="157"/>
      <c r="Q526" s="157"/>
      <c r="R526" s="157"/>
      <c r="S526" s="157"/>
      <c r="T526" s="117"/>
      <c r="U526" s="117"/>
      <c r="V526" s="117"/>
      <c r="W526" s="118"/>
      <c r="Y526" s="107"/>
    </row>
    <row r="527" spans="1:25" s="106" customFormat="1" ht="20.100000000000001" customHeight="1" x14ac:dyDescent="0.25">
      <c r="A527" s="27"/>
      <c r="B527" s="27"/>
      <c r="C527" s="27"/>
      <c r="D527" s="27"/>
      <c r="E527" s="27"/>
      <c r="F527" s="27"/>
      <c r="G527" s="27"/>
      <c r="H527" s="27"/>
      <c r="I527" s="27"/>
      <c r="J527" s="27"/>
      <c r="K527" s="27"/>
      <c r="L527" s="27"/>
      <c r="M527" s="27"/>
      <c r="N527" s="27"/>
      <c r="O527" s="27"/>
      <c r="P527" s="27"/>
      <c r="Q527" s="27"/>
      <c r="R527" s="27"/>
      <c r="S527" s="27"/>
      <c r="T527" s="117"/>
      <c r="U527" s="117"/>
      <c r="V527" s="117"/>
      <c r="W527" s="118"/>
      <c r="Y527" s="107"/>
    </row>
    <row r="528" spans="1:25" s="106" customFormat="1" ht="20.100000000000001" customHeight="1" x14ac:dyDescent="0.25">
      <c r="A528" s="27"/>
      <c r="B528" s="27"/>
      <c r="C528" s="27"/>
      <c r="D528" s="27"/>
      <c r="E528" s="27"/>
      <c r="F528" s="27"/>
      <c r="G528" s="27"/>
      <c r="H528" s="27"/>
      <c r="I528" s="27"/>
      <c r="J528" s="27"/>
      <c r="K528" s="27"/>
      <c r="L528" s="27"/>
      <c r="M528" s="27"/>
      <c r="N528" s="27"/>
      <c r="O528" s="27"/>
      <c r="P528" s="27"/>
      <c r="Q528" s="27"/>
      <c r="R528" s="27"/>
      <c r="S528" s="27"/>
      <c r="T528" s="117"/>
      <c r="U528" s="117"/>
      <c r="V528" s="117"/>
      <c r="W528" s="118"/>
    </row>
    <row r="529" spans="1:25" s="106" customFormat="1" ht="20.100000000000001" customHeight="1" x14ac:dyDescent="0.25">
      <c r="A529" s="132" t="s">
        <v>408</v>
      </c>
      <c r="B529" s="132"/>
      <c r="C529" s="132"/>
      <c r="D529" s="132"/>
      <c r="E529" s="132"/>
      <c r="F529" s="132"/>
      <c r="G529" s="132"/>
      <c r="H529" s="132"/>
      <c r="I529" s="132"/>
      <c r="J529" s="132"/>
      <c r="K529" s="132"/>
      <c r="L529" s="132"/>
      <c r="M529" s="132"/>
      <c r="N529" s="132"/>
      <c r="O529" s="132"/>
      <c r="P529" s="132"/>
      <c r="Q529" s="132"/>
      <c r="R529" s="132"/>
      <c r="S529" s="132"/>
      <c r="T529" s="117"/>
      <c r="U529" s="117"/>
      <c r="V529" s="117"/>
      <c r="W529" s="118"/>
    </row>
    <row r="530" spans="1:25" s="106" customFormat="1" ht="20.100000000000001" customHeight="1" x14ac:dyDescent="0.25">
      <c r="A530" s="27"/>
      <c r="B530" s="27"/>
      <c r="C530" s="27"/>
      <c r="D530" s="27"/>
      <c r="E530" s="27"/>
      <c r="F530" s="27"/>
      <c r="G530" s="27"/>
      <c r="H530" s="27"/>
      <c r="I530" s="27"/>
      <c r="J530" s="27"/>
      <c r="K530" s="27"/>
      <c r="L530" s="27"/>
      <c r="M530" s="27"/>
      <c r="N530" s="27"/>
      <c r="O530" s="27"/>
      <c r="P530" s="27"/>
      <c r="Q530" s="27"/>
      <c r="R530" s="27"/>
      <c r="S530" s="27"/>
      <c r="T530" s="117"/>
      <c r="U530" s="117"/>
      <c r="V530" s="117"/>
      <c r="W530" s="118"/>
      <c r="X530" s="106" t="s">
        <v>405</v>
      </c>
      <c r="Y530" s="108">
        <f>N520/(N520+N521)</f>
        <v>0.37004216837739701</v>
      </c>
    </row>
    <row r="531" spans="1:25" s="106" customFormat="1" ht="20.100000000000001" customHeight="1" x14ac:dyDescent="0.25">
      <c r="A531" s="27"/>
      <c r="B531" s="27"/>
      <c r="C531" s="27"/>
      <c r="D531" s="27"/>
      <c r="E531" s="27"/>
      <c r="F531" s="27"/>
      <c r="G531" s="27"/>
      <c r="H531" s="27"/>
      <c r="I531" s="27"/>
      <c r="J531" s="27"/>
      <c r="K531" s="27"/>
      <c r="L531" s="27"/>
      <c r="M531" s="27"/>
      <c r="N531" s="27"/>
      <c r="O531" s="27"/>
      <c r="P531" s="27"/>
      <c r="Q531" s="27"/>
      <c r="R531" s="27"/>
      <c r="S531" s="27"/>
      <c r="T531" s="117"/>
      <c r="U531" s="117"/>
      <c r="V531" s="117"/>
      <c r="W531" s="118"/>
      <c r="X531" s="106" t="s">
        <v>407</v>
      </c>
      <c r="Y531" s="108">
        <f>N521/(N520+N521)</f>
        <v>0.62995783162260299</v>
      </c>
    </row>
    <row r="532" spans="1:25" s="106" customFormat="1" ht="20.100000000000001" customHeight="1" x14ac:dyDescent="0.25">
      <c r="A532" s="27"/>
      <c r="B532" s="27"/>
      <c r="C532" s="27"/>
      <c r="D532" s="27"/>
      <c r="E532" s="27"/>
      <c r="F532" s="27"/>
      <c r="G532" s="27"/>
      <c r="H532" s="27"/>
      <c r="I532" s="27"/>
      <c r="J532" s="27"/>
      <c r="K532" s="27"/>
      <c r="L532" s="27"/>
      <c r="M532" s="27"/>
      <c r="N532" s="27"/>
      <c r="O532" s="27"/>
      <c r="P532" s="27"/>
      <c r="Q532" s="27"/>
      <c r="R532" s="27"/>
      <c r="S532" s="27"/>
      <c r="T532" s="117"/>
      <c r="U532" s="117"/>
      <c r="V532" s="117"/>
      <c r="W532" s="118"/>
    </row>
    <row r="533" spans="1:25" s="106" customFormat="1" ht="20.100000000000001" customHeight="1" x14ac:dyDescent="0.25">
      <c r="A533" s="27"/>
      <c r="B533" s="27"/>
      <c r="C533" s="27"/>
      <c r="D533" s="27"/>
      <c r="E533" s="27"/>
      <c r="F533" s="27"/>
      <c r="G533" s="27"/>
      <c r="H533" s="27"/>
      <c r="I533" s="27"/>
      <c r="J533" s="27"/>
      <c r="K533" s="27"/>
      <c r="L533" s="27"/>
      <c r="M533" s="27"/>
      <c r="N533" s="27"/>
      <c r="O533" s="27"/>
      <c r="P533" s="27"/>
      <c r="Q533" s="27"/>
      <c r="R533" s="27"/>
      <c r="S533" s="27"/>
      <c r="T533" s="117"/>
      <c r="U533" s="117"/>
      <c r="V533" s="117"/>
      <c r="W533" s="118"/>
    </row>
    <row r="534" spans="1:25" s="106" customFormat="1" ht="20.100000000000001" customHeight="1" x14ac:dyDescent="0.25">
      <c r="A534" s="27"/>
      <c r="B534" s="27"/>
      <c r="C534" s="27"/>
      <c r="D534" s="27"/>
      <c r="E534" s="27"/>
      <c r="F534" s="27"/>
      <c r="G534" s="27"/>
      <c r="H534" s="27"/>
      <c r="I534" s="27"/>
      <c r="J534" s="27"/>
      <c r="K534" s="27"/>
      <c r="L534" s="27"/>
      <c r="M534" s="27"/>
      <c r="N534" s="27"/>
      <c r="O534" s="27"/>
      <c r="P534" s="27"/>
      <c r="Q534" s="27"/>
      <c r="R534" s="27"/>
      <c r="S534" s="27"/>
      <c r="T534" s="117"/>
      <c r="U534" s="117"/>
      <c r="V534" s="117"/>
      <c r="W534" s="118"/>
    </row>
    <row r="535" spans="1:25" s="106" customFormat="1" ht="20.100000000000001" customHeight="1" x14ac:dyDescent="0.25">
      <c r="A535" s="27"/>
      <c r="B535" s="27"/>
      <c r="C535" s="27"/>
      <c r="D535" s="27"/>
      <c r="E535" s="27"/>
      <c r="F535" s="27"/>
      <c r="G535" s="27"/>
      <c r="H535" s="27"/>
      <c r="I535" s="27"/>
      <c r="J535" s="27"/>
      <c r="K535" s="27"/>
      <c r="L535" s="27"/>
      <c r="M535" s="27"/>
      <c r="N535" s="27"/>
      <c r="O535" s="27"/>
      <c r="P535" s="27"/>
      <c r="Q535" s="27"/>
      <c r="R535" s="27"/>
      <c r="S535" s="27"/>
      <c r="T535" s="117"/>
      <c r="U535" s="117"/>
      <c r="V535" s="117"/>
      <c r="W535" s="118"/>
    </row>
    <row r="536" spans="1:25" s="106" customFormat="1" ht="20.100000000000001" customHeight="1" x14ac:dyDescent="0.2">
      <c r="A536" s="44"/>
      <c r="B536" s="44"/>
      <c r="C536" s="44"/>
      <c r="D536" s="44"/>
      <c r="E536" s="44"/>
      <c r="F536" s="44"/>
      <c r="G536" s="44"/>
      <c r="H536" s="44"/>
      <c r="I536" s="44"/>
      <c r="J536" s="44"/>
      <c r="K536" s="44"/>
      <c r="L536" s="44"/>
      <c r="M536" s="44"/>
      <c r="N536" s="44"/>
      <c r="O536" s="44"/>
      <c r="P536" s="44"/>
      <c r="Q536" s="44"/>
      <c r="R536" s="44"/>
      <c r="S536" s="44"/>
      <c r="T536" s="117"/>
      <c r="U536" s="117"/>
      <c r="V536" s="117"/>
      <c r="W536" s="118"/>
    </row>
    <row r="537" spans="1:25" s="106" customFormat="1" ht="20.100000000000001" customHeight="1" x14ac:dyDescent="0.25">
      <c r="A537" s="27"/>
      <c r="B537" s="27"/>
      <c r="C537" s="27"/>
      <c r="D537" s="27"/>
      <c r="E537" s="27"/>
      <c r="F537" s="27"/>
      <c r="G537" s="27"/>
      <c r="H537" s="27"/>
      <c r="I537" s="27"/>
      <c r="J537" s="27"/>
      <c r="K537" s="27"/>
      <c r="L537" s="27"/>
      <c r="M537" s="27"/>
      <c r="N537" s="27"/>
      <c r="O537" s="27"/>
      <c r="P537" s="27"/>
      <c r="Q537" s="27"/>
      <c r="R537" s="27"/>
      <c r="S537" s="27"/>
      <c r="T537" s="117"/>
      <c r="U537" s="117"/>
      <c r="V537" s="117"/>
      <c r="W537" s="118"/>
    </row>
    <row r="538" spans="1:25" s="106" customFormat="1" ht="20.100000000000001" customHeight="1" x14ac:dyDescent="0.25">
      <c r="A538" s="27"/>
      <c r="B538" s="27"/>
      <c r="C538" s="27"/>
      <c r="D538" s="27"/>
      <c r="E538" s="27"/>
      <c r="F538" s="27"/>
      <c r="G538" s="27"/>
      <c r="H538" s="27"/>
      <c r="I538" s="27"/>
      <c r="J538" s="27"/>
      <c r="K538" s="27"/>
      <c r="L538" s="27"/>
      <c r="M538" s="27"/>
      <c r="N538" s="27"/>
      <c r="O538" s="27"/>
      <c r="P538" s="27"/>
      <c r="Q538" s="27"/>
      <c r="R538" s="27"/>
      <c r="S538" s="27"/>
      <c r="T538" s="117"/>
      <c r="U538" s="117"/>
      <c r="V538" s="117"/>
      <c r="W538" s="118"/>
    </row>
    <row r="539" spans="1:25" s="106" customFormat="1" ht="20.100000000000001" customHeight="1" x14ac:dyDescent="0.25">
      <c r="A539" s="27"/>
      <c r="B539" s="27"/>
      <c r="C539" s="27"/>
      <c r="D539" s="27"/>
      <c r="E539" s="27"/>
      <c r="F539" s="27"/>
      <c r="G539" s="27"/>
      <c r="H539" s="27"/>
      <c r="I539" s="27"/>
      <c r="J539" s="27"/>
      <c r="K539" s="27"/>
      <c r="L539" s="27"/>
      <c r="M539" s="27"/>
      <c r="N539" s="27"/>
      <c r="O539" s="27"/>
      <c r="P539" s="27"/>
      <c r="Q539" s="27"/>
      <c r="R539" s="27"/>
      <c r="S539" s="27"/>
      <c r="T539" s="117"/>
      <c r="U539" s="117"/>
      <c r="V539" s="117"/>
      <c r="W539" s="118"/>
    </row>
    <row r="540" spans="1:25" s="106" customFormat="1" ht="20.100000000000001" customHeight="1" x14ac:dyDescent="0.25">
      <c r="A540" s="27"/>
      <c r="B540" s="27"/>
      <c r="C540" s="27"/>
      <c r="D540" s="27"/>
      <c r="E540" s="27"/>
      <c r="F540" s="27"/>
      <c r="G540" s="27"/>
      <c r="H540" s="27"/>
      <c r="I540" s="27"/>
      <c r="J540" s="27"/>
      <c r="K540" s="27"/>
      <c r="L540" s="27"/>
      <c r="M540" s="27"/>
      <c r="N540" s="27"/>
      <c r="O540" s="27"/>
      <c r="P540" s="27"/>
      <c r="Q540" s="27"/>
      <c r="R540" s="27"/>
      <c r="S540" s="27"/>
      <c r="T540" s="117"/>
      <c r="U540" s="117"/>
      <c r="V540" s="117"/>
      <c r="W540" s="118"/>
    </row>
    <row r="541" spans="1:25" s="106" customFormat="1" ht="20.100000000000001" customHeight="1" x14ac:dyDescent="0.25">
      <c r="A541" s="27"/>
      <c r="B541" s="27"/>
      <c r="C541" s="27"/>
      <c r="D541" s="27"/>
      <c r="E541" s="27"/>
      <c r="F541" s="27"/>
      <c r="G541" s="27"/>
      <c r="H541" s="27"/>
      <c r="I541" s="27"/>
      <c r="J541" s="27"/>
      <c r="K541" s="27"/>
      <c r="L541" s="27"/>
      <c r="M541" s="27"/>
      <c r="N541" s="27"/>
      <c r="O541" s="27"/>
      <c r="P541" s="27"/>
      <c r="Q541" s="27"/>
      <c r="R541" s="27"/>
      <c r="S541" s="27"/>
      <c r="T541" s="117"/>
      <c r="U541" s="117"/>
      <c r="V541" s="117"/>
      <c r="W541" s="118"/>
    </row>
    <row r="542" spans="1:25" s="106" customFormat="1" ht="20.100000000000001" customHeight="1" x14ac:dyDescent="0.25">
      <c r="A542" s="27"/>
      <c r="B542" s="27"/>
      <c r="C542" s="27"/>
      <c r="D542" s="27"/>
      <c r="E542" s="27"/>
      <c r="F542" s="27"/>
      <c r="G542" s="27"/>
      <c r="H542" s="27"/>
      <c r="I542" s="27"/>
      <c r="J542" s="27"/>
      <c r="K542" s="27"/>
      <c r="L542" s="27"/>
      <c r="M542" s="27"/>
      <c r="N542" s="27"/>
      <c r="O542" s="27"/>
      <c r="P542" s="27"/>
      <c r="Q542" s="27"/>
      <c r="R542" s="27"/>
      <c r="S542" s="27"/>
      <c r="T542" s="117"/>
      <c r="U542" s="117"/>
      <c r="V542" s="117"/>
      <c r="W542" s="118"/>
    </row>
    <row r="543" spans="1:25" s="106" customFormat="1" ht="20.100000000000001" customHeight="1" x14ac:dyDescent="0.25">
      <c r="A543" s="154" t="s">
        <v>77</v>
      </c>
      <c r="B543" s="154"/>
      <c r="C543" s="154"/>
      <c r="D543" s="154"/>
      <c r="E543" s="154"/>
      <c r="F543" s="154"/>
      <c r="G543" s="154"/>
      <c r="H543" s="154"/>
      <c r="I543" s="154"/>
      <c r="J543" s="154"/>
      <c r="K543" s="154"/>
      <c r="L543" s="154"/>
      <c r="M543" s="154"/>
      <c r="N543" s="155"/>
      <c r="O543" s="155"/>
      <c r="P543" s="155"/>
      <c r="Q543" s="155"/>
      <c r="R543" s="155"/>
      <c r="S543" s="155"/>
      <c r="T543" s="117"/>
      <c r="U543" s="117"/>
      <c r="V543" s="117"/>
      <c r="W543" s="118"/>
    </row>
    <row r="544" spans="1:25" s="106" customFormat="1" ht="20.100000000000001" customHeight="1" x14ac:dyDescent="0.25">
      <c r="A544" s="132" t="s">
        <v>78</v>
      </c>
      <c r="B544" s="132"/>
      <c r="C544" s="132"/>
      <c r="D544" s="132"/>
      <c r="E544" s="132"/>
      <c r="F544" s="132"/>
      <c r="G544" s="132"/>
      <c r="H544" s="132"/>
      <c r="I544" s="132"/>
      <c r="J544" s="132"/>
      <c r="K544" s="132"/>
      <c r="L544" s="132"/>
      <c r="M544" s="132"/>
      <c r="N544" s="156">
        <v>3</v>
      </c>
      <c r="O544" s="156"/>
      <c r="P544" s="156"/>
      <c r="Q544" s="156"/>
      <c r="R544" s="156"/>
      <c r="S544" s="156"/>
      <c r="T544" s="120" t="str">
        <f>IF(N546&gt;0.01,"Reduzir o número de casas decimais","")</f>
        <v/>
      </c>
      <c r="U544" s="120"/>
      <c r="V544" s="117"/>
      <c r="W544" s="118"/>
    </row>
    <row r="545" spans="1:23" s="106" customFormat="1" ht="20.100000000000001" customHeight="1" x14ac:dyDescent="0.25">
      <c r="A545" s="121" t="s">
        <v>79</v>
      </c>
      <c r="B545" s="121"/>
      <c r="C545" s="121"/>
      <c r="D545" s="121"/>
      <c r="E545" s="121"/>
      <c r="F545" s="121"/>
      <c r="G545" s="121"/>
      <c r="H545" s="121"/>
      <c r="I545" s="121"/>
      <c r="J545" s="121"/>
      <c r="K545" s="121"/>
      <c r="L545" s="121"/>
      <c r="M545" s="121"/>
      <c r="N545" s="122">
        <f>N548-N526</f>
        <v>28.595371547446121</v>
      </c>
      <c r="O545" s="121"/>
      <c r="P545" s="121"/>
      <c r="Q545" s="121"/>
      <c r="R545" s="121"/>
      <c r="S545" s="121"/>
      <c r="T545" s="117"/>
      <c r="U545" s="117"/>
      <c r="V545" s="117"/>
      <c r="W545" s="118"/>
    </row>
    <row r="546" spans="1:23" s="106" customFormat="1" ht="20.100000000000001" customHeight="1" x14ac:dyDescent="0.25">
      <c r="A546" s="121" t="s">
        <v>80</v>
      </c>
      <c r="B546" s="121"/>
      <c r="C546" s="121"/>
      <c r="D546" s="121"/>
      <c r="E546" s="121"/>
      <c r="F546" s="121"/>
      <c r="G546" s="121"/>
      <c r="H546" s="121"/>
      <c r="I546" s="121"/>
      <c r="J546" s="121"/>
      <c r="K546" s="121"/>
      <c r="L546" s="121"/>
      <c r="M546" s="121"/>
      <c r="N546" s="123">
        <f>N545/N526</f>
        <v>6.0974659148143798E-5</v>
      </c>
      <c r="O546" s="123"/>
      <c r="P546" s="123"/>
      <c r="Q546" s="123"/>
      <c r="R546" s="123"/>
      <c r="S546" s="123"/>
      <c r="T546" s="117"/>
      <c r="U546" s="117"/>
      <c r="V546" s="117"/>
      <c r="W546" s="118"/>
    </row>
    <row r="547" spans="1:23" s="106" customFormat="1" ht="20.100000000000001" customHeight="1" x14ac:dyDescent="0.25">
      <c r="A547" s="27"/>
      <c r="B547" s="27"/>
      <c r="C547" s="27"/>
      <c r="D547" s="27"/>
      <c r="E547" s="27"/>
      <c r="F547" s="27"/>
      <c r="G547" s="27"/>
      <c r="H547" s="27"/>
      <c r="I547" s="27"/>
      <c r="J547" s="27"/>
      <c r="K547" s="27"/>
      <c r="L547" s="27"/>
      <c r="M547" s="27"/>
      <c r="N547" s="27"/>
      <c r="O547" s="27"/>
      <c r="P547" s="27"/>
      <c r="Q547" s="27"/>
      <c r="R547" s="27"/>
      <c r="S547" s="27"/>
      <c r="T547" s="117"/>
      <c r="U547" s="117"/>
      <c r="V547" s="117"/>
      <c r="W547" s="118"/>
    </row>
    <row r="548" spans="1:23" s="106" customFormat="1" ht="20.100000000000001" customHeight="1" x14ac:dyDescent="0.25">
      <c r="A548" s="124" t="s">
        <v>76</v>
      </c>
      <c r="B548" s="124"/>
      <c r="C548" s="124"/>
      <c r="D548" s="124"/>
      <c r="E548" s="124"/>
      <c r="F548" s="124"/>
      <c r="G548" s="124"/>
      <c r="H548" s="124"/>
      <c r="I548" s="124"/>
      <c r="J548" s="124"/>
      <c r="K548" s="124"/>
      <c r="L548" s="124"/>
      <c r="M548" s="124"/>
      <c r="N548" s="125">
        <f>ROUNDUP(N526,-N544)</f>
        <v>469000</v>
      </c>
      <c r="O548" s="125"/>
      <c r="P548" s="125"/>
      <c r="Q548" s="125"/>
      <c r="R548" s="125"/>
      <c r="S548" s="125"/>
      <c r="T548" s="117"/>
      <c r="U548" s="117"/>
      <c r="V548" s="117"/>
      <c r="W548" s="118"/>
    </row>
    <row r="549" spans="1:23" s="106" customFormat="1" ht="20.100000000000001" customHeight="1" x14ac:dyDescent="0.25">
      <c r="A549" s="27"/>
      <c r="B549" s="27"/>
      <c r="C549" s="27"/>
      <c r="D549" s="27"/>
      <c r="E549" s="27"/>
      <c r="F549" s="27"/>
      <c r="G549" s="27"/>
      <c r="H549" s="27"/>
      <c r="I549" s="27"/>
      <c r="J549" s="27"/>
      <c r="K549" s="27"/>
      <c r="L549" s="27"/>
      <c r="M549" s="27"/>
      <c r="N549" s="27"/>
      <c r="O549" s="27"/>
      <c r="P549" s="27"/>
      <c r="Q549" s="27"/>
      <c r="R549" s="27"/>
      <c r="S549" s="27"/>
      <c r="T549" s="117"/>
      <c r="U549" s="117"/>
      <c r="V549" s="117"/>
      <c r="W549" s="118"/>
    </row>
    <row r="550" spans="1:23" s="106" customFormat="1" ht="20.100000000000001" customHeight="1" x14ac:dyDescent="0.25">
      <c r="A550" s="27"/>
      <c r="B550" s="27"/>
      <c r="C550" s="27"/>
      <c r="D550" s="27"/>
      <c r="E550" s="27"/>
      <c r="F550" s="27"/>
      <c r="G550" s="27"/>
      <c r="H550" s="27"/>
      <c r="I550" s="27"/>
      <c r="J550" s="27"/>
      <c r="K550" s="27"/>
      <c r="L550" s="27"/>
      <c r="M550" s="27"/>
      <c r="N550" s="27"/>
      <c r="O550" s="27"/>
      <c r="P550" s="27"/>
      <c r="Q550" s="27"/>
      <c r="R550" s="27"/>
      <c r="S550" s="27"/>
      <c r="T550" s="117"/>
      <c r="U550" s="117"/>
      <c r="V550" s="117"/>
      <c r="W550" s="118"/>
    </row>
    <row r="551" spans="1:23" s="106" customFormat="1" ht="20.100000000000001" customHeight="1" x14ac:dyDescent="0.25">
      <c r="A551" s="126"/>
      <c r="B551" s="126"/>
      <c r="C551" s="126"/>
      <c r="D551" s="126"/>
      <c r="E551" s="126"/>
      <c r="F551" s="126"/>
      <c r="G551" s="126"/>
      <c r="H551" s="126"/>
      <c r="I551" s="126"/>
      <c r="J551" s="126"/>
      <c r="K551" s="126"/>
      <c r="L551" s="126"/>
      <c r="M551" s="126"/>
      <c r="N551" s="126"/>
      <c r="O551" s="126"/>
      <c r="P551" s="126"/>
      <c r="Q551" s="126"/>
      <c r="R551" s="126"/>
      <c r="S551" s="126"/>
      <c r="T551" s="117"/>
      <c r="U551" s="117"/>
      <c r="V551" s="117"/>
      <c r="W551" s="118"/>
    </row>
    <row r="552" spans="1:23" s="106" customFormat="1" ht="20.100000000000001" customHeight="1" x14ac:dyDescent="0.25">
      <c r="A552" s="126" t="s">
        <v>85</v>
      </c>
      <c r="B552" s="126"/>
      <c r="C552" s="126"/>
      <c r="D552" s="126"/>
      <c r="E552" s="126"/>
      <c r="F552" s="126"/>
      <c r="G552" s="126"/>
      <c r="H552" s="126"/>
      <c r="I552" s="126"/>
      <c r="J552" s="126"/>
      <c r="K552" s="126"/>
      <c r="L552" s="126"/>
      <c r="M552" s="126"/>
      <c r="N552" s="126"/>
      <c r="O552" s="126"/>
      <c r="P552" s="126"/>
      <c r="Q552" s="126"/>
      <c r="R552" s="126"/>
      <c r="S552" s="126"/>
      <c r="T552" s="117"/>
      <c r="U552" s="117"/>
      <c r="V552" s="117"/>
      <c r="W552" s="118"/>
    </row>
    <row r="553" spans="1:23" s="106" customFormat="1" ht="20.100000000000001" customHeight="1" x14ac:dyDescent="0.25">
      <c r="A553" s="126" t="s">
        <v>84</v>
      </c>
      <c r="B553" s="126"/>
      <c r="C553" s="126"/>
      <c r="D553" s="126"/>
      <c r="E553" s="126"/>
      <c r="F553" s="126"/>
      <c r="G553" s="126"/>
      <c r="H553" s="126"/>
      <c r="I553" s="126"/>
      <c r="J553" s="126"/>
      <c r="K553" s="126"/>
      <c r="L553" s="126"/>
      <c r="M553" s="126"/>
      <c r="N553" s="126"/>
      <c r="O553" s="126"/>
      <c r="P553" s="126"/>
      <c r="Q553" s="126"/>
      <c r="R553" s="126"/>
      <c r="S553" s="126"/>
      <c r="T553" s="117"/>
      <c r="U553" s="117"/>
      <c r="V553" s="117"/>
      <c r="W553" s="118"/>
    </row>
    <row r="554" spans="1:23" s="106" customFormat="1" ht="20.100000000000001" customHeight="1" x14ac:dyDescent="0.25">
      <c r="A554" s="27"/>
      <c r="B554" s="27"/>
      <c r="C554" s="27"/>
      <c r="D554" s="27"/>
      <c r="E554" s="27"/>
      <c r="F554" s="27"/>
      <c r="G554" s="27"/>
      <c r="H554" s="27"/>
      <c r="I554" s="27"/>
      <c r="J554" s="27"/>
      <c r="K554" s="27"/>
      <c r="L554" s="27"/>
      <c r="M554" s="27"/>
      <c r="N554" s="27"/>
      <c r="O554" s="27"/>
      <c r="P554" s="27"/>
      <c r="Q554" s="27"/>
      <c r="R554" s="27"/>
      <c r="S554" s="27"/>
      <c r="T554" s="117"/>
      <c r="U554" s="117"/>
      <c r="V554" s="117"/>
      <c r="W554" s="118"/>
    </row>
    <row r="556" spans="1:23" ht="20.100000000000001" customHeight="1" x14ac:dyDescent="0.25">
      <c r="A556" s="119" t="s">
        <v>81</v>
      </c>
      <c r="B556" s="119"/>
      <c r="C556" s="119"/>
      <c r="D556" s="119"/>
      <c r="E556" s="119"/>
      <c r="F556" s="119"/>
      <c r="G556" s="119"/>
      <c r="H556" s="119"/>
      <c r="I556" s="119"/>
      <c r="J556" s="119"/>
      <c r="K556" s="119"/>
      <c r="L556" s="119"/>
      <c r="M556" s="119"/>
      <c r="N556" s="119"/>
      <c r="O556" s="119"/>
      <c r="P556" s="119"/>
      <c r="Q556" s="119"/>
      <c r="R556" s="119"/>
      <c r="S556" s="119"/>
    </row>
    <row r="557" spans="1:23" ht="20.100000000000001" customHeight="1" x14ac:dyDescent="0.25">
      <c r="A557" s="119" t="s">
        <v>482</v>
      </c>
      <c r="B557" s="119"/>
      <c r="C557" s="119"/>
      <c r="D557" s="119"/>
      <c r="E557" s="119"/>
      <c r="F557" s="119"/>
      <c r="G557" s="119"/>
      <c r="H557" s="119"/>
      <c r="I557" s="119"/>
      <c r="J557" s="119"/>
      <c r="K557" s="119"/>
      <c r="L557" s="119"/>
      <c r="M557" s="119"/>
      <c r="N557" s="119"/>
      <c r="O557" s="119"/>
      <c r="P557" s="119"/>
      <c r="Q557" s="119"/>
      <c r="R557" s="119"/>
      <c r="S557" s="119"/>
    </row>
    <row r="558" spans="1:23" ht="20.100000000000001" customHeight="1" x14ac:dyDescent="0.25">
      <c r="A558" s="119" t="s">
        <v>104</v>
      </c>
      <c r="B558" s="119"/>
      <c r="C558" s="119"/>
      <c r="D558" s="119"/>
      <c r="E558" s="119"/>
      <c r="F558" s="119"/>
      <c r="G558" s="119"/>
      <c r="H558" s="119"/>
      <c r="I558" s="119"/>
      <c r="J558" s="119"/>
      <c r="K558" s="119"/>
      <c r="L558" s="119"/>
      <c r="M558" s="119"/>
      <c r="N558" s="119"/>
      <c r="O558" s="119"/>
      <c r="P558" s="119"/>
      <c r="Q558" s="119"/>
      <c r="R558" s="119"/>
      <c r="S558" s="119"/>
    </row>
    <row r="559" spans="1:23" ht="20.100000000000001" customHeight="1" x14ac:dyDescent="0.25">
      <c r="A559" s="119" t="s">
        <v>464</v>
      </c>
      <c r="B559" s="119"/>
      <c r="C559" s="119"/>
      <c r="D559" s="119"/>
      <c r="E559" s="119"/>
      <c r="F559" s="119"/>
      <c r="G559" s="119"/>
      <c r="H559" s="119"/>
      <c r="I559" s="119"/>
      <c r="J559" s="119"/>
      <c r="K559" s="119"/>
      <c r="L559" s="119"/>
      <c r="M559" s="119"/>
      <c r="N559" s="119"/>
      <c r="O559" s="119"/>
      <c r="P559" s="119"/>
      <c r="Q559" s="119"/>
      <c r="R559" s="119"/>
      <c r="S559" s="119"/>
    </row>
    <row r="560" spans="1:23" ht="20.100000000000001" customHeight="1" x14ac:dyDescent="0.25">
      <c r="A560" s="119" t="s">
        <v>465</v>
      </c>
      <c r="B560" s="119"/>
      <c r="C560" s="119"/>
      <c r="D560" s="119"/>
      <c r="E560" s="119"/>
      <c r="F560" s="119"/>
      <c r="G560" s="119"/>
      <c r="H560" s="119"/>
      <c r="I560" s="119"/>
      <c r="J560" s="119"/>
      <c r="K560" s="119"/>
      <c r="L560" s="119"/>
      <c r="M560" s="119"/>
      <c r="N560" s="119"/>
      <c r="O560" s="119"/>
      <c r="P560" s="119"/>
      <c r="Q560" s="119"/>
      <c r="R560" s="119"/>
      <c r="S560" s="119"/>
    </row>
    <row r="561" spans="1:19" ht="20.100000000000001" customHeight="1" x14ac:dyDescent="0.25">
      <c r="A561" s="119" t="s">
        <v>466</v>
      </c>
      <c r="B561" s="119"/>
      <c r="C561" s="119"/>
      <c r="D561" s="119"/>
      <c r="E561" s="119"/>
      <c r="F561" s="119"/>
      <c r="G561" s="119"/>
      <c r="H561" s="119"/>
      <c r="I561" s="119"/>
      <c r="J561" s="119"/>
      <c r="K561" s="119"/>
      <c r="L561" s="119"/>
      <c r="M561" s="119"/>
      <c r="N561" s="119"/>
      <c r="O561" s="119"/>
      <c r="P561" s="119"/>
      <c r="Q561" s="119"/>
      <c r="R561" s="119"/>
      <c r="S561" s="119"/>
    </row>
    <row r="562" spans="1:19" ht="20.100000000000001" customHeight="1" x14ac:dyDescent="0.25">
      <c r="A562" s="119" t="s">
        <v>467</v>
      </c>
      <c r="B562" s="119"/>
      <c r="C562" s="119"/>
      <c r="D562" s="119"/>
      <c r="E562" s="119"/>
      <c r="F562" s="119"/>
      <c r="G562" s="119"/>
      <c r="H562" s="119"/>
      <c r="I562" s="119"/>
      <c r="J562" s="119"/>
      <c r="K562" s="119"/>
      <c r="L562" s="119"/>
      <c r="M562" s="119"/>
      <c r="N562" s="119"/>
      <c r="O562" s="119"/>
      <c r="P562" s="119"/>
      <c r="Q562" s="119"/>
      <c r="R562" s="119"/>
      <c r="S562" s="119"/>
    </row>
    <row r="563" spans="1:19" ht="20.100000000000001" customHeight="1" x14ac:dyDescent="0.25">
      <c r="A563" s="119"/>
      <c r="B563" s="119"/>
      <c r="C563" s="119"/>
      <c r="D563" s="119"/>
      <c r="E563" s="119"/>
      <c r="F563" s="119"/>
      <c r="G563" s="119"/>
      <c r="H563" s="119"/>
      <c r="I563" s="119"/>
      <c r="J563" s="119"/>
      <c r="K563" s="119"/>
      <c r="L563" s="119"/>
      <c r="M563" s="119"/>
      <c r="N563" s="119"/>
      <c r="O563" s="119"/>
      <c r="P563" s="119"/>
      <c r="Q563" s="119"/>
      <c r="R563" s="119"/>
      <c r="S563" s="119"/>
    </row>
    <row r="564" spans="1:19" ht="20.100000000000001" customHeight="1" x14ac:dyDescent="0.25">
      <c r="A564" s="119" t="s">
        <v>468</v>
      </c>
      <c r="B564" s="119"/>
      <c r="C564" s="119"/>
      <c r="D564" s="119"/>
      <c r="E564" s="119"/>
      <c r="F564" s="119"/>
      <c r="G564" s="119"/>
      <c r="H564" s="119"/>
      <c r="I564" s="119"/>
      <c r="J564" s="119"/>
      <c r="K564" s="119"/>
      <c r="L564" s="119"/>
      <c r="M564" s="119"/>
      <c r="N564" s="119"/>
      <c r="O564" s="119"/>
      <c r="P564" s="119"/>
      <c r="Q564" s="119"/>
      <c r="R564" s="119"/>
      <c r="S564" s="119"/>
    </row>
    <row r="565" spans="1:19" ht="20.100000000000001" customHeight="1" x14ac:dyDescent="0.25">
      <c r="A565" s="119" t="s">
        <v>105</v>
      </c>
      <c r="B565" s="119"/>
      <c r="C565" s="119"/>
      <c r="D565" s="119"/>
      <c r="E565" s="119"/>
      <c r="F565" s="119"/>
      <c r="G565" s="119"/>
      <c r="H565" s="119"/>
      <c r="I565" s="119"/>
      <c r="J565" s="119"/>
      <c r="K565" s="119"/>
      <c r="L565" s="119"/>
      <c r="M565" s="119"/>
      <c r="N565" s="119"/>
      <c r="O565" s="119"/>
      <c r="P565" s="119"/>
      <c r="Q565" s="119"/>
      <c r="R565" s="119"/>
      <c r="S565" s="119"/>
    </row>
    <row r="566" spans="1:19" ht="20.100000000000001" customHeight="1" x14ac:dyDescent="0.25">
      <c r="A566" s="119" t="s">
        <v>469</v>
      </c>
      <c r="B566" s="119"/>
      <c r="C566" s="119"/>
      <c r="D566" s="119"/>
      <c r="E566" s="119"/>
      <c r="F566" s="119"/>
      <c r="G566" s="119"/>
      <c r="H566" s="119"/>
      <c r="I566" s="119"/>
      <c r="J566" s="119"/>
      <c r="K566" s="119"/>
      <c r="L566" s="119"/>
      <c r="M566" s="119"/>
      <c r="N566" s="119"/>
      <c r="O566" s="119"/>
      <c r="P566" s="119"/>
      <c r="Q566" s="119"/>
      <c r="R566" s="119"/>
      <c r="S566" s="119"/>
    </row>
    <row r="567" spans="1:19" ht="20.100000000000001" customHeight="1" x14ac:dyDescent="0.25">
      <c r="A567" s="119"/>
      <c r="B567" s="119"/>
      <c r="C567" s="119"/>
      <c r="D567" s="119"/>
      <c r="E567" s="119"/>
      <c r="F567" s="119"/>
      <c r="G567" s="119"/>
      <c r="H567" s="119"/>
      <c r="I567" s="119"/>
      <c r="J567" s="119"/>
      <c r="K567" s="119"/>
      <c r="L567" s="119"/>
      <c r="M567" s="119"/>
      <c r="N567" s="119"/>
      <c r="O567" s="119"/>
      <c r="P567" s="119"/>
      <c r="Q567" s="119"/>
      <c r="R567" s="119"/>
      <c r="S567" s="119"/>
    </row>
    <row r="568" spans="1:19" ht="20.100000000000001" customHeight="1" x14ac:dyDescent="0.25">
      <c r="A568" s="119" t="s">
        <v>470</v>
      </c>
      <c r="B568" s="119"/>
      <c r="C568" s="119"/>
      <c r="D568" s="119"/>
      <c r="E568" s="119"/>
      <c r="F568" s="119"/>
      <c r="G568" s="119"/>
      <c r="H568" s="119"/>
      <c r="I568" s="119"/>
      <c r="J568" s="119"/>
      <c r="K568" s="119"/>
      <c r="L568" s="119"/>
      <c r="M568" s="119"/>
      <c r="N568" s="119"/>
      <c r="O568" s="119"/>
      <c r="P568" s="119"/>
      <c r="Q568" s="119"/>
      <c r="R568" s="119"/>
      <c r="S568" s="119"/>
    </row>
    <row r="569" spans="1:19" ht="20.100000000000001" customHeight="1" x14ac:dyDescent="0.25">
      <c r="A569" s="119"/>
      <c r="B569" s="119"/>
      <c r="C569" s="119"/>
      <c r="D569" s="119"/>
      <c r="E569" s="119"/>
      <c r="F569" s="119"/>
      <c r="G569" s="119"/>
      <c r="H569" s="119"/>
      <c r="I569" s="119"/>
      <c r="J569" s="119"/>
      <c r="K569" s="119"/>
      <c r="L569" s="119"/>
      <c r="M569" s="119"/>
      <c r="N569" s="119"/>
      <c r="O569" s="119"/>
      <c r="P569" s="119"/>
      <c r="Q569" s="119"/>
      <c r="R569" s="119"/>
      <c r="S569" s="119"/>
    </row>
    <row r="570" spans="1:19" ht="20.100000000000001" customHeight="1" x14ac:dyDescent="0.25">
      <c r="A570" s="119" t="s">
        <v>483</v>
      </c>
      <c r="B570" s="119"/>
      <c r="C570" s="119"/>
      <c r="D570" s="119"/>
      <c r="E570" s="119"/>
      <c r="F570" s="119"/>
      <c r="G570" s="119"/>
      <c r="H570" s="119"/>
      <c r="I570" s="119"/>
      <c r="J570" s="119"/>
      <c r="K570" s="119"/>
      <c r="L570" s="119"/>
      <c r="M570" s="119"/>
      <c r="N570" s="119"/>
      <c r="O570" s="119"/>
      <c r="P570" s="119"/>
      <c r="Q570" s="119"/>
      <c r="R570" s="119"/>
      <c r="S570" s="119"/>
    </row>
    <row r="571" spans="1:19" ht="20.100000000000001" customHeight="1" x14ac:dyDescent="0.25">
      <c r="A571" s="119"/>
      <c r="B571" s="119"/>
      <c r="C571" s="119"/>
      <c r="D571" s="119"/>
      <c r="E571" s="119"/>
      <c r="F571" s="119"/>
      <c r="G571" s="119"/>
      <c r="H571" s="119"/>
      <c r="I571" s="119"/>
      <c r="J571" s="119"/>
      <c r="K571" s="119"/>
      <c r="L571" s="119"/>
      <c r="M571" s="119"/>
      <c r="N571" s="119"/>
      <c r="O571" s="119"/>
      <c r="P571" s="119"/>
      <c r="Q571" s="119"/>
      <c r="R571" s="119"/>
      <c r="S571" s="119"/>
    </row>
    <row r="572" spans="1:19" ht="20.100000000000001" customHeight="1" x14ac:dyDescent="0.25">
      <c r="A572" s="119" t="s">
        <v>471</v>
      </c>
      <c r="B572" s="119"/>
      <c r="C572" s="119"/>
      <c r="D572" s="119"/>
      <c r="E572" s="119"/>
      <c r="F572" s="119"/>
      <c r="G572" s="119"/>
      <c r="H572" s="119"/>
      <c r="I572" s="119"/>
      <c r="J572" s="119"/>
      <c r="K572" s="119"/>
      <c r="L572" s="119"/>
      <c r="M572" s="119"/>
      <c r="N572" s="119"/>
      <c r="O572" s="119"/>
      <c r="P572" s="119"/>
      <c r="Q572" s="119"/>
      <c r="R572" s="119"/>
      <c r="S572" s="119"/>
    </row>
    <row r="573" spans="1:19" ht="20.100000000000001" customHeight="1" x14ac:dyDescent="0.25">
      <c r="A573" s="119"/>
      <c r="B573" s="119"/>
      <c r="C573" s="119"/>
      <c r="D573" s="119"/>
      <c r="E573" s="119"/>
      <c r="F573" s="119"/>
      <c r="G573" s="119"/>
      <c r="H573" s="119"/>
      <c r="I573" s="119"/>
      <c r="J573" s="119"/>
      <c r="K573" s="119"/>
      <c r="L573" s="119"/>
      <c r="M573" s="119"/>
      <c r="N573" s="119"/>
      <c r="O573" s="119"/>
      <c r="P573" s="119"/>
      <c r="Q573" s="119"/>
      <c r="R573" s="119"/>
      <c r="S573" s="119"/>
    </row>
    <row r="574" spans="1:19" ht="20.100000000000001" customHeight="1" x14ac:dyDescent="0.25">
      <c r="A574" s="119" t="s">
        <v>484</v>
      </c>
      <c r="B574" s="119"/>
      <c r="C574" s="119"/>
      <c r="D574" s="119"/>
      <c r="E574" s="119"/>
      <c r="F574" s="119"/>
      <c r="G574" s="119"/>
      <c r="H574" s="119"/>
      <c r="I574" s="119"/>
      <c r="J574" s="119"/>
      <c r="K574" s="119"/>
      <c r="L574" s="119"/>
      <c r="M574" s="119"/>
      <c r="N574" s="119"/>
      <c r="O574" s="119"/>
      <c r="P574" s="119"/>
      <c r="Q574" s="119"/>
      <c r="R574" s="119"/>
      <c r="S574" s="119"/>
    </row>
    <row r="575" spans="1:19" ht="20.100000000000001" customHeight="1" x14ac:dyDescent="0.25">
      <c r="A575" s="119"/>
      <c r="B575" s="119"/>
      <c r="C575" s="119"/>
      <c r="D575" s="119"/>
      <c r="E575" s="119"/>
      <c r="F575" s="119"/>
      <c r="G575" s="119"/>
      <c r="H575" s="119"/>
      <c r="I575" s="119"/>
      <c r="J575" s="119"/>
      <c r="K575" s="119"/>
      <c r="L575" s="119"/>
      <c r="M575" s="119"/>
      <c r="N575" s="119"/>
      <c r="O575" s="119"/>
      <c r="P575" s="119"/>
      <c r="Q575" s="119"/>
      <c r="R575" s="119"/>
      <c r="S575" s="119"/>
    </row>
    <row r="576" spans="1:19" ht="20.100000000000001" customHeight="1" x14ac:dyDescent="0.25">
      <c r="A576" s="119" t="s">
        <v>472</v>
      </c>
      <c r="B576" s="119"/>
      <c r="C576" s="119"/>
      <c r="D576" s="119"/>
      <c r="E576" s="119"/>
      <c r="F576" s="119"/>
      <c r="G576" s="119"/>
      <c r="H576" s="119"/>
      <c r="I576" s="119"/>
      <c r="J576" s="119"/>
      <c r="K576" s="119"/>
      <c r="L576" s="119"/>
      <c r="M576" s="119"/>
      <c r="N576" s="119"/>
      <c r="O576" s="119"/>
      <c r="P576" s="119"/>
      <c r="Q576" s="119"/>
      <c r="R576" s="119"/>
      <c r="S576" s="119"/>
    </row>
    <row r="577" spans="1:19" ht="20.100000000000001" customHeight="1" x14ac:dyDescent="0.25">
      <c r="A577" s="119" t="s">
        <v>473</v>
      </c>
      <c r="B577" s="119"/>
      <c r="C577" s="119"/>
      <c r="D577" s="119"/>
      <c r="E577" s="119"/>
      <c r="F577" s="119"/>
      <c r="G577" s="119"/>
      <c r="H577" s="119"/>
      <c r="I577" s="119"/>
      <c r="J577" s="119"/>
      <c r="K577" s="119"/>
      <c r="L577" s="119"/>
      <c r="M577" s="119"/>
      <c r="N577" s="119"/>
      <c r="O577" s="119"/>
      <c r="P577" s="119"/>
      <c r="Q577" s="119"/>
      <c r="R577" s="119"/>
      <c r="S577" s="119"/>
    </row>
    <row r="578" spans="1:19" ht="20.100000000000001" customHeight="1" x14ac:dyDescent="0.25">
      <c r="A578" s="119" t="s">
        <v>474</v>
      </c>
      <c r="B578" s="119"/>
      <c r="C578" s="119"/>
      <c r="D578" s="119"/>
      <c r="E578" s="119"/>
      <c r="F578" s="119"/>
      <c r="G578" s="119"/>
      <c r="H578" s="119"/>
      <c r="I578" s="119"/>
      <c r="J578" s="119"/>
      <c r="K578" s="119"/>
      <c r="L578" s="119"/>
      <c r="M578" s="119"/>
      <c r="N578" s="119"/>
      <c r="O578" s="119"/>
      <c r="P578" s="119"/>
      <c r="Q578" s="119"/>
      <c r="R578" s="119"/>
      <c r="S578" s="119"/>
    </row>
    <row r="579" spans="1:19" ht="20.100000000000001" customHeight="1" x14ac:dyDescent="0.25">
      <c r="A579" s="119" t="s">
        <v>475</v>
      </c>
      <c r="B579" s="119"/>
      <c r="C579" s="119"/>
      <c r="D579" s="119"/>
      <c r="E579" s="119"/>
      <c r="F579" s="119"/>
      <c r="G579" s="119"/>
      <c r="H579" s="119"/>
      <c r="I579" s="119"/>
      <c r="J579" s="119"/>
      <c r="K579" s="119"/>
      <c r="L579" s="119"/>
      <c r="M579" s="119"/>
      <c r="N579" s="119"/>
      <c r="O579" s="119"/>
      <c r="P579" s="119"/>
      <c r="Q579" s="119"/>
      <c r="R579" s="119"/>
      <c r="S579" s="119"/>
    </row>
    <row r="580" spans="1:19" ht="20.100000000000001" customHeight="1" x14ac:dyDescent="0.25">
      <c r="A580" s="119" t="s">
        <v>485</v>
      </c>
      <c r="B580" s="119"/>
      <c r="C580" s="119"/>
      <c r="D580" s="119"/>
      <c r="E580" s="119"/>
      <c r="F580" s="119"/>
      <c r="G580" s="119"/>
      <c r="H580" s="119"/>
      <c r="I580" s="119"/>
      <c r="J580" s="119"/>
      <c r="K580" s="119"/>
      <c r="L580" s="119"/>
      <c r="M580" s="119"/>
      <c r="N580" s="119"/>
      <c r="O580" s="119"/>
      <c r="P580" s="119"/>
      <c r="Q580" s="119"/>
      <c r="R580" s="119"/>
      <c r="S580" s="119"/>
    </row>
  </sheetData>
  <sheetProtection formatCells="0"/>
  <mergeCells count="931">
    <mergeCell ref="K40:O40"/>
    <mergeCell ref="P40:S40"/>
    <mergeCell ref="K41:O41"/>
    <mergeCell ref="P41:S41"/>
    <mergeCell ref="K42:O42"/>
    <mergeCell ref="P42:S42"/>
    <mergeCell ref="K43:O43"/>
    <mergeCell ref="P43:S43"/>
    <mergeCell ref="K44:O44"/>
    <mergeCell ref="P44:S44"/>
    <mergeCell ref="O208:S208"/>
    <mergeCell ref="O209:S209"/>
    <mergeCell ref="A206:B206"/>
    <mergeCell ref="C206:E206"/>
    <mergeCell ref="F206:H206"/>
    <mergeCell ref="I206:K206"/>
    <mergeCell ref="L206:N206"/>
    <mergeCell ref="O206:S206"/>
    <mergeCell ref="A207:B207"/>
    <mergeCell ref="C207:E207"/>
    <mergeCell ref="F207:H207"/>
    <mergeCell ref="I207:K207"/>
    <mergeCell ref="L207:N207"/>
    <mergeCell ref="O207:S207"/>
    <mergeCell ref="A279:B279"/>
    <mergeCell ref="C279:G279"/>
    <mergeCell ref="A280:B280"/>
    <mergeCell ref="A208:B208"/>
    <mergeCell ref="C208:E208"/>
    <mergeCell ref="F208:H208"/>
    <mergeCell ref="I208:K208"/>
    <mergeCell ref="L208:N208"/>
    <mergeCell ref="A209:B209"/>
    <mergeCell ref="C209:E209"/>
    <mergeCell ref="F209:H209"/>
    <mergeCell ref="I209:K209"/>
    <mergeCell ref="L209:N209"/>
    <mergeCell ref="C210:E210"/>
    <mergeCell ref="M277:P277"/>
    <mergeCell ref="A271:B271"/>
    <mergeCell ref="A274:B274"/>
    <mergeCell ref="C274:G274"/>
    <mergeCell ref="A275:B275"/>
    <mergeCell ref="C275:G275"/>
    <mergeCell ref="A276:B276"/>
    <mergeCell ref="C276:G276"/>
    <mergeCell ref="A277:B277"/>
    <mergeCell ref="C277:G277"/>
    <mergeCell ref="O201:S201"/>
    <mergeCell ref="C198:E198"/>
    <mergeCell ref="C199:E199"/>
    <mergeCell ref="C200:E200"/>
    <mergeCell ref="O200:S200"/>
    <mergeCell ref="I200:K200"/>
    <mergeCell ref="F200:H200"/>
    <mergeCell ref="L200:N200"/>
    <mergeCell ref="I198:K198"/>
    <mergeCell ref="F198:H198"/>
    <mergeCell ref="I199:K199"/>
    <mergeCell ref="F199:H199"/>
    <mergeCell ref="O198:S198"/>
    <mergeCell ref="O199:S199"/>
    <mergeCell ref="L199:N199"/>
    <mergeCell ref="L198:N198"/>
    <mergeCell ref="A143:S143"/>
    <mergeCell ref="Q68:S68"/>
    <mergeCell ref="C166:E166"/>
    <mergeCell ref="C167:E167"/>
    <mergeCell ref="C168:E168"/>
    <mergeCell ref="Q158:S159"/>
    <mergeCell ref="F158:P158"/>
    <mergeCell ref="A203:B203"/>
    <mergeCell ref="C203:E203"/>
    <mergeCell ref="F203:H203"/>
    <mergeCell ref="I203:K203"/>
    <mergeCell ref="L203:N203"/>
    <mergeCell ref="O203:S203"/>
    <mergeCell ref="A202:B202"/>
    <mergeCell ref="C202:E202"/>
    <mergeCell ref="F202:H202"/>
    <mergeCell ref="I202:K202"/>
    <mergeCell ref="L202:N202"/>
    <mergeCell ref="O202:S202"/>
    <mergeCell ref="A201:B201"/>
    <mergeCell ref="C201:E201"/>
    <mergeCell ref="F201:H201"/>
    <mergeCell ref="I201:K201"/>
    <mergeCell ref="L201:N201"/>
    <mergeCell ref="A62:B62"/>
    <mergeCell ref="C62:E62"/>
    <mergeCell ref="K62:L62"/>
    <mergeCell ref="M62:N62"/>
    <mergeCell ref="O62:P62"/>
    <mergeCell ref="Q62:S62"/>
    <mergeCell ref="A63:B63"/>
    <mergeCell ref="C63:E63"/>
    <mergeCell ref="K63:L63"/>
    <mergeCell ref="M63:N63"/>
    <mergeCell ref="O63:P63"/>
    <mergeCell ref="Q63:S63"/>
    <mergeCell ref="A28:B28"/>
    <mergeCell ref="C28:E28"/>
    <mergeCell ref="F28:H28"/>
    <mergeCell ref="I28:K28"/>
    <mergeCell ref="L28:N28"/>
    <mergeCell ref="O28:P28"/>
    <mergeCell ref="Q28:S28"/>
    <mergeCell ref="A57:B57"/>
    <mergeCell ref="C57:E57"/>
    <mergeCell ref="K57:L57"/>
    <mergeCell ref="M57:N57"/>
    <mergeCell ref="O57:P57"/>
    <mergeCell ref="Q57:S57"/>
    <mergeCell ref="Q56:S56"/>
    <mergeCell ref="A41:H41"/>
    <mergeCell ref="M31:P31"/>
    <mergeCell ref="M32:P32"/>
    <mergeCell ref="M33:P33"/>
    <mergeCell ref="Q31:S31"/>
    <mergeCell ref="Q32:S32"/>
    <mergeCell ref="Q33:S33"/>
    <mergeCell ref="M52:N52"/>
    <mergeCell ref="M53:N53"/>
    <mergeCell ref="A36:S36"/>
    <mergeCell ref="A26:B26"/>
    <mergeCell ref="C26:E26"/>
    <mergeCell ref="F26:H26"/>
    <mergeCell ref="I26:K26"/>
    <mergeCell ref="L26:N26"/>
    <mergeCell ref="O26:P26"/>
    <mergeCell ref="Q26:S26"/>
    <mergeCell ref="A27:B27"/>
    <mergeCell ref="C27:E27"/>
    <mergeCell ref="F27:H27"/>
    <mergeCell ref="I27:K27"/>
    <mergeCell ref="L27:N27"/>
    <mergeCell ref="O27:P27"/>
    <mergeCell ref="Q27:S27"/>
    <mergeCell ref="L24:N24"/>
    <mergeCell ref="O24:P24"/>
    <mergeCell ref="Q24:S24"/>
    <mergeCell ref="A25:B25"/>
    <mergeCell ref="C25:E25"/>
    <mergeCell ref="F25:H25"/>
    <mergeCell ref="I25:K25"/>
    <mergeCell ref="L25:N25"/>
    <mergeCell ref="O25:P25"/>
    <mergeCell ref="Q25:S25"/>
    <mergeCell ref="O210:S210"/>
    <mergeCell ref="I210:K210"/>
    <mergeCell ref="F210:H210"/>
    <mergeCell ref="L210:N210"/>
    <mergeCell ref="M212:P212"/>
    <mergeCell ref="A22:B22"/>
    <mergeCell ref="C22:E22"/>
    <mergeCell ref="F22:H22"/>
    <mergeCell ref="I22:K22"/>
    <mergeCell ref="L22:N22"/>
    <mergeCell ref="O22:P22"/>
    <mergeCell ref="Q22:S22"/>
    <mergeCell ref="A23:B23"/>
    <mergeCell ref="C23:E23"/>
    <mergeCell ref="F23:H23"/>
    <mergeCell ref="I23:K23"/>
    <mergeCell ref="L23:N23"/>
    <mergeCell ref="O23:P23"/>
    <mergeCell ref="Q23:S23"/>
    <mergeCell ref="A24:B24"/>
    <mergeCell ref="C24:E24"/>
    <mergeCell ref="F24:H24"/>
    <mergeCell ref="I24:K24"/>
    <mergeCell ref="A204:B204"/>
    <mergeCell ref="C204:E204"/>
    <mergeCell ref="F204:H204"/>
    <mergeCell ref="I204:K204"/>
    <mergeCell ref="L204:N204"/>
    <mergeCell ref="O204:S204"/>
    <mergeCell ref="A205:B205"/>
    <mergeCell ref="C205:E205"/>
    <mergeCell ref="F205:H205"/>
    <mergeCell ref="I205:K205"/>
    <mergeCell ref="L205:N205"/>
    <mergeCell ref="O205:S205"/>
    <mergeCell ref="A173:B173"/>
    <mergeCell ref="Q166:S166"/>
    <mergeCell ref="Q167:S167"/>
    <mergeCell ref="Q168:S168"/>
    <mergeCell ref="A158:E160"/>
    <mergeCell ref="C178:E178"/>
    <mergeCell ref="C173:E173"/>
    <mergeCell ref="Q173:S173"/>
    <mergeCell ref="A174:B174"/>
    <mergeCell ref="C174:E174"/>
    <mergeCell ref="Q174:S174"/>
    <mergeCell ref="A175:B175"/>
    <mergeCell ref="C175:E175"/>
    <mergeCell ref="Q175:S175"/>
    <mergeCell ref="A176:B176"/>
    <mergeCell ref="C176:E176"/>
    <mergeCell ref="Q176:S176"/>
    <mergeCell ref="A177:B177"/>
    <mergeCell ref="C177:E177"/>
    <mergeCell ref="Q177:S177"/>
    <mergeCell ref="Q178:S178"/>
    <mergeCell ref="A171:B171"/>
    <mergeCell ref="C171:E171"/>
    <mergeCell ref="Q171:S171"/>
    <mergeCell ref="A149:I149"/>
    <mergeCell ref="A150:I150"/>
    <mergeCell ref="A151:I151"/>
    <mergeCell ref="A152:I152"/>
    <mergeCell ref="A155:P156"/>
    <mergeCell ref="Q156:S156"/>
    <mergeCell ref="A172:B172"/>
    <mergeCell ref="C172:E172"/>
    <mergeCell ref="Q172:S172"/>
    <mergeCell ref="A169:B169"/>
    <mergeCell ref="C169:E169"/>
    <mergeCell ref="Q169:S169"/>
    <mergeCell ref="A170:B170"/>
    <mergeCell ref="C170:E170"/>
    <mergeCell ref="Q170:S170"/>
    <mergeCell ref="A162:S164"/>
    <mergeCell ref="Q160:S160"/>
    <mergeCell ref="K151:M151"/>
    <mergeCell ref="K152:M152"/>
    <mergeCell ref="Q152:S152"/>
    <mergeCell ref="F19:H19"/>
    <mergeCell ref="I19:K19"/>
    <mergeCell ref="L19:N19"/>
    <mergeCell ref="O19:P19"/>
    <mergeCell ref="Q19:S19"/>
    <mergeCell ref="A20:B20"/>
    <mergeCell ref="C20:E20"/>
    <mergeCell ref="F20:H20"/>
    <mergeCell ref="I20:K20"/>
    <mergeCell ref="L20:N20"/>
    <mergeCell ref="O20:P20"/>
    <mergeCell ref="Q20:S20"/>
    <mergeCell ref="F359:I359"/>
    <mergeCell ref="A360:E360"/>
    <mergeCell ref="A316:B316"/>
    <mergeCell ref="C316:G316"/>
    <mergeCell ref="A315:B315"/>
    <mergeCell ref="C315:G315"/>
    <mergeCell ref="A310:B310"/>
    <mergeCell ref="C310:G310"/>
    <mergeCell ref="A311:B311"/>
    <mergeCell ref="C311:G311"/>
    <mergeCell ref="A312:B312"/>
    <mergeCell ref="C312:G312"/>
    <mergeCell ref="A313:B313"/>
    <mergeCell ref="C313:G313"/>
    <mergeCell ref="A314:B314"/>
    <mergeCell ref="C314:G314"/>
    <mergeCell ref="M278:P278"/>
    <mergeCell ref="Q278:S278"/>
    <mergeCell ref="M305:Q305"/>
    <mergeCell ref="R305:S305"/>
    <mergeCell ref="C306:G306"/>
    <mergeCell ref="M306:Q306"/>
    <mergeCell ref="R306:S306"/>
    <mergeCell ref="C307:G307"/>
    <mergeCell ref="M307:Q307"/>
    <mergeCell ref="R307:S307"/>
    <mergeCell ref="Q283:S283"/>
    <mergeCell ref="C278:G278"/>
    <mergeCell ref="C280:G280"/>
    <mergeCell ref="Q21:S21"/>
    <mergeCell ref="Q29:S29"/>
    <mergeCell ref="O17:P17"/>
    <mergeCell ref="T269:V269"/>
    <mergeCell ref="A365:E365"/>
    <mergeCell ref="F365:I365"/>
    <mergeCell ref="L365:O365"/>
    <mergeCell ref="P365:S365"/>
    <mergeCell ref="R269:S269"/>
    <mergeCell ref="A272:B272"/>
    <mergeCell ref="C272:G272"/>
    <mergeCell ref="A273:B273"/>
    <mergeCell ref="C273:G273"/>
    <mergeCell ref="Q315:S315"/>
    <mergeCell ref="C317:G317"/>
    <mergeCell ref="M310:P310"/>
    <mergeCell ref="Q310:S310"/>
    <mergeCell ref="M311:P311"/>
    <mergeCell ref="Q311:S311"/>
    <mergeCell ref="M308:Q308"/>
    <mergeCell ref="R308:S308"/>
    <mergeCell ref="M316:P316"/>
    <mergeCell ref="Q316:S316"/>
    <mergeCell ref="M314:P314"/>
    <mergeCell ref="O21:P21"/>
    <mergeCell ref="O29:P29"/>
    <mergeCell ref="A19:B19"/>
    <mergeCell ref="C19:E19"/>
    <mergeCell ref="U17:V17"/>
    <mergeCell ref="A352:S352"/>
    <mergeCell ref="A356:E356"/>
    <mergeCell ref="A357:E357"/>
    <mergeCell ref="C17:E17"/>
    <mergeCell ref="F17:H17"/>
    <mergeCell ref="K154:M154"/>
    <mergeCell ref="L17:N17"/>
    <mergeCell ref="L18:N18"/>
    <mergeCell ref="L21:N21"/>
    <mergeCell ref="L29:N29"/>
    <mergeCell ref="A146:I146"/>
    <mergeCell ref="Q66:S66"/>
    <mergeCell ref="M67:P67"/>
    <mergeCell ref="Q67:S67"/>
    <mergeCell ref="M68:P68"/>
    <mergeCell ref="Q52:S52"/>
    <mergeCell ref="C53:E53"/>
    <mergeCell ref="O53:P53"/>
    <mergeCell ref="Q53:S53"/>
    <mergeCell ref="A147:I147"/>
    <mergeCell ref="A148:I148"/>
    <mergeCell ref="A7:S7"/>
    <mergeCell ref="A15:S15"/>
    <mergeCell ref="I17:K17"/>
    <mergeCell ref="F18:H18"/>
    <mergeCell ref="I18:K18"/>
    <mergeCell ref="F21:H21"/>
    <mergeCell ref="I21:K21"/>
    <mergeCell ref="F29:H29"/>
    <mergeCell ref="I29:K29"/>
    <mergeCell ref="C18:E18"/>
    <mergeCell ref="C21:E21"/>
    <mergeCell ref="C29:E29"/>
    <mergeCell ref="Q17:S17"/>
    <mergeCell ref="Q12:S12"/>
    <mergeCell ref="N12:P12"/>
    <mergeCell ref="K12:M12"/>
    <mergeCell ref="A10:C10"/>
    <mergeCell ref="D10:J10"/>
    <mergeCell ref="Q18:S18"/>
    <mergeCell ref="O18:P18"/>
    <mergeCell ref="Q146:S146"/>
    <mergeCell ref="Q147:S147"/>
    <mergeCell ref="Q148:S148"/>
    <mergeCell ref="Q149:S149"/>
    <mergeCell ref="Q150:S150"/>
    <mergeCell ref="Q151:S151"/>
    <mergeCell ref="N151:P151"/>
    <mergeCell ref="N152:P152"/>
    <mergeCell ref="N146:P146"/>
    <mergeCell ref="N147:P147"/>
    <mergeCell ref="N148:P148"/>
    <mergeCell ref="N149:P149"/>
    <mergeCell ref="N150:P150"/>
    <mergeCell ref="C52:E52"/>
    <mergeCell ref="O52:P52"/>
    <mergeCell ref="A43:H43"/>
    <mergeCell ref="A44:H44"/>
    <mergeCell ref="A45:H45"/>
    <mergeCell ref="F48:J48"/>
    <mergeCell ref="K50:L50"/>
    <mergeCell ref="A48:E49"/>
    <mergeCell ref="K48:L49"/>
    <mergeCell ref="K52:L52"/>
    <mergeCell ref="K45:O45"/>
    <mergeCell ref="P45:S45"/>
    <mergeCell ref="M54:N54"/>
    <mergeCell ref="A58:B58"/>
    <mergeCell ref="C58:E58"/>
    <mergeCell ref="K58:L58"/>
    <mergeCell ref="M58:N58"/>
    <mergeCell ref="O58:P58"/>
    <mergeCell ref="C54:E54"/>
    <mergeCell ref="O54:P54"/>
    <mergeCell ref="C64:E64"/>
    <mergeCell ref="M64:N64"/>
    <mergeCell ref="O64:P64"/>
    <mergeCell ref="A59:B59"/>
    <mergeCell ref="C59:E59"/>
    <mergeCell ref="K59:L59"/>
    <mergeCell ref="M59:N59"/>
    <mergeCell ref="O59:P59"/>
    <mergeCell ref="A60:B60"/>
    <mergeCell ref="C60:E60"/>
    <mergeCell ref="K60:L60"/>
    <mergeCell ref="M60:N60"/>
    <mergeCell ref="O60:P60"/>
    <mergeCell ref="A61:B61"/>
    <mergeCell ref="C61:E61"/>
    <mergeCell ref="K61:L61"/>
    <mergeCell ref="M66:P66"/>
    <mergeCell ref="A145:I145"/>
    <mergeCell ref="A55:B55"/>
    <mergeCell ref="C55:E55"/>
    <mergeCell ref="K55:L55"/>
    <mergeCell ref="M55:N55"/>
    <mergeCell ref="O55:P55"/>
    <mergeCell ref="Q55:S55"/>
    <mergeCell ref="A56:B56"/>
    <mergeCell ref="Q145:S145"/>
    <mergeCell ref="N145:P145"/>
    <mergeCell ref="C56:E56"/>
    <mergeCell ref="K56:L56"/>
    <mergeCell ref="M56:N56"/>
    <mergeCell ref="A71:S71"/>
    <mergeCell ref="A105:S105"/>
    <mergeCell ref="A124:S124"/>
    <mergeCell ref="Q64:S64"/>
    <mergeCell ref="Q58:S58"/>
    <mergeCell ref="Q59:S59"/>
    <mergeCell ref="Q60:S60"/>
    <mergeCell ref="M61:N61"/>
    <mergeCell ref="O61:P61"/>
    <mergeCell ref="Q61:S61"/>
    <mergeCell ref="C270:G270"/>
    <mergeCell ref="Q212:S212"/>
    <mergeCell ref="M213:P213"/>
    <mergeCell ref="Q213:S213"/>
    <mergeCell ref="M214:P214"/>
    <mergeCell ref="Q214:S214"/>
    <mergeCell ref="A234:S234"/>
    <mergeCell ref="C236:G236"/>
    <mergeCell ref="Q240:S240"/>
    <mergeCell ref="Q238:S238"/>
    <mergeCell ref="M236:Q236"/>
    <mergeCell ref="R236:S236"/>
    <mergeCell ref="A239:B239"/>
    <mergeCell ref="C239:G239"/>
    <mergeCell ref="A240:B240"/>
    <mergeCell ref="C240:G240"/>
    <mergeCell ref="Q239:S239"/>
    <mergeCell ref="C237:G237"/>
    <mergeCell ref="C238:G238"/>
    <mergeCell ref="M238:P238"/>
    <mergeCell ref="M239:P239"/>
    <mergeCell ref="M240:P240"/>
    <mergeCell ref="Q248:S248"/>
    <mergeCell ref="M243:P243"/>
    <mergeCell ref="A267:S267"/>
    <mergeCell ref="A241:B241"/>
    <mergeCell ref="C241:G241"/>
    <mergeCell ref="A242:B242"/>
    <mergeCell ref="C242:G242"/>
    <mergeCell ref="A243:B243"/>
    <mergeCell ref="C243:G243"/>
    <mergeCell ref="A244:B244"/>
    <mergeCell ref="C244:G244"/>
    <mergeCell ref="A245:B245"/>
    <mergeCell ref="C245:G245"/>
    <mergeCell ref="C247:G247"/>
    <mergeCell ref="A246:B246"/>
    <mergeCell ref="A247:B247"/>
    <mergeCell ref="M241:P241"/>
    <mergeCell ref="M242:P242"/>
    <mergeCell ref="C248:G248"/>
    <mergeCell ref="C246:G246"/>
    <mergeCell ref="Q241:S241"/>
    <mergeCell ref="C271:G271"/>
    <mergeCell ref="C269:G269"/>
    <mergeCell ref="Q243:S243"/>
    <mergeCell ref="Q242:S242"/>
    <mergeCell ref="Q247:S247"/>
    <mergeCell ref="A281:B281"/>
    <mergeCell ref="A278:B278"/>
    <mergeCell ref="M244:N244"/>
    <mergeCell ref="O244:P244"/>
    <mergeCell ref="Q244:S244"/>
    <mergeCell ref="M275:P275"/>
    <mergeCell ref="Q275:S275"/>
    <mergeCell ref="M276:P276"/>
    <mergeCell ref="Q276:S276"/>
    <mergeCell ref="Q277:S277"/>
    <mergeCell ref="M273:P273"/>
    <mergeCell ref="M269:Q269"/>
    <mergeCell ref="M272:P272"/>
    <mergeCell ref="Q272:S272"/>
    <mergeCell ref="M245:P245"/>
    <mergeCell ref="Q245:S245"/>
    <mergeCell ref="M247:P247"/>
    <mergeCell ref="M248:P248"/>
    <mergeCell ref="M270:Q270"/>
    <mergeCell ref="T358:V358"/>
    <mergeCell ref="A354:S354"/>
    <mergeCell ref="M284:P284"/>
    <mergeCell ref="Q284:S284"/>
    <mergeCell ref="A303:S303"/>
    <mergeCell ref="C305:G305"/>
    <mergeCell ref="M280:N280"/>
    <mergeCell ref="O280:P280"/>
    <mergeCell ref="Q280:S280"/>
    <mergeCell ref="M281:P281"/>
    <mergeCell ref="Q281:S281"/>
    <mergeCell ref="M283:P283"/>
    <mergeCell ref="T305:V305"/>
    <mergeCell ref="P344:S344"/>
    <mergeCell ref="Q313:S313"/>
    <mergeCell ref="M315:P315"/>
    <mergeCell ref="A308:B308"/>
    <mergeCell ref="C308:G308"/>
    <mergeCell ref="A309:B309"/>
    <mergeCell ref="C309:G309"/>
    <mergeCell ref="F358:I358"/>
    <mergeCell ref="Q314:S314"/>
    <mergeCell ref="M313:P313"/>
    <mergeCell ref="P343:S343"/>
    <mergeCell ref="A5:S5"/>
    <mergeCell ref="A344:G344"/>
    <mergeCell ref="H346:M346"/>
    <mergeCell ref="H347:M347"/>
    <mergeCell ref="H348:M348"/>
    <mergeCell ref="A346:G346"/>
    <mergeCell ref="H343:K343"/>
    <mergeCell ref="L343:O343"/>
    <mergeCell ref="I40:J40"/>
    <mergeCell ref="I41:J41"/>
    <mergeCell ref="I42:J42"/>
    <mergeCell ref="I43:J43"/>
    <mergeCell ref="I44:J44"/>
    <mergeCell ref="I45:J45"/>
    <mergeCell ref="M321:P321"/>
    <mergeCell ref="Q321:S321"/>
    <mergeCell ref="C281:G281"/>
    <mergeCell ref="Q273:S273"/>
    <mergeCell ref="R270:S270"/>
    <mergeCell ref="A305:B305"/>
    <mergeCell ref="K10:S10"/>
    <mergeCell ref="A9:S9"/>
    <mergeCell ref="A11:C12"/>
    <mergeCell ref="K11:M11"/>
    <mergeCell ref="X374:BO374"/>
    <mergeCell ref="X375:BO375"/>
    <mergeCell ref="X376:BO376"/>
    <mergeCell ref="X377:BO377"/>
    <mergeCell ref="A382:S382"/>
    <mergeCell ref="A384:M384"/>
    <mergeCell ref="N384:S384"/>
    <mergeCell ref="Q318:S318"/>
    <mergeCell ref="M319:P319"/>
    <mergeCell ref="L342:O342"/>
    <mergeCell ref="L341:O341"/>
    <mergeCell ref="L344:O344"/>
    <mergeCell ref="H344:K344"/>
    <mergeCell ref="H342:K342"/>
    <mergeCell ref="H341:K341"/>
    <mergeCell ref="A349:G349"/>
    <mergeCell ref="H349:M349"/>
    <mergeCell ref="A358:E358"/>
    <mergeCell ref="A359:E359"/>
    <mergeCell ref="F356:I356"/>
    <mergeCell ref="F357:I357"/>
    <mergeCell ref="L367:O367"/>
    <mergeCell ref="P367:S367"/>
    <mergeCell ref="A341:G341"/>
    <mergeCell ref="N11:P11"/>
    <mergeCell ref="Q11:S11"/>
    <mergeCell ref="D11:J12"/>
    <mergeCell ref="A154:J154"/>
    <mergeCell ref="N154:P154"/>
    <mergeCell ref="A17:B17"/>
    <mergeCell ref="A18:B18"/>
    <mergeCell ref="A21:B21"/>
    <mergeCell ref="A29:B29"/>
    <mergeCell ref="A52:B52"/>
    <mergeCell ref="A42:H42"/>
    <mergeCell ref="K145:M145"/>
    <mergeCell ref="K146:M146"/>
    <mergeCell ref="K147:M147"/>
    <mergeCell ref="K148:M148"/>
    <mergeCell ref="K149:M149"/>
    <mergeCell ref="K150:M150"/>
    <mergeCell ref="A38:S38"/>
    <mergeCell ref="A40:H40"/>
    <mergeCell ref="K53:L53"/>
    <mergeCell ref="K54:L54"/>
    <mergeCell ref="K64:L64"/>
    <mergeCell ref="O56:P56"/>
    <mergeCell ref="Q54:S54"/>
    <mergeCell ref="C430:Q430"/>
    <mergeCell ref="R430:S430"/>
    <mergeCell ref="C431:Q431"/>
    <mergeCell ref="R431:S431"/>
    <mergeCell ref="A386:M386"/>
    <mergeCell ref="N386:S386"/>
    <mergeCell ref="M322:P322"/>
    <mergeCell ref="Q322:S322"/>
    <mergeCell ref="Q319:S319"/>
    <mergeCell ref="P341:S341"/>
    <mergeCell ref="P342:S342"/>
    <mergeCell ref="A347:G347"/>
    <mergeCell ref="A348:G348"/>
    <mergeCell ref="A342:G342"/>
    <mergeCell ref="A343:G343"/>
    <mergeCell ref="F360:I360"/>
    <mergeCell ref="A361:E361"/>
    <mergeCell ref="F361:I361"/>
    <mergeCell ref="A363:S363"/>
    <mergeCell ref="A366:E366"/>
    <mergeCell ref="F366:I366"/>
    <mergeCell ref="A372:S373"/>
    <mergeCell ref="F407:I407"/>
    <mergeCell ref="A413:S415"/>
    <mergeCell ref="A400:M400"/>
    <mergeCell ref="A401:M401"/>
    <mergeCell ref="A402:M402"/>
    <mergeCell ref="P398:S398"/>
    <mergeCell ref="K396:O396"/>
    <mergeCell ref="K397:O397"/>
    <mergeCell ref="A398:O398"/>
    <mergeCell ref="A369:S370"/>
    <mergeCell ref="A362:E362"/>
    <mergeCell ref="F362:I362"/>
    <mergeCell ref="A385:M385"/>
    <mergeCell ref="N385:S385"/>
    <mergeCell ref="H378:K379"/>
    <mergeCell ref="L378:O379"/>
    <mergeCell ref="P378:S379"/>
    <mergeCell ref="A378:G379"/>
    <mergeCell ref="A374:S375"/>
    <mergeCell ref="H377:K377"/>
    <mergeCell ref="L377:O377"/>
    <mergeCell ref="P377:S377"/>
    <mergeCell ref="A376:G377"/>
    <mergeCell ref="H376:S376"/>
    <mergeCell ref="L366:O366"/>
    <mergeCell ref="P366:S366"/>
    <mergeCell ref="A443:B443"/>
    <mergeCell ref="A444:B444"/>
    <mergeCell ref="A53:B53"/>
    <mergeCell ref="A54:B54"/>
    <mergeCell ref="A64:B64"/>
    <mergeCell ref="A166:B166"/>
    <mergeCell ref="A167:B167"/>
    <mergeCell ref="A168:B168"/>
    <mergeCell ref="A178:B178"/>
    <mergeCell ref="A198:B198"/>
    <mergeCell ref="A407:E407"/>
    <mergeCell ref="A405:S405"/>
    <mergeCell ref="A408:E408"/>
    <mergeCell ref="F408:I408"/>
    <mergeCell ref="A409:E409"/>
    <mergeCell ref="F409:I409"/>
    <mergeCell ref="A306:B306"/>
    <mergeCell ref="A307:B307"/>
    <mergeCell ref="A317:B317"/>
    <mergeCell ref="A389:S389"/>
    <mergeCell ref="A391:S394"/>
    <mergeCell ref="A396:D396"/>
    <mergeCell ref="E396:J396"/>
    <mergeCell ref="P396:S396"/>
    <mergeCell ref="A440:B440"/>
    <mergeCell ref="A441:B441"/>
    <mergeCell ref="N400:S400"/>
    <mergeCell ref="N401:S401"/>
    <mergeCell ref="N402:S402"/>
    <mergeCell ref="A199:B199"/>
    <mergeCell ref="A200:B200"/>
    <mergeCell ref="A210:B210"/>
    <mergeCell ref="A236:B236"/>
    <mergeCell ref="A237:B237"/>
    <mergeCell ref="A238:B238"/>
    <mergeCell ref="A248:B248"/>
    <mergeCell ref="A269:B269"/>
    <mergeCell ref="A270:B270"/>
    <mergeCell ref="M318:N318"/>
    <mergeCell ref="O318:P318"/>
    <mergeCell ref="C439:Q439"/>
    <mergeCell ref="R439:S439"/>
    <mergeCell ref="A411:S411"/>
    <mergeCell ref="A426:B426"/>
    <mergeCell ref="A427:B428"/>
    <mergeCell ref="A429:B429"/>
    <mergeCell ref="A430:B430"/>
    <mergeCell ref="C434:Q434"/>
    <mergeCell ref="Q463:S463"/>
    <mergeCell ref="C464:D464"/>
    <mergeCell ref="E464:F464"/>
    <mergeCell ref="G464:M464"/>
    <mergeCell ref="N464:P464"/>
    <mergeCell ref="A442:B442"/>
    <mergeCell ref="A435:B436"/>
    <mergeCell ref="A397:D397"/>
    <mergeCell ref="E397:J397"/>
    <mergeCell ref="P397:S397"/>
    <mergeCell ref="R434:S434"/>
    <mergeCell ref="C435:Q436"/>
    <mergeCell ref="R435:S436"/>
    <mergeCell ref="C437:Q437"/>
    <mergeCell ref="R437:S437"/>
    <mergeCell ref="C438:Q438"/>
    <mergeCell ref="R438:S438"/>
    <mergeCell ref="A437:B437"/>
    <mergeCell ref="A431:B431"/>
    <mergeCell ref="A432:B432"/>
    <mergeCell ref="A433:B433"/>
    <mergeCell ref="A434:B434"/>
    <mergeCell ref="A438:B438"/>
    <mergeCell ref="A439:B439"/>
    <mergeCell ref="Q467:S467"/>
    <mergeCell ref="C468:D468"/>
    <mergeCell ref="E468:F468"/>
    <mergeCell ref="G468:M468"/>
    <mergeCell ref="N468:P468"/>
    <mergeCell ref="A463:B463"/>
    <mergeCell ref="A464:B464"/>
    <mergeCell ref="C450:Q450"/>
    <mergeCell ref="R450:S450"/>
    <mergeCell ref="A450:B450"/>
    <mergeCell ref="A453:B453"/>
    <mergeCell ref="A456:B456"/>
    <mergeCell ref="A457:B457"/>
    <mergeCell ref="A458:B458"/>
    <mergeCell ref="A459:B459"/>
    <mergeCell ref="A460:B460"/>
    <mergeCell ref="A461:B461"/>
    <mergeCell ref="A454:B454"/>
    <mergeCell ref="A455:B455"/>
    <mergeCell ref="A462:B462"/>
    <mergeCell ref="C463:D463"/>
    <mergeCell ref="E463:F463"/>
    <mergeCell ref="G463:M463"/>
    <mergeCell ref="N463:P463"/>
    <mergeCell ref="Q471:S471"/>
    <mergeCell ref="C472:D472"/>
    <mergeCell ref="E472:F472"/>
    <mergeCell ref="G472:M472"/>
    <mergeCell ref="N472:P472"/>
    <mergeCell ref="Q464:S464"/>
    <mergeCell ref="A467:B467"/>
    <mergeCell ref="A468:B468"/>
    <mergeCell ref="C465:D465"/>
    <mergeCell ref="E465:F465"/>
    <mergeCell ref="G465:M465"/>
    <mergeCell ref="N465:P465"/>
    <mergeCell ref="Q465:S465"/>
    <mergeCell ref="C466:D466"/>
    <mergeCell ref="E466:F466"/>
    <mergeCell ref="G466:M466"/>
    <mergeCell ref="N466:P466"/>
    <mergeCell ref="Q466:S466"/>
    <mergeCell ref="A465:B465"/>
    <mergeCell ref="A466:B466"/>
    <mergeCell ref="C467:D467"/>
    <mergeCell ref="E467:F467"/>
    <mergeCell ref="G467:M467"/>
    <mergeCell ref="N467:P467"/>
    <mergeCell ref="G474:M474"/>
    <mergeCell ref="N474:P474"/>
    <mergeCell ref="Q474:S474"/>
    <mergeCell ref="A473:B473"/>
    <mergeCell ref="A474:B474"/>
    <mergeCell ref="Q468:S468"/>
    <mergeCell ref="A471:B471"/>
    <mergeCell ref="A472:B472"/>
    <mergeCell ref="C469:D469"/>
    <mergeCell ref="E469:F469"/>
    <mergeCell ref="G469:M469"/>
    <mergeCell ref="N469:P469"/>
    <mergeCell ref="Q469:S469"/>
    <mergeCell ref="C470:D470"/>
    <mergeCell ref="E470:F470"/>
    <mergeCell ref="G470:M470"/>
    <mergeCell ref="N470:P470"/>
    <mergeCell ref="Q470:S470"/>
    <mergeCell ref="A469:B469"/>
    <mergeCell ref="A470:B470"/>
    <mergeCell ref="C471:D471"/>
    <mergeCell ref="E471:F471"/>
    <mergeCell ref="G471:M471"/>
    <mergeCell ref="N471:P471"/>
    <mergeCell ref="A520:M520"/>
    <mergeCell ref="N520:S520"/>
    <mergeCell ref="A521:M521"/>
    <mergeCell ref="N521:S521"/>
    <mergeCell ref="A484:S484"/>
    <mergeCell ref="A501:O501"/>
    <mergeCell ref="A503:I503"/>
    <mergeCell ref="M503:S503"/>
    <mergeCell ref="A505:L505"/>
    <mergeCell ref="P505:S505"/>
    <mergeCell ref="P500:S501"/>
    <mergeCell ref="A509:M509"/>
    <mergeCell ref="N509:S509"/>
    <mergeCell ref="A510:M510"/>
    <mergeCell ref="N510:S510"/>
    <mergeCell ref="A512:M512"/>
    <mergeCell ref="N512:S512"/>
    <mergeCell ref="C432:Q432"/>
    <mergeCell ref="R432:S432"/>
    <mergeCell ref="C433:Q433"/>
    <mergeCell ref="R433:S433"/>
    <mergeCell ref="A553:S553"/>
    <mergeCell ref="A543:M543"/>
    <mergeCell ref="N543:S543"/>
    <mergeCell ref="A544:M544"/>
    <mergeCell ref="N544:S544"/>
    <mergeCell ref="A523:M523"/>
    <mergeCell ref="N523:S523"/>
    <mergeCell ref="A524:M524"/>
    <mergeCell ref="N524:S524"/>
    <mergeCell ref="A526:M526"/>
    <mergeCell ref="N526:S526"/>
    <mergeCell ref="A529:S529"/>
    <mergeCell ref="A515:S515"/>
    <mergeCell ref="A517:E517"/>
    <mergeCell ref="M517:S517"/>
    <mergeCell ref="A518:E518"/>
    <mergeCell ref="C440:Q440"/>
    <mergeCell ref="R440:S440"/>
    <mergeCell ref="C441:Q441"/>
    <mergeCell ref="R441:S441"/>
    <mergeCell ref="H421:J421"/>
    <mergeCell ref="K421:M421"/>
    <mergeCell ref="A423:S425"/>
    <mergeCell ref="C426:Q426"/>
    <mergeCell ref="R426:S426"/>
    <mergeCell ref="C427:Q428"/>
    <mergeCell ref="R427:S428"/>
    <mergeCell ref="C429:Q429"/>
    <mergeCell ref="R429:S429"/>
    <mergeCell ref="C442:Q442"/>
    <mergeCell ref="R442:S442"/>
    <mergeCell ref="C443:Q443"/>
    <mergeCell ref="R443:S443"/>
    <mergeCell ref="C444:Q444"/>
    <mergeCell ref="R444:S444"/>
    <mergeCell ref="C445:Q445"/>
    <mergeCell ref="R445:S445"/>
    <mergeCell ref="C446:Q446"/>
    <mergeCell ref="R446:S446"/>
    <mergeCell ref="C447:Q447"/>
    <mergeCell ref="R447:S447"/>
    <mergeCell ref="C448:Q449"/>
    <mergeCell ref="R448:S449"/>
    <mergeCell ref="A445:B445"/>
    <mergeCell ref="A446:B446"/>
    <mergeCell ref="A447:B447"/>
    <mergeCell ref="A448:B449"/>
    <mergeCell ref="C453:D453"/>
    <mergeCell ref="E453:F453"/>
    <mergeCell ref="G453:M453"/>
    <mergeCell ref="N453:P453"/>
    <mergeCell ref="Q453:S453"/>
    <mergeCell ref="C454:D454"/>
    <mergeCell ref="E454:F454"/>
    <mergeCell ref="G454:M454"/>
    <mergeCell ref="N454:P454"/>
    <mergeCell ref="Q454:S454"/>
    <mergeCell ref="C455:D455"/>
    <mergeCell ref="E455:F455"/>
    <mergeCell ref="G455:M455"/>
    <mergeCell ref="N455:P455"/>
    <mergeCell ref="Q455:S455"/>
    <mergeCell ref="C456:D456"/>
    <mergeCell ref="E456:F456"/>
    <mergeCell ref="G456:M456"/>
    <mergeCell ref="N456:P456"/>
    <mergeCell ref="Q456:S456"/>
    <mergeCell ref="C457:D457"/>
    <mergeCell ref="E457:F457"/>
    <mergeCell ref="G457:M457"/>
    <mergeCell ref="N457:P457"/>
    <mergeCell ref="Q457:S457"/>
    <mergeCell ref="C458:D458"/>
    <mergeCell ref="E458:F458"/>
    <mergeCell ref="G458:M458"/>
    <mergeCell ref="N458:P458"/>
    <mergeCell ref="Q458:S458"/>
    <mergeCell ref="C459:D459"/>
    <mergeCell ref="E459:F459"/>
    <mergeCell ref="G459:M459"/>
    <mergeCell ref="N459:P459"/>
    <mergeCell ref="Q459:S459"/>
    <mergeCell ref="C460:D460"/>
    <mergeCell ref="E460:F460"/>
    <mergeCell ref="G460:M460"/>
    <mergeCell ref="N460:P460"/>
    <mergeCell ref="Q460:S460"/>
    <mergeCell ref="C461:D461"/>
    <mergeCell ref="E461:F461"/>
    <mergeCell ref="G461:M461"/>
    <mergeCell ref="N461:P461"/>
    <mergeCell ref="Q461:S461"/>
    <mergeCell ref="C462:D462"/>
    <mergeCell ref="E462:F462"/>
    <mergeCell ref="G462:M462"/>
    <mergeCell ref="N462:P462"/>
    <mergeCell ref="Q462:S462"/>
    <mergeCell ref="A506:L506"/>
    <mergeCell ref="P506:S506"/>
    <mergeCell ref="A507:L507"/>
    <mergeCell ref="P507:S507"/>
    <mergeCell ref="Q472:S472"/>
    <mergeCell ref="A480:Q481"/>
    <mergeCell ref="R480:S481"/>
    <mergeCell ref="C478:D478"/>
    <mergeCell ref="A478:B478"/>
    <mergeCell ref="K478:P478"/>
    <mergeCell ref="Q478:S478"/>
    <mergeCell ref="A476:S476"/>
    <mergeCell ref="C473:D473"/>
    <mergeCell ref="E473:F473"/>
    <mergeCell ref="G473:M473"/>
    <mergeCell ref="N473:P473"/>
    <mergeCell ref="Q473:S473"/>
    <mergeCell ref="C474:D474"/>
    <mergeCell ref="E474:F474"/>
    <mergeCell ref="T544:U544"/>
    <mergeCell ref="A545:M545"/>
    <mergeCell ref="N545:S545"/>
    <mergeCell ref="A546:M546"/>
    <mergeCell ref="N546:S546"/>
    <mergeCell ref="A548:M548"/>
    <mergeCell ref="N548:S548"/>
    <mergeCell ref="A551:S551"/>
    <mergeCell ref="A552:S552"/>
    <mergeCell ref="A556:S556"/>
    <mergeCell ref="A557:S557"/>
    <mergeCell ref="A558:S558"/>
    <mergeCell ref="A559:S559"/>
    <mergeCell ref="A560:S560"/>
    <mergeCell ref="A561:S561"/>
    <mergeCell ref="A562:S563"/>
    <mergeCell ref="A564:S564"/>
    <mergeCell ref="A565:S565"/>
    <mergeCell ref="A580:S580"/>
    <mergeCell ref="A566:S567"/>
    <mergeCell ref="A568:S569"/>
    <mergeCell ref="A570:S571"/>
    <mergeCell ref="A572:S573"/>
    <mergeCell ref="A574:S575"/>
    <mergeCell ref="A576:S576"/>
    <mergeCell ref="A577:S577"/>
    <mergeCell ref="A578:S578"/>
    <mergeCell ref="A579:S579"/>
  </mergeCells>
  <conditionalFormatting sqref="A429:A435">
    <cfRule type="cellIs" dxfId="20" priority="3" operator="lessThan">
      <formula>0</formula>
    </cfRule>
  </conditionalFormatting>
  <conditionalFormatting sqref="A437:A448">
    <cfRule type="cellIs" dxfId="19" priority="2" operator="lessThan">
      <formula>0</formula>
    </cfRule>
  </conditionalFormatting>
  <conditionalFormatting sqref="A450">
    <cfRule type="cellIs" dxfId="18" priority="4" operator="lessThan">
      <formula>0</formula>
    </cfRule>
  </conditionalFormatting>
  <conditionalFormatting sqref="A454:A474">
    <cfRule type="cellIs" dxfId="17" priority="1" operator="lessThan">
      <formula>0</formula>
    </cfRule>
  </conditionalFormatting>
  <conditionalFormatting sqref="A479:D479">
    <cfRule type="cellIs" dxfId="16" priority="11" operator="lessThan">
      <formula>0</formula>
    </cfRule>
  </conditionalFormatting>
  <conditionalFormatting sqref="C426:C427">
    <cfRule type="cellIs" dxfId="15" priority="9" operator="lessThan">
      <formula>0</formula>
    </cfRule>
  </conditionalFormatting>
  <conditionalFormatting sqref="C429:C435">
    <cfRule type="cellIs" dxfId="14" priority="8" operator="lessThan">
      <formula>0</formula>
    </cfRule>
  </conditionalFormatting>
  <conditionalFormatting sqref="C437:C448">
    <cfRule type="cellIs" dxfId="13" priority="6" operator="lessThan">
      <formula>0</formula>
    </cfRule>
  </conditionalFormatting>
  <conditionalFormatting sqref="C450">
    <cfRule type="cellIs" dxfId="12" priority="7" operator="lessThan">
      <formula>0</formula>
    </cfRule>
  </conditionalFormatting>
  <conditionalFormatting sqref="N546:S546">
    <cfRule type="cellIs" dxfId="11" priority="13" operator="greaterThan">
      <formula>0.01</formula>
    </cfRule>
  </conditionalFormatting>
  <conditionalFormatting sqref="P367:S367">
    <cfRule type="cellIs" dxfId="10" priority="38" operator="greaterThan">
      <formula>0.5</formula>
    </cfRule>
  </conditionalFormatting>
  <conditionalFormatting sqref="Q245:S245">
    <cfRule type="cellIs" dxfId="9" priority="35" operator="equal">
      <formula>"Encerrar"</formula>
    </cfRule>
    <cfRule type="cellIs" dxfId="8" priority="36" operator="equal">
      <formula>"Continuar"</formula>
    </cfRule>
  </conditionalFormatting>
  <conditionalFormatting sqref="Q281:S281">
    <cfRule type="cellIs" dxfId="7" priority="24" operator="equal">
      <formula>"Encerrar"</formula>
    </cfRule>
    <cfRule type="cellIs" dxfId="6" priority="25" operator="equal">
      <formula>"Continuar"</formula>
    </cfRule>
  </conditionalFormatting>
  <conditionalFormatting sqref="Q319:S319">
    <cfRule type="cellIs" dxfId="5" priority="22" operator="equal">
      <formula>"Encerrar"</formula>
    </cfRule>
    <cfRule type="cellIs" dxfId="4" priority="23" operator="equal">
      <formula>"Continuar"</formula>
    </cfRule>
  </conditionalFormatting>
  <conditionalFormatting sqref="R426:R427 A427 R429:R435 R437:R448 R450 C453:C474 N453:N474 E454:E474 G454:G474 Q454:Q474 A476:B476 A478 C478 J478:K478 A480:B480">
    <cfRule type="cellIs" dxfId="3" priority="10" operator="lessThan">
      <formula>0</formula>
    </cfRule>
  </conditionalFormatting>
  <conditionalFormatting sqref="T544">
    <cfRule type="containsText" dxfId="2" priority="12" operator="containsText" text="Reduzir o número de casas decimais">
      <formula>NOT(ISERROR(SEARCH("Reduzir o número de casas decimais",T544)))</formula>
    </cfRule>
  </conditionalFormatting>
  <dataValidations count="5">
    <dataValidation type="list" allowBlank="1" showInputMessage="1" showErrorMessage="1" sqref="E397:J397" xr:uid="{BC7723A1-F713-4D77-A225-4755655D3AAE}">
      <formula1>$AI$389:$AI$397</formula1>
    </dataValidation>
    <dataValidation type="list" allowBlank="1" showInputMessage="1" showErrorMessage="1" sqref="E396:J396" xr:uid="{16BA2861-BB4D-4547-B36D-9B65721AAE3C}">
      <formula1>$AJ$393:$AJ$396</formula1>
    </dataValidation>
    <dataValidation type="list" allowBlank="1" showInputMessage="1" showErrorMessage="1" sqref="P396:S396" xr:uid="{F36208C9-7AC5-49C3-82E9-188C9A389661}">
      <formula1>$AJ$389:$AJ$391</formula1>
    </dataValidation>
    <dataValidation type="list" allowBlank="1" showInputMessage="1" showErrorMessage="1" sqref="E454:F474" xr:uid="{274F81E6-408B-435F-AEFE-EB4C464D5413}">
      <formula1>$U$456:$U$464</formula1>
    </dataValidation>
    <dataValidation type="list" allowBlank="1" showInputMessage="1" showErrorMessage="1" sqref="L18:L29" xr:uid="{5C2DD489-0C83-42A1-A5AC-6D8E4F2B2F12}">
      <formula1>$U$19:$U$20</formula1>
    </dataValidation>
  </dataValidations>
  <printOptions horizontalCentered="1"/>
  <pageMargins left="0.25" right="0.25" top="0.75" bottom="0.75" header="0.3" footer="0.3"/>
  <pageSetup paperSize="9" scale="79" fitToHeight="0" orientation="portrait" r:id="rId1"/>
  <ignoredErrors>
    <ignoredError sqref="Y282 N512"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881D38-17A1-4584-BA99-422C2EC80983}">
          <x14:formula1>
            <xm:f>'VANTAGEM DA COISA FEITA'!$V$11:$Y$11</xm:f>
          </x14:formula1>
          <xm:sqref>M517:S517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AP81"/>
  <sheetViews>
    <sheetView zoomScaleNormal="100" workbookViewId="0">
      <selection sqref="A1:R1"/>
    </sheetView>
  </sheetViews>
  <sheetFormatPr defaultColWidth="20.625" defaultRowHeight="15" x14ac:dyDescent="0.25"/>
  <cols>
    <col min="1" max="18" width="6.625" style="54" customWidth="1"/>
    <col min="19" max="16384" width="20.625" style="47"/>
  </cols>
  <sheetData>
    <row r="1" spans="1:42" ht="20.100000000000001" customHeight="1" thickBot="1" x14ac:dyDescent="0.3">
      <c r="A1" s="256" t="s">
        <v>258</v>
      </c>
      <c r="B1" s="256"/>
      <c r="C1" s="256"/>
      <c r="D1" s="256"/>
      <c r="E1" s="256"/>
      <c r="F1" s="256"/>
      <c r="G1" s="256"/>
      <c r="H1" s="256"/>
      <c r="I1" s="256"/>
      <c r="J1" s="256"/>
      <c r="K1" s="256"/>
      <c r="L1" s="256"/>
      <c r="M1" s="256"/>
      <c r="N1" s="256"/>
      <c r="O1" s="256"/>
      <c r="P1" s="256"/>
      <c r="Q1" s="256"/>
      <c r="R1" s="256"/>
    </row>
    <row r="2" spans="1:42" x14ac:dyDescent="0.25">
      <c r="A2" s="4"/>
      <c r="B2" s="4"/>
      <c r="C2" s="4"/>
      <c r="D2" s="4"/>
      <c r="E2" s="4"/>
      <c r="F2" s="4"/>
      <c r="G2" s="4"/>
      <c r="H2" s="4"/>
      <c r="I2" s="4"/>
      <c r="J2" s="4"/>
      <c r="K2" s="4"/>
      <c r="L2" s="4"/>
      <c r="M2" s="4"/>
      <c r="N2" s="4"/>
      <c r="O2" s="4"/>
      <c r="P2" s="4"/>
      <c r="Q2" s="4"/>
      <c r="R2" s="4"/>
    </row>
    <row r="3" spans="1:42" ht="20.100000000000001" customHeight="1" x14ac:dyDescent="0.25">
      <c r="A3" s="257" t="s">
        <v>259</v>
      </c>
      <c r="B3" s="257"/>
      <c r="C3" s="257"/>
      <c r="D3" s="257"/>
      <c r="E3" s="257"/>
      <c r="F3" s="257"/>
      <c r="G3" s="257"/>
      <c r="H3" s="257"/>
      <c r="I3" s="257"/>
      <c r="J3" s="257"/>
      <c r="K3" s="257"/>
      <c r="L3" s="257"/>
      <c r="M3" s="257"/>
      <c r="N3" s="257"/>
      <c r="O3" s="257"/>
      <c r="P3" s="257"/>
      <c r="Q3" s="257"/>
      <c r="R3" s="257"/>
    </row>
    <row r="4" spans="1:42" ht="20.100000000000001" customHeight="1" x14ac:dyDescent="0.25">
      <c r="A4" s="257"/>
      <c r="B4" s="257"/>
      <c r="C4" s="257"/>
      <c r="D4" s="257"/>
      <c r="E4" s="257"/>
      <c r="F4" s="257"/>
      <c r="G4" s="257"/>
      <c r="H4" s="257"/>
      <c r="I4" s="257"/>
      <c r="J4" s="257"/>
      <c r="K4" s="257"/>
      <c r="L4" s="257"/>
      <c r="M4" s="257"/>
      <c r="N4" s="257"/>
      <c r="O4" s="257"/>
      <c r="P4" s="257"/>
      <c r="Q4" s="257"/>
      <c r="R4" s="257"/>
    </row>
    <row r="5" spans="1:42" ht="20.100000000000001" customHeight="1" x14ac:dyDescent="0.25">
      <c r="A5" s="254" t="s">
        <v>260</v>
      </c>
      <c r="B5" s="254"/>
      <c r="C5" s="254"/>
      <c r="D5" s="254"/>
      <c r="E5" s="254"/>
      <c r="F5" s="254"/>
      <c r="G5" s="254"/>
      <c r="H5" s="254"/>
      <c r="I5" s="254"/>
      <c r="J5" s="254"/>
      <c r="K5" s="254"/>
      <c r="L5" s="254"/>
      <c r="M5" s="254"/>
      <c r="N5" s="254"/>
      <c r="O5" s="254"/>
      <c r="P5" s="254"/>
      <c r="Q5" s="254"/>
      <c r="R5" s="254"/>
    </row>
    <row r="6" spans="1:42" ht="20.100000000000001" customHeight="1" x14ac:dyDescent="0.25">
      <c r="A6" s="258" t="s">
        <v>261</v>
      </c>
      <c r="B6" s="258"/>
      <c r="C6" s="258"/>
      <c r="D6" s="258"/>
      <c r="E6" s="258" t="s">
        <v>262</v>
      </c>
      <c r="F6" s="258"/>
      <c r="G6" s="258" t="s">
        <v>263</v>
      </c>
      <c r="H6" s="258"/>
      <c r="I6" s="258"/>
      <c r="J6" s="258"/>
      <c r="K6" s="258" t="s">
        <v>264</v>
      </c>
      <c r="L6" s="258"/>
      <c r="M6" s="258"/>
      <c r="N6" s="258"/>
      <c r="O6" s="258" t="s">
        <v>265</v>
      </c>
      <c r="P6" s="258"/>
      <c r="Q6" s="258"/>
      <c r="R6" s="258"/>
    </row>
    <row r="7" spans="1:42" ht="20.100000000000001" customHeight="1" x14ac:dyDescent="0.25">
      <c r="A7" s="251" t="s">
        <v>266</v>
      </c>
      <c r="B7" s="251"/>
      <c r="C7" s="251"/>
      <c r="D7" s="251"/>
      <c r="E7" s="250">
        <v>0.25</v>
      </c>
      <c r="F7" s="250"/>
      <c r="G7" s="250">
        <v>0.25</v>
      </c>
      <c r="H7" s="250"/>
      <c r="I7" s="250">
        <v>0.21</v>
      </c>
      <c r="J7" s="250"/>
      <c r="K7" s="250">
        <v>0.21</v>
      </c>
      <c r="L7" s="250"/>
      <c r="M7" s="250">
        <v>0.13</v>
      </c>
      <c r="N7" s="250"/>
      <c r="O7" s="250">
        <v>0.13</v>
      </c>
      <c r="P7" s="250"/>
      <c r="Q7" s="250">
        <v>0</v>
      </c>
      <c r="R7" s="250"/>
    </row>
    <row r="8" spans="1:42" ht="20.100000000000001" customHeight="1" x14ac:dyDescent="0.25">
      <c r="A8" s="251"/>
      <c r="B8" s="251"/>
      <c r="C8" s="251"/>
      <c r="D8" s="251"/>
      <c r="E8" s="250"/>
      <c r="F8" s="250"/>
      <c r="G8" s="250"/>
      <c r="H8" s="250"/>
      <c r="I8" s="250"/>
      <c r="J8" s="250"/>
      <c r="K8" s="250"/>
      <c r="L8" s="250"/>
      <c r="M8" s="250"/>
      <c r="N8" s="250"/>
      <c r="O8" s="250"/>
      <c r="P8" s="250"/>
      <c r="Q8" s="250"/>
      <c r="R8" s="250"/>
    </row>
    <row r="9" spans="1:42" ht="20.100000000000001" customHeight="1" x14ac:dyDescent="0.25">
      <c r="A9" s="251" t="s">
        <v>267</v>
      </c>
      <c r="B9" s="251"/>
      <c r="C9" s="251"/>
      <c r="D9" s="251"/>
      <c r="E9" s="250">
        <v>0.15</v>
      </c>
      <c r="F9" s="250"/>
      <c r="G9" s="250">
        <v>0.15</v>
      </c>
      <c r="H9" s="250"/>
      <c r="I9" s="250">
        <v>0.125</v>
      </c>
      <c r="J9" s="250"/>
      <c r="K9" s="250">
        <v>0.125</v>
      </c>
      <c r="L9" s="250"/>
      <c r="M9" s="250">
        <v>7.8E-2</v>
      </c>
      <c r="N9" s="250"/>
      <c r="O9" s="250">
        <v>7.8E-2</v>
      </c>
      <c r="P9" s="250"/>
      <c r="Q9" s="250">
        <v>0</v>
      </c>
      <c r="R9" s="250"/>
    </row>
    <row r="10" spans="1:42" ht="20.100000000000001" customHeight="1" x14ac:dyDescent="0.25">
      <c r="A10" s="251"/>
      <c r="B10" s="251"/>
      <c r="C10" s="251"/>
      <c r="D10" s="251"/>
      <c r="E10" s="250"/>
      <c r="F10" s="250"/>
      <c r="G10" s="250"/>
      <c r="H10" s="250"/>
      <c r="I10" s="250"/>
      <c r="J10" s="250"/>
      <c r="K10" s="250"/>
      <c r="L10" s="250"/>
      <c r="M10" s="250"/>
      <c r="N10" s="250"/>
      <c r="O10" s="250"/>
      <c r="P10" s="250"/>
      <c r="Q10" s="250"/>
      <c r="R10" s="250"/>
    </row>
    <row r="11" spans="1:42" ht="20.100000000000001" customHeight="1" x14ac:dyDescent="0.25">
      <c r="A11" s="251" t="s">
        <v>268</v>
      </c>
      <c r="B11" s="251"/>
      <c r="C11" s="251"/>
      <c r="D11" s="251"/>
      <c r="E11" s="250">
        <v>0.1</v>
      </c>
      <c r="F11" s="250"/>
      <c r="G11" s="250">
        <v>0.1</v>
      </c>
      <c r="H11" s="250"/>
      <c r="I11" s="250">
        <v>8.4000000000000005E-2</v>
      </c>
      <c r="J11" s="250"/>
      <c r="K11" s="250">
        <v>8.4000000000000005E-2</v>
      </c>
      <c r="L11" s="250"/>
      <c r="M11" s="250">
        <v>5.1999999999999998E-2</v>
      </c>
      <c r="N11" s="250"/>
      <c r="O11" s="250">
        <v>5.1999999999999998E-2</v>
      </c>
      <c r="P11" s="250"/>
      <c r="Q11" s="250">
        <v>0</v>
      </c>
      <c r="R11" s="250"/>
      <c r="U11" s="48" t="s">
        <v>269</v>
      </c>
      <c r="V11" s="48" t="s">
        <v>266</v>
      </c>
      <c r="W11" s="48" t="s">
        <v>267</v>
      </c>
      <c r="X11" s="48" t="s">
        <v>268</v>
      </c>
      <c r="Y11" s="48" t="s">
        <v>270</v>
      </c>
      <c r="AA11" s="252" t="s">
        <v>271</v>
      </c>
      <c r="AB11" s="252"/>
      <c r="AC11" s="252"/>
      <c r="AD11" s="252"/>
      <c r="AE11" s="252"/>
      <c r="AF11" s="252"/>
      <c r="AG11" s="252"/>
      <c r="AH11" s="252"/>
      <c r="AI11" s="252"/>
      <c r="AJ11" s="252"/>
    </row>
    <row r="12" spans="1:42" ht="20.100000000000001" customHeight="1" x14ac:dyDescent="0.25">
      <c r="A12" s="251"/>
      <c r="B12" s="251"/>
      <c r="C12" s="251"/>
      <c r="D12" s="251"/>
      <c r="E12" s="250"/>
      <c r="F12" s="250"/>
      <c r="G12" s="250"/>
      <c r="H12" s="250"/>
      <c r="I12" s="250"/>
      <c r="J12" s="250"/>
      <c r="K12" s="250"/>
      <c r="L12" s="250"/>
      <c r="M12" s="250"/>
      <c r="N12" s="250"/>
      <c r="O12" s="250"/>
      <c r="P12" s="250"/>
      <c r="Q12" s="250"/>
      <c r="R12" s="250"/>
      <c r="U12" s="49">
        <f t="shared" ref="U12:U41" si="0">AB12</f>
        <v>1</v>
      </c>
      <c r="V12" s="50">
        <f t="shared" ref="V12:V41" si="1">AD12/100</f>
        <v>0.24600000000000002</v>
      </c>
      <c r="W12" s="50">
        <f t="shared" ref="W12:W41" si="2">AF12/100</f>
        <v>0.14749999999999999</v>
      </c>
      <c r="X12" s="50">
        <f t="shared" ref="X12:X41" si="3">AH12/100</f>
        <v>9.8400000000000001E-2</v>
      </c>
      <c r="Y12" s="50">
        <f t="shared" ref="Y12:Y41" si="4">AJ12/100</f>
        <v>4.9200000000000001E-2</v>
      </c>
      <c r="AA12" s="253"/>
      <c r="AB12" s="51">
        <v>1</v>
      </c>
      <c r="AC12" s="253"/>
      <c r="AD12" s="52">
        <f t="shared" ref="AD12:AD21" si="5">25-AB12*4/10</f>
        <v>24.6</v>
      </c>
      <c r="AE12" s="253"/>
      <c r="AF12" s="52">
        <f t="shared" ref="AF12:AF21" si="6">15-(AB12*2.5/10)</f>
        <v>14.75</v>
      </c>
      <c r="AG12" s="253"/>
      <c r="AH12" s="52">
        <f t="shared" ref="AH12:AH21" si="7">10-AB12*1.6/10</f>
        <v>9.84</v>
      </c>
      <c r="AI12" s="253"/>
      <c r="AJ12" s="52">
        <f t="shared" ref="AJ12:AJ21" si="8">5-AB12*0.8/10</f>
        <v>4.92</v>
      </c>
      <c r="AM12" s="53"/>
      <c r="AN12" s="53"/>
      <c r="AO12" s="53"/>
      <c r="AP12" s="53"/>
    </row>
    <row r="13" spans="1:42" ht="20.100000000000001" customHeight="1" x14ac:dyDescent="0.25">
      <c r="A13" s="251" t="s">
        <v>270</v>
      </c>
      <c r="B13" s="251"/>
      <c r="C13" s="251"/>
      <c r="D13" s="251"/>
      <c r="E13" s="250">
        <v>0.05</v>
      </c>
      <c r="F13" s="250"/>
      <c r="G13" s="250">
        <v>0.05</v>
      </c>
      <c r="H13" s="250"/>
      <c r="I13" s="250">
        <v>4.2000000000000003E-2</v>
      </c>
      <c r="J13" s="250"/>
      <c r="K13" s="250">
        <v>4.2000000000000003E-2</v>
      </c>
      <c r="L13" s="250"/>
      <c r="M13" s="250">
        <v>2.5999999999999999E-2</v>
      </c>
      <c r="N13" s="250"/>
      <c r="O13" s="250">
        <v>2.5999999999999999E-2</v>
      </c>
      <c r="P13" s="250"/>
      <c r="Q13" s="250">
        <v>0</v>
      </c>
      <c r="R13" s="250"/>
      <c r="U13" s="49">
        <f t="shared" si="0"/>
        <v>2</v>
      </c>
      <c r="V13" s="50">
        <f t="shared" si="1"/>
        <v>0.24199999999999999</v>
      </c>
      <c r="W13" s="50">
        <f t="shared" si="2"/>
        <v>0.14499999999999999</v>
      </c>
      <c r="X13" s="50">
        <f t="shared" si="3"/>
        <v>9.6799999999999997E-2</v>
      </c>
      <c r="Y13" s="50">
        <f t="shared" si="4"/>
        <v>4.8399999999999999E-2</v>
      </c>
      <c r="AA13" s="253"/>
      <c r="AB13" s="51">
        <v>2</v>
      </c>
      <c r="AC13" s="253"/>
      <c r="AD13" s="52">
        <f t="shared" si="5"/>
        <v>24.2</v>
      </c>
      <c r="AE13" s="253"/>
      <c r="AF13" s="52">
        <f t="shared" si="6"/>
        <v>14.5</v>
      </c>
      <c r="AG13" s="253"/>
      <c r="AH13" s="52">
        <f t="shared" si="7"/>
        <v>9.68</v>
      </c>
      <c r="AI13" s="253"/>
      <c r="AJ13" s="52">
        <f t="shared" si="8"/>
        <v>4.84</v>
      </c>
      <c r="AM13" s="53"/>
      <c r="AN13" s="53"/>
      <c r="AO13" s="53"/>
      <c r="AP13" s="53"/>
    </row>
    <row r="14" spans="1:42" ht="20.100000000000001" customHeight="1" x14ac:dyDescent="0.25">
      <c r="A14" s="251"/>
      <c r="B14" s="251"/>
      <c r="C14" s="251"/>
      <c r="D14" s="251"/>
      <c r="E14" s="250"/>
      <c r="F14" s="250"/>
      <c r="G14" s="250"/>
      <c r="H14" s="250"/>
      <c r="I14" s="250"/>
      <c r="J14" s="250"/>
      <c r="K14" s="250"/>
      <c r="L14" s="250"/>
      <c r="M14" s="250"/>
      <c r="N14" s="250"/>
      <c r="O14" s="250"/>
      <c r="P14" s="250"/>
      <c r="Q14" s="250"/>
      <c r="R14" s="250"/>
      <c r="U14" s="49">
        <f t="shared" si="0"/>
        <v>3</v>
      </c>
      <c r="V14" s="50">
        <f t="shared" si="1"/>
        <v>0.23800000000000002</v>
      </c>
      <c r="W14" s="50">
        <f t="shared" si="2"/>
        <v>0.14249999999999999</v>
      </c>
      <c r="X14" s="50">
        <f t="shared" si="3"/>
        <v>9.5199999999999993E-2</v>
      </c>
      <c r="Y14" s="50">
        <f t="shared" si="4"/>
        <v>4.7599999999999996E-2</v>
      </c>
      <c r="AA14" s="253"/>
      <c r="AB14" s="51">
        <v>3</v>
      </c>
      <c r="AC14" s="253"/>
      <c r="AD14" s="52">
        <f t="shared" si="5"/>
        <v>23.8</v>
      </c>
      <c r="AE14" s="253"/>
      <c r="AF14" s="52">
        <f t="shared" si="6"/>
        <v>14.25</v>
      </c>
      <c r="AG14" s="253"/>
      <c r="AH14" s="52">
        <f t="shared" si="7"/>
        <v>9.52</v>
      </c>
      <c r="AI14" s="253"/>
      <c r="AJ14" s="52">
        <f t="shared" si="8"/>
        <v>4.76</v>
      </c>
      <c r="AM14" s="53"/>
      <c r="AN14" s="53"/>
      <c r="AO14" s="53"/>
      <c r="AP14" s="53"/>
    </row>
    <row r="15" spans="1:42" ht="20.100000000000001" customHeight="1" x14ac:dyDescent="0.25">
      <c r="A15" s="254" t="s">
        <v>272</v>
      </c>
      <c r="B15" s="254"/>
      <c r="C15" s="254"/>
      <c r="D15" s="254"/>
      <c r="E15" s="254"/>
      <c r="F15" s="254"/>
      <c r="G15" s="254"/>
      <c r="H15" s="254"/>
      <c r="I15" s="254"/>
      <c r="J15" s="254"/>
      <c r="K15" s="254"/>
      <c r="L15" s="254"/>
      <c r="M15" s="254"/>
      <c r="N15" s="254"/>
      <c r="O15" s="254"/>
      <c r="P15" s="254"/>
      <c r="Q15" s="254"/>
      <c r="R15" s="254"/>
      <c r="U15" s="49">
        <f t="shared" si="0"/>
        <v>4</v>
      </c>
      <c r="V15" s="50">
        <f t="shared" si="1"/>
        <v>0.23399999999999999</v>
      </c>
      <c r="W15" s="50">
        <f t="shared" si="2"/>
        <v>0.14000000000000001</v>
      </c>
      <c r="X15" s="50">
        <f t="shared" si="3"/>
        <v>9.3599999999999989E-2</v>
      </c>
      <c r="Y15" s="50">
        <f t="shared" si="4"/>
        <v>4.6799999999999994E-2</v>
      </c>
      <c r="AA15" s="253"/>
      <c r="AB15" s="51">
        <v>4</v>
      </c>
      <c r="AC15" s="253"/>
      <c r="AD15" s="52">
        <f t="shared" si="5"/>
        <v>23.4</v>
      </c>
      <c r="AE15" s="253"/>
      <c r="AF15" s="52">
        <f t="shared" si="6"/>
        <v>14</v>
      </c>
      <c r="AG15" s="253"/>
      <c r="AH15" s="52">
        <f t="shared" si="7"/>
        <v>9.36</v>
      </c>
      <c r="AI15" s="253"/>
      <c r="AJ15" s="52">
        <f t="shared" si="8"/>
        <v>4.68</v>
      </c>
      <c r="AM15" s="53"/>
      <c r="AN15" s="53"/>
      <c r="AO15" s="53"/>
      <c r="AP15" s="53"/>
    </row>
    <row r="16" spans="1:42" ht="20.100000000000001" customHeight="1" x14ac:dyDescent="0.25">
      <c r="A16" s="254" t="s">
        <v>273</v>
      </c>
      <c r="B16" s="254"/>
      <c r="C16" s="254"/>
      <c r="D16" s="254"/>
      <c r="E16" s="254"/>
      <c r="F16" s="254"/>
      <c r="G16" s="254"/>
      <c r="H16" s="254"/>
      <c r="I16" s="254"/>
      <c r="J16" s="254"/>
      <c r="K16" s="254"/>
      <c r="L16" s="254"/>
      <c r="M16" s="254"/>
      <c r="N16" s="254"/>
      <c r="O16" s="254"/>
      <c r="P16" s="254"/>
      <c r="Q16" s="254"/>
      <c r="R16" s="254"/>
      <c r="U16" s="49">
        <f t="shared" si="0"/>
        <v>5</v>
      </c>
      <c r="V16" s="50">
        <f t="shared" si="1"/>
        <v>0.23</v>
      </c>
      <c r="W16" s="50">
        <f t="shared" si="2"/>
        <v>0.13750000000000001</v>
      </c>
      <c r="X16" s="50">
        <f t="shared" si="3"/>
        <v>9.1999999999999998E-2</v>
      </c>
      <c r="Y16" s="50">
        <f t="shared" si="4"/>
        <v>4.5999999999999999E-2</v>
      </c>
      <c r="AA16" s="253"/>
      <c r="AB16" s="51">
        <v>5</v>
      </c>
      <c r="AC16" s="253"/>
      <c r="AD16" s="52">
        <f t="shared" si="5"/>
        <v>23</v>
      </c>
      <c r="AE16" s="253"/>
      <c r="AF16" s="52">
        <f t="shared" si="6"/>
        <v>13.75</v>
      </c>
      <c r="AG16" s="253"/>
      <c r="AH16" s="52">
        <f t="shared" si="7"/>
        <v>9.1999999999999993</v>
      </c>
      <c r="AI16" s="253"/>
      <c r="AJ16" s="52">
        <f t="shared" si="8"/>
        <v>4.5999999999999996</v>
      </c>
      <c r="AM16" s="53"/>
      <c r="AN16" s="53"/>
      <c r="AO16" s="53"/>
      <c r="AP16" s="53"/>
    </row>
    <row r="17" spans="1:42" ht="20.100000000000001" customHeight="1" x14ac:dyDescent="0.25">
      <c r="A17" s="254" t="s">
        <v>274</v>
      </c>
      <c r="B17" s="254"/>
      <c r="C17" s="254"/>
      <c r="D17" s="255" t="s">
        <v>275</v>
      </c>
      <c r="E17" s="255"/>
      <c r="F17" s="255"/>
      <c r="G17" s="255"/>
      <c r="H17" s="255"/>
      <c r="I17" s="255"/>
      <c r="J17" s="255"/>
      <c r="K17" s="255"/>
      <c r="L17" s="255"/>
      <c r="M17" s="255"/>
      <c r="N17" s="255"/>
      <c r="O17" s="255"/>
      <c r="P17" s="255"/>
      <c r="Q17" s="255"/>
      <c r="R17" s="255"/>
      <c r="U17" s="49">
        <f t="shared" si="0"/>
        <v>6</v>
      </c>
      <c r="V17" s="50">
        <f t="shared" si="1"/>
        <v>0.22600000000000001</v>
      </c>
      <c r="W17" s="50">
        <f t="shared" si="2"/>
        <v>0.13500000000000001</v>
      </c>
      <c r="X17" s="50">
        <f t="shared" si="3"/>
        <v>9.0399999999999994E-2</v>
      </c>
      <c r="Y17" s="50">
        <f t="shared" si="4"/>
        <v>4.5199999999999997E-2</v>
      </c>
      <c r="AA17" s="253"/>
      <c r="AB17" s="51">
        <v>6</v>
      </c>
      <c r="AC17" s="253"/>
      <c r="AD17" s="52">
        <f t="shared" si="5"/>
        <v>22.6</v>
      </c>
      <c r="AE17" s="253"/>
      <c r="AF17" s="52">
        <f t="shared" si="6"/>
        <v>13.5</v>
      </c>
      <c r="AG17" s="253"/>
      <c r="AH17" s="52">
        <f t="shared" si="7"/>
        <v>9.0399999999999991</v>
      </c>
      <c r="AI17" s="253"/>
      <c r="AJ17" s="52">
        <f t="shared" si="8"/>
        <v>4.5199999999999996</v>
      </c>
      <c r="AM17" s="53"/>
      <c r="AN17" s="53"/>
      <c r="AO17" s="53"/>
      <c r="AP17" s="53"/>
    </row>
    <row r="18" spans="1:42" ht="20.100000000000001" customHeight="1" x14ac:dyDescent="0.25">
      <c r="A18" s="155" t="s">
        <v>276</v>
      </c>
      <c r="B18" s="155"/>
      <c r="C18" s="155"/>
      <c r="D18" s="155"/>
      <c r="E18" s="155"/>
      <c r="F18" s="155"/>
      <c r="G18" s="155"/>
      <c r="H18" s="155"/>
      <c r="I18" s="155"/>
      <c r="J18" s="155"/>
      <c r="K18" s="155"/>
      <c r="L18" s="155"/>
      <c r="M18" s="155"/>
      <c r="N18" s="155"/>
      <c r="O18" s="155"/>
      <c r="P18" s="155"/>
      <c r="Q18" s="155"/>
      <c r="R18" s="155"/>
      <c r="U18" s="49">
        <f t="shared" si="0"/>
        <v>7</v>
      </c>
      <c r="V18" s="50">
        <f t="shared" si="1"/>
        <v>0.222</v>
      </c>
      <c r="W18" s="50">
        <f t="shared" si="2"/>
        <v>0.13250000000000001</v>
      </c>
      <c r="X18" s="50">
        <f t="shared" si="3"/>
        <v>8.879999999999999E-2</v>
      </c>
      <c r="Y18" s="50">
        <f t="shared" si="4"/>
        <v>4.4399999999999995E-2</v>
      </c>
      <c r="AA18" s="253"/>
      <c r="AB18" s="51">
        <v>7</v>
      </c>
      <c r="AC18" s="253"/>
      <c r="AD18" s="52">
        <f t="shared" si="5"/>
        <v>22.2</v>
      </c>
      <c r="AE18" s="253"/>
      <c r="AF18" s="52">
        <f t="shared" si="6"/>
        <v>13.25</v>
      </c>
      <c r="AG18" s="253"/>
      <c r="AH18" s="52">
        <f t="shared" si="7"/>
        <v>8.879999999999999</v>
      </c>
      <c r="AI18" s="253"/>
      <c r="AJ18" s="52">
        <f t="shared" si="8"/>
        <v>4.4399999999999995</v>
      </c>
      <c r="AM18" s="53"/>
      <c r="AN18" s="53"/>
      <c r="AO18" s="53"/>
      <c r="AP18" s="53"/>
    </row>
    <row r="19" spans="1:42" ht="20.100000000000001" customHeight="1" x14ac:dyDescent="0.25">
      <c r="A19" s="155"/>
      <c r="B19" s="155"/>
      <c r="C19" s="155"/>
      <c r="D19" s="155"/>
      <c r="E19" s="155"/>
      <c r="F19" s="155"/>
      <c r="G19" s="155"/>
      <c r="H19" s="155"/>
      <c r="I19" s="155"/>
      <c r="J19" s="155"/>
      <c r="K19" s="155"/>
      <c r="L19" s="155"/>
      <c r="M19" s="155"/>
      <c r="N19" s="155"/>
      <c r="O19" s="155"/>
      <c r="P19" s="155"/>
      <c r="Q19" s="155"/>
      <c r="R19" s="155"/>
      <c r="U19" s="49">
        <f t="shared" si="0"/>
        <v>8</v>
      </c>
      <c r="V19" s="50">
        <f t="shared" si="1"/>
        <v>0.218</v>
      </c>
      <c r="W19" s="50">
        <f t="shared" si="2"/>
        <v>0.13</v>
      </c>
      <c r="X19" s="50">
        <f t="shared" si="3"/>
        <v>8.72E-2</v>
      </c>
      <c r="Y19" s="50">
        <f t="shared" si="4"/>
        <v>4.36E-2</v>
      </c>
      <c r="AA19" s="253"/>
      <c r="AB19" s="51">
        <v>8</v>
      </c>
      <c r="AC19" s="253"/>
      <c r="AD19" s="52">
        <f t="shared" si="5"/>
        <v>21.8</v>
      </c>
      <c r="AE19" s="253"/>
      <c r="AF19" s="52">
        <f t="shared" si="6"/>
        <v>13</v>
      </c>
      <c r="AG19" s="253"/>
      <c r="AH19" s="52">
        <f t="shared" si="7"/>
        <v>8.7200000000000006</v>
      </c>
      <c r="AI19" s="253"/>
      <c r="AJ19" s="52">
        <f t="shared" si="8"/>
        <v>4.3600000000000003</v>
      </c>
      <c r="AM19" s="53"/>
      <c r="AN19" s="53"/>
      <c r="AO19" s="53"/>
      <c r="AP19" s="53"/>
    </row>
    <row r="20" spans="1:42" ht="20.100000000000001" customHeight="1" x14ac:dyDescent="0.25">
      <c r="A20" s="155"/>
      <c r="B20" s="155"/>
      <c r="C20" s="155"/>
      <c r="D20" s="155"/>
      <c r="E20" s="155"/>
      <c r="F20" s="155"/>
      <c r="G20" s="155"/>
      <c r="H20" s="155"/>
      <c r="I20" s="155"/>
      <c r="J20" s="155"/>
      <c r="K20" s="155"/>
      <c r="L20" s="155"/>
      <c r="M20" s="155"/>
      <c r="N20" s="155"/>
      <c r="O20" s="155"/>
      <c r="P20" s="155"/>
      <c r="Q20" s="155"/>
      <c r="R20" s="155"/>
      <c r="U20" s="49">
        <f t="shared" si="0"/>
        <v>9</v>
      </c>
      <c r="V20" s="50">
        <f t="shared" si="1"/>
        <v>0.214</v>
      </c>
      <c r="W20" s="50">
        <f t="shared" si="2"/>
        <v>0.1275</v>
      </c>
      <c r="X20" s="50">
        <f t="shared" si="3"/>
        <v>8.5600000000000009E-2</v>
      </c>
      <c r="Y20" s="50">
        <f t="shared" si="4"/>
        <v>4.2800000000000005E-2</v>
      </c>
      <c r="AA20" s="253"/>
      <c r="AB20" s="51">
        <v>9</v>
      </c>
      <c r="AC20" s="253"/>
      <c r="AD20" s="52">
        <f t="shared" si="5"/>
        <v>21.4</v>
      </c>
      <c r="AE20" s="253"/>
      <c r="AF20" s="52">
        <f t="shared" si="6"/>
        <v>12.75</v>
      </c>
      <c r="AG20" s="253"/>
      <c r="AH20" s="52">
        <f t="shared" si="7"/>
        <v>8.56</v>
      </c>
      <c r="AI20" s="253"/>
      <c r="AJ20" s="52">
        <f t="shared" si="8"/>
        <v>4.28</v>
      </c>
      <c r="AM20" s="53"/>
      <c r="AN20" s="53"/>
      <c r="AO20" s="53"/>
      <c r="AP20" s="53"/>
    </row>
    <row r="21" spans="1:42" ht="20.100000000000001" customHeight="1" x14ac:dyDescent="0.25">
      <c r="A21" s="47"/>
      <c r="B21" s="47"/>
      <c r="C21" s="47"/>
      <c r="D21" s="47"/>
      <c r="E21" s="47"/>
      <c r="F21" s="47"/>
      <c r="G21" s="47"/>
      <c r="H21" s="47"/>
      <c r="I21" s="47"/>
      <c r="J21" s="47"/>
      <c r="K21" s="47"/>
      <c r="L21" s="47"/>
      <c r="M21" s="47"/>
      <c r="N21" s="47"/>
      <c r="O21" s="47"/>
      <c r="P21" s="47"/>
      <c r="Q21" s="47"/>
      <c r="R21" s="47"/>
      <c r="U21" s="49">
        <f t="shared" si="0"/>
        <v>10</v>
      </c>
      <c r="V21" s="50">
        <f t="shared" si="1"/>
        <v>0.21</v>
      </c>
      <c r="W21" s="50">
        <f t="shared" si="2"/>
        <v>0.125</v>
      </c>
      <c r="X21" s="50">
        <f t="shared" si="3"/>
        <v>8.4000000000000005E-2</v>
      </c>
      <c r="Y21" s="50">
        <f t="shared" si="4"/>
        <v>4.2000000000000003E-2</v>
      </c>
      <c r="AA21" s="253"/>
      <c r="AB21" s="51">
        <v>10</v>
      </c>
      <c r="AC21" s="253"/>
      <c r="AD21" s="52">
        <f t="shared" si="5"/>
        <v>21</v>
      </c>
      <c r="AE21" s="253"/>
      <c r="AF21" s="52">
        <f t="shared" si="6"/>
        <v>12.5</v>
      </c>
      <c r="AG21" s="253"/>
      <c r="AH21" s="52">
        <f t="shared" si="7"/>
        <v>8.4</v>
      </c>
      <c r="AI21" s="253"/>
      <c r="AJ21" s="52">
        <f t="shared" si="8"/>
        <v>4.2</v>
      </c>
      <c r="AM21" s="53"/>
      <c r="AN21" s="53"/>
      <c r="AO21" s="53"/>
      <c r="AP21" s="53"/>
    </row>
    <row r="22" spans="1:42" ht="20.100000000000001" customHeight="1" x14ac:dyDescent="0.25">
      <c r="A22" s="47"/>
      <c r="B22" s="47"/>
      <c r="C22" s="47"/>
      <c r="D22" s="47"/>
      <c r="E22" s="47"/>
      <c r="F22" s="47"/>
      <c r="G22" s="47"/>
      <c r="H22" s="47"/>
      <c r="I22" s="47"/>
      <c r="J22" s="47"/>
      <c r="K22" s="47"/>
      <c r="L22" s="47"/>
      <c r="M22" s="47"/>
      <c r="N22" s="47"/>
      <c r="O22" s="47"/>
      <c r="P22" s="47"/>
      <c r="Q22" s="47"/>
      <c r="R22" s="47"/>
      <c r="U22" s="49">
        <f t="shared" si="0"/>
        <v>11</v>
      </c>
      <c r="V22" s="50">
        <f t="shared" si="1"/>
        <v>0.20199999999999999</v>
      </c>
      <c r="W22" s="50">
        <f t="shared" si="2"/>
        <v>0.12029999999999999</v>
      </c>
      <c r="X22" s="50">
        <f t="shared" si="3"/>
        <v>8.0799999999999997E-2</v>
      </c>
      <c r="Y22" s="50">
        <f t="shared" si="4"/>
        <v>4.0399999999999998E-2</v>
      </c>
      <c r="AA22" s="253"/>
      <c r="AB22" s="51">
        <v>11</v>
      </c>
      <c r="AC22" s="253"/>
      <c r="AD22" s="52">
        <f t="shared" ref="AD22:AD31" si="9">21-((AB22-10)*(8/10))</f>
        <v>20.2</v>
      </c>
      <c r="AE22" s="253"/>
      <c r="AF22" s="52">
        <f t="shared" ref="AF22:AF31" si="10">12.5-(AB22-10)*4.7/10</f>
        <v>12.03</v>
      </c>
      <c r="AG22" s="253"/>
      <c r="AH22" s="52">
        <f t="shared" ref="AH22:AH31" si="11">8.4-(AB22-10)*3.2/10</f>
        <v>8.08</v>
      </c>
      <c r="AI22" s="253"/>
      <c r="AJ22" s="52">
        <f t="shared" ref="AJ22:AJ31" si="12">4.2-(AB22-10)*1.6/10</f>
        <v>4.04</v>
      </c>
      <c r="AM22" s="53"/>
      <c r="AN22" s="53"/>
      <c r="AO22" s="53"/>
      <c r="AP22" s="53"/>
    </row>
    <row r="23" spans="1:42" ht="20.100000000000001" customHeight="1" x14ac:dyDescent="0.25">
      <c r="A23" s="47"/>
      <c r="B23" s="47"/>
      <c r="C23" s="47"/>
      <c r="D23" s="47"/>
      <c r="E23" s="47"/>
      <c r="F23" s="47"/>
      <c r="G23" s="47"/>
      <c r="H23" s="47"/>
      <c r="I23" s="47"/>
      <c r="J23" s="47"/>
      <c r="K23" s="47"/>
      <c r="L23" s="47"/>
      <c r="M23" s="47"/>
      <c r="N23" s="47"/>
      <c r="O23" s="47"/>
      <c r="P23" s="47"/>
      <c r="Q23" s="47"/>
      <c r="R23" s="47"/>
      <c r="U23" s="49">
        <f t="shared" si="0"/>
        <v>12</v>
      </c>
      <c r="V23" s="50">
        <f t="shared" si="1"/>
        <v>0.19399999999999998</v>
      </c>
      <c r="W23" s="50">
        <f t="shared" si="2"/>
        <v>0.11560000000000001</v>
      </c>
      <c r="X23" s="50">
        <f t="shared" si="3"/>
        <v>7.7600000000000002E-2</v>
      </c>
      <c r="Y23" s="50">
        <f t="shared" si="4"/>
        <v>3.8800000000000001E-2</v>
      </c>
      <c r="AA23" s="253"/>
      <c r="AB23" s="51">
        <v>12</v>
      </c>
      <c r="AC23" s="253"/>
      <c r="AD23" s="52">
        <f t="shared" si="9"/>
        <v>19.399999999999999</v>
      </c>
      <c r="AE23" s="253"/>
      <c r="AF23" s="52">
        <f t="shared" si="10"/>
        <v>11.56</v>
      </c>
      <c r="AG23" s="253"/>
      <c r="AH23" s="52">
        <f t="shared" si="11"/>
        <v>7.7600000000000007</v>
      </c>
      <c r="AI23" s="253"/>
      <c r="AJ23" s="52">
        <f t="shared" si="12"/>
        <v>3.8800000000000003</v>
      </c>
      <c r="AM23" s="53"/>
      <c r="AN23" s="53"/>
      <c r="AO23" s="53"/>
      <c r="AP23" s="53"/>
    </row>
    <row r="24" spans="1:42" ht="20.100000000000001" customHeight="1" x14ac:dyDescent="0.25">
      <c r="A24" s="47"/>
      <c r="B24" s="47"/>
      <c r="C24" s="47"/>
      <c r="D24" s="47"/>
      <c r="E24" s="47"/>
      <c r="F24" s="47"/>
      <c r="G24" s="47"/>
      <c r="H24" s="47"/>
      <c r="I24" s="47"/>
      <c r="J24" s="47"/>
      <c r="K24" s="47"/>
      <c r="L24" s="47"/>
      <c r="M24" s="47"/>
      <c r="N24" s="47"/>
      <c r="O24" s="47"/>
      <c r="P24" s="47"/>
      <c r="Q24" s="47"/>
      <c r="R24" s="47"/>
      <c r="U24" s="49">
        <f t="shared" si="0"/>
        <v>13</v>
      </c>
      <c r="V24" s="50">
        <f t="shared" si="1"/>
        <v>0.18600000000000003</v>
      </c>
      <c r="W24" s="50">
        <f t="shared" si="2"/>
        <v>0.1109</v>
      </c>
      <c r="X24" s="50">
        <f t="shared" si="3"/>
        <v>7.4400000000000008E-2</v>
      </c>
      <c r="Y24" s="50">
        <f t="shared" si="4"/>
        <v>3.7200000000000004E-2</v>
      </c>
      <c r="AA24" s="253"/>
      <c r="AB24" s="51">
        <v>13</v>
      </c>
      <c r="AC24" s="253"/>
      <c r="AD24" s="52">
        <f t="shared" si="9"/>
        <v>18.600000000000001</v>
      </c>
      <c r="AE24" s="253"/>
      <c r="AF24" s="52">
        <f t="shared" si="10"/>
        <v>11.09</v>
      </c>
      <c r="AG24" s="253"/>
      <c r="AH24" s="52">
        <f t="shared" si="11"/>
        <v>7.44</v>
      </c>
      <c r="AI24" s="253"/>
      <c r="AJ24" s="52">
        <f t="shared" si="12"/>
        <v>3.72</v>
      </c>
      <c r="AM24" s="53"/>
      <c r="AN24" s="53"/>
      <c r="AO24" s="53"/>
      <c r="AP24" s="53"/>
    </row>
    <row r="25" spans="1:42" ht="20.100000000000001" customHeight="1" x14ac:dyDescent="0.25">
      <c r="A25" s="47"/>
      <c r="B25" s="47"/>
      <c r="C25" s="47"/>
      <c r="D25" s="47"/>
      <c r="E25" s="47"/>
      <c r="F25" s="47"/>
      <c r="G25" s="47"/>
      <c r="H25" s="47"/>
      <c r="I25" s="47"/>
      <c r="J25" s="47"/>
      <c r="K25" s="47"/>
      <c r="L25" s="47"/>
      <c r="M25" s="47"/>
      <c r="N25" s="47"/>
      <c r="O25" s="47"/>
      <c r="P25" s="47"/>
      <c r="Q25" s="47"/>
      <c r="R25" s="47"/>
      <c r="U25" s="49">
        <f t="shared" si="0"/>
        <v>14</v>
      </c>
      <c r="V25" s="50">
        <f t="shared" si="1"/>
        <v>0.17800000000000002</v>
      </c>
      <c r="W25" s="50">
        <f t="shared" si="2"/>
        <v>0.10619999999999999</v>
      </c>
      <c r="X25" s="50">
        <f t="shared" si="3"/>
        <v>7.1199999999999999E-2</v>
      </c>
      <c r="Y25" s="50">
        <f t="shared" si="4"/>
        <v>3.56E-2</v>
      </c>
      <c r="AA25" s="253"/>
      <c r="AB25" s="51">
        <v>14</v>
      </c>
      <c r="AC25" s="253"/>
      <c r="AD25" s="52">
        <f t="shared" si="9"/>
        <v>17.8</v>
      </c>
      <c r="AE25" s="253"/>
      <c r="AF25" s="52">
        <f t="shared" si="10"/>
        <v>10.62</v>
      </c>
      <c r="AG25" s="253"/>
      <c r="AH25" s="52">
        <f t="shared" si="11"/>
        <v>7.12</v>
      </c>
      <c r="AI25" s="253"/>
      <c r="AJ25" s="52">
        <f t="shared" si="12"/>
        <v>3.56</v>
      </c>
      <c r="AM25" s="53"/>
      <c r="AN25" s="53"/>
      <c r="AO25" s="53"/>
      <c r="AP25" s="53"/>
    </row>
    <row r="26" spans="1:42" ht="20.100000000000001" customHeight="1" x14ac:dyDescent="0.25">
      <c r="A26" s="47"/>
      <c r="B26" s="47"/>
      <c r="C26" s="47"/>
      <c r="D26" s="47"/>
      <c r="E26" s="47"/>
      <c r="F26" s="47"/>
      <c r="G26" s="47"/>
      <c r="H26" s="47"/>
      <c r="I26" s="47"/>
      <c r="J26" s="47"/>
      <c r="K26" s="47"/>
      <c r="L26" s="47"/>
      <c r="M26" s="47"/>
      <c r="N26" s="47"/>
      <c r="O26" s="47"/>
      <c r="P26" s="47"/>
      <c r="Q26" s="47"/>
      <c r="R26" s="47"/>
      <c r="U26" s="49">
        <f t="shared" si="0"/>
        <v>15</v>
      </c>
      <c r="V26" s="50">
        <f t="shared" si="1"/>
        <v>0.17</v>
      </c>
      <c r="W26" s="50">
        <f t="shared" si="2"/>
        <v>0.10150000000000001</v>
      </c>
      <c r="X26" s="50">
        <f t="shared" si="3"/>
        <v>6.8000000000000005E-2</v>
      </c>
      <c r="Y26" s="50">
        <f t="shared" si="4"/>
        <v>3.4000000000000002E-2</v>
      </c>
      <c r="AA26" s="253"/>
      <c r="AB26" s="51">
        <v>15</v>
      </c>
      <c r="AC26" s="253"/>
      <c r="AD26" s="52">
        <f t="shared" si="9"/>
        <v>17</v>
      </c>
      <c r="AE26" s="253"/>
      <c r="AF26" s="52">
        <f t="shared" si="10"/>
        <v>10.15</v>
      </c>
      <c r="AG26" s="253"/>
      <c r="AH26" s="52">
        <f t="shared" si="11"/>
        <v>6.8000000000000007</v>
      </c>
      <c r="AI26" s="253"/>
      <c r="AJ26" s="52">
        <f t="shared" si="12"/>
        <v>3.4000000000000004</v>
      </c>
      <c r="AM26" s="53"/>
      <c r="AN26" s="53"/>
      <c r="AO26" s="53"/>
      <c r="AP26" s="53"/>
    </row>
    <row r="27" spans="1:42" ht="20.100000000000001" customHeight="1" x14ac:dyDescent="0.25">
      <c r="A27" s="47"/>
      <c r="B27" s="47"/>
      <c r="C27" s="47"/>
      <c r="D27" s="47"/>
      <c r="E27" s="47"/>
      <c r="F27" s="47"/>
      <c r="G27" s="47"/>
      <c r="H27" s="47"/>
      <c r="I27" s="47"/>
      <c r="J27" s="47"/>
      <c r="K27" s="47"/>
      <c r="L27" s="47"/>
      <c r="M27" s="47"/>
      <c r="N27" s="47"/>
      <c r="O27" s="47"/>
      <c r="P27" s="47"/>
      <c r="Q27" s="47"/>
      <c r="R27" s="47"/>
      <c r="U27" s="49">
        <f t="shared" si="0"/>
        <v>16</v>
      </c>
      <c r="V27" s="50">
        <f t="shared" si="1"/>
        <v>0.16200000000000001</v>
      </c>
      <c r="W27" s="50">
        <f t="shared" si="2"/>
        <v>9.6799999999999997E-2</v>
      </c>
      <c r="X27" s="50">
        <f t="shared" si="3"/>
        <v>6.480000000000001E-2</v>
      </c>
      <c r="Y27" s="50">
        <f t="shared" si="4"/>
        <v>3.2400000000000005E-2</v>
      </c>
      <c r="AA27" s="253"/>
      <c r="AB27" s="51">
        <v>16</v>
      </c>
      <c r="AC27" s="253"/>
      <c r="AD27" s="52">
        <f t="shared" si="9"/>
        <v>16.2</v>
      </c>
      <c r="AE27" s="253"/>
      <c r="AF27" s="52">
        <f t="shared" si="10"/>
        <v>9.68</v>
      </c>
      <c r="AG27" s="253"/>
      <c r="AH27" s="52">
        <f t="shared" si="11"/>
        <v>6.48</v>
      </c>
      <c r="AI27" s="253"/>
      <c r="AJ27" s="52">
        <f t="shared" si="12"/>
        <v>3.24</v>
      </c>
      <c r="AM27" s="53"/>
      <c r="AN27" s="53"/>
      <c r="AO27" s="53"/>
      <c r="AP27" s="53"/>
    </row>
    <row r="28" spans="1:42" ht="20.100000000000001" customHeight="1" x14ac:dyDescent="0.25">
      <c r="U28" s="49">
        <f t="shared" si="0"/>
        <v>17</v>
      </c>
      <c r="V28" s="50">
        <f t="shared" si="1"/>
        <v>0.154</v>
      </c>
      <c r="W28" s="50">
        <f t="shared" si="2"/>
        <v>9.2100000000000015E-2</v>
      </c>
      <c r="X28" s="50">
        <f t="shared" si="3"/>
        <v>6.1600000000000002E-2</v>
      </c>
      <c r="Y28" s="50">
        <f t="shared" si="4"/>
        <v>3.0800000000000001E-2</v>
      </c>
      <c r="AA28" s="253"/>
      <c r="AB28" s="51">
        <v>17</v>
      </c>
      <c r="AC28" s="253"/>
      <c r="AD28" s="52">
        <f t="shared" si="9"/>
        <v>15.399999999999999</v>
      </c>
      <c r="AE28" s="253"/>
      <c r="AF28" s="52">
        <f t="shared" si="10"/>
        <v>9.2100000000000009</v>
      </c>
      <c r="AG28" s="253"/>
      <c r="AH28" s="52">
        <f t="shared" si="11"/>
        <v>6.16</v>
      </c>
      <c r="AI28" s="253"/>
      <c r="AJ28" s="52">
        <f t="shared" si="12"/>
        <v>3.08</v>
      </c>
      <c r="AM28" s="53"/>
      <c r="AN28" s="53"/>
      <c r="AO28" s="53"/>
      <c r="AP28" s="53"/>
    </row>
    <row r="29" spans="1:42" ht="20.100000000000001" customHeight="1" x14ac:dyDescent="0.2">
      <c r="A29" s="45"/>
      <c r="B29" s="45"/>
      <c r="C29" s="45"/>
      <c r="D29" s="45"/>
      <c r="E29" s="45"/>
      <c r="F29" s="45"/>
      <c r="G29" s="45"/>
      <c r="H29" s="45"/>
      <c r="I29" s="45"/>
      <c r="J29" s="45"/>
      <c r="K29" s="45"/>
      <c r="L29" s="45"/>
      <c r="M29" s="45"/>
      <c r="N29" s="45"/>
      <c r="O29" s="45"/>
      <c r="P29" s="45"/>
      <c r="Q29" s="45"/>
      <c r="R29" s="45"/>
      <c r="U29" s="49">
        <f t="shared" si="0"/>
        <v>18</v>
      </c>
      <c r="V29" s="50">
        <f t="shared" si="1"/>
        <v>0.14599999999999999</v>
      </c>
      <c r="W29" s="50">
        <f t="shared" si="2"/>
        <v>8.7400000000000005E-2</v>
      </c>
      <c r="X29" s="50">
        <f t="shared" si="3"/>
        <v>5.8400000000000001E-2</v>
      </c>
      <c r="Y29" s="50">
        <f t="shared" si="4"/>
        <v>2.92E-2</v>
      </c>
      <c r="AA29" s="253"/>
      <c r="AB29" s="51">
        <v>18</v>
      </c>
      <c r="AC29" s="253"/>
      <c r="AD29" s="52">
        <f t="shared" si="9"/>
        <v>14.6</v>
      </c>
      <c r="AE29" s="253"/>
      <c r="AF29" s="52">
        <f t="shared" si="10"/>
        <v>8.74</v>
      </c>
      <c r="AG29" s="253"/>
      <c r="AH29" s="52">
        <f t="shared" si="11"/>
        <v>5.84</v>
      </c>
      <c r="AI29" s="253"/>
      <c r="AJ29" s="52">
        <f t="shared" si="12"/>
        <v>2.92</v>
      </c>
      <c r="AM29" s="53"/>
      <c r="AN29" s="53"/>
      <c r="AO29" s="53"/>
      <c r="AP29" s="53"/>
    </row>
    <row r="30" spans="1:42" ht="20.100000000000001" customHeight="1" x14ac:dyDescent="0.25">
      <c r="A30" s="47"/>
      <c r="B30" s="47"/>
      <c r="C30" s="47"/>
      <c r="D30" s="47"/>
      <c r="E30" s="47"/>
      <c r="F30" s="47"/>
      <c r="G30" s="47"/>
      <c r="H30" s="47"/>
      <c r="I30" s="47"/>
      <c r="J30" s="47"/>
      <c r="K30" s="47"/>
      <c r="L30" s="47"/>
      <c r="M30" s="47"/>
      <c r="N30" s="47"/>
      <c r="O30" s="47"/>
      <c r="P30" s="47"/>
      <c r="Q30" s="47"/>
      <c r="R30" s="47"/>
      <c r="U30" s="49">
        <f t="shared" si="0"/>
        <v>19</v>
      </c>
      <c r="V30" s="50">
        <f t="shared" si="1"/>
        <v>0.13800000000000001</v>
      </c>
      <c r="W30" s="50">
        <f t="shared" si="2"/>
        <v>8.2699999999999996E-2</v>
      </c>
      <c r="X30" s="50">
        <f t="shared" si="3"/>
        <v>5.5200000000000006E-2</v>
      </c>
      <c r="Y30" s="50">
        <f t="shared" si="4"/>
        <v>2.7600000000000003E-2</v>
      </c>
      <c r="AA30" s="253"/>
      <c r="AB30" s="51">
        <v>19</v>
      </c>
      <c r="AC30" s="253"/>
      <c r="AD30" s="52">
        <f t="shared" si="9"/>
        <v>13.8</v>
      </c>
      <c r="AE30" s="253"/>
      <c r="AF30" s="52">
        <f t="shared" si="10"/>
        <v>8.27</v>
      </c>
      <c r="AG30" s="253"/>
      <c r="AH30" s="52">
        <f t="shared" si="11"/>
        <v>5.5200000000000005</v>
      </c>
      <c r="AI30" s="253"/>
      <c r="AJ30" s="52">
        <f t="shared" si="12"/>
        <v>2.7600000000000002</v>
      </c>
      <c r="AM30" s="53"/>
      <c r="AN30" s="53"/>
      <c r="AO30" s="53"/>
      <c r="AP30" s="53"/>
    </row>
    <row r="31" spans="1:42" ht="20.100000000000001" customHeight="1" x14ac:dyDescent="0.25">
      <c r="A31" s="47"/>
      <c r="B31" s="47"/>
      <c r="C31" s="47"/>
      <c r="D31" s="47"/>
      <c r="E31" s="47"/>
      <c r="F31" s="47"/>
      <c r="G31" s="47"/>
      <c r="H31" s="47"/>
      <c r="I31" s="47"/>
      <c r="J31" s="47"/>
      <c r="K31" s="47"/>
      <c r="L31" s="47"/>
      <c r="M31" s="47"/>
      <c r="N31" s="47"/>
      <c r="O31" s="47"/>
      <c r="P31" s="47"/>
      <c r="Q31" s="47"/>
      <c r="R31" s="47"/>
      <c r="U31" s="49">
        <f t="shared" si="0"/>
        <v>20</v>
      </c>
      <c r="V31" s="50">
        <f t="shared" si="1"/>
        <v>0.13</v>
      </c>
      <c r="W31" s="50">
        <f t="shared" si="2"/>
        <v>7.8E-2</v>
      </c>
      <c r="X31" s="50">
        <f t="shared" si="3"/>
        <v>5.2000000000000005E-2</v>
      </c>
      <c r="Y31" s="50">
        <f t="shared" si="4"/>
        <v>2.6000000000000002E-2</v>
      </c>
      <c r="AA31" s="253"/>
      <c r="AB31" s="51">
        <v>20</v>
      </c>
      <c r="AC31" s="253"/>
      <c r="AD31" s="52">
        <f t="shared" si="9"/>
        <v>13</v>
      </c>
      <c r="AE31" s="253"/>
      <c r="AF31" s="52">
        <f t="shared" si="10"/>
        <v>7.8</v>
      </c>
      <c r="AG31" s="253"/>
      <c r="AH31" s="52">
        <f t="shared" si="11"/>
        <v>5.2</v>
      </c>
      <c r="AI31" s="253"/>
      <c r="AJ31" s="52">
        <f t="shared" si="12"/>
        <v>2.6</v>
      </c>
      <c r="AM31" s="53"/>
      <c r="AN31" s="53"/>
      <c r="AO31" s="53"/>
      <c r="AP31" s="53"/>
    </row>
    <row r="32" spans="1:42" ht="20.100000000000001" customHeight="1" x14ac:dyDescent="0.25">
      <c r="A32" s="47"/>
      <c r="B32" s="47"/>
      <c r="C32" s="47"/>
      <c r="D32" s="47"/>
      <c r="E32" s="47"/>
      <c r="F32" s="47"/>
      <c r="G32" s="47"/>
      <c r="H32" s="47"/>
      <c r="I32" s="47"/>
      <c r="J32" s="47"/>
      <c r="K32" s="47"/>
      <c r="L32" s="47"/>
      <c r="M32" s="47"/>
      <c r="N32" s="47"/>
      <c r="O32" s="47"/>
      <c r="P32" s="47"/>
      <c r="Q32" s="47"/>
      <c r="R32" s="47"/>
      <c r="U32" s="49">
        <f t="shared" si="0"/>
        <v>21</v>
      </c>
      <c r="V32" s="50">
        <f t="shared" si="1"/>
        <v>0.11699999999999999</v>
      </c>
      <c r="W32" s="50">
        <f t="shared" si="2"/>
        <v>7.0199999999999999E-2</v>
      </c>
      <c r="X32" s="50">
        <f t="shared" si="3"/>
        <v>4.6799999999999994E-2</v>
      </c>
      <c r="Y32" s="50">
        <f t="shared" si="4"/>
        <v>2.3399999999999997E-2</v>
      </c>
      <c r="AA32" s="253"/>
      <c r="AB32" s="51">
        <v>21</v>
      </c>
      <c r="AC32" s="253"/>
      <c r="AD32" s="52">
        <f>13-((AB32-20)*(13/10))</f>
        <v>11.7</v>
      </c>
      <c r="AE32" s="253">
        <f>13-((AC32-20)*(13/10))</f>
        <v>39</v>
      </c>
      <c r="AF32" s="52">
        <f t="shared" ref="AF32:AF41" si="13">7.8-(AB32-20)*7.8/10</f>
        <v>7.02</v>
      </c>
      <c r="AG32" s="253">
        <f>13-((AE32-20)*(13/10))</f>
        <v>-11.7</v>
      </c>
      <c r="AH32" s="52">
        <f t="shared" ref="AH32:AH41" si="14">5.2-(AB32-20)*5.2/10</f>
        <v>4.68</v>
      </c>
      <c r="AI32" s="253">
        <f>13-((AG32-20)*(13/10))</f>
        <v>54.21</v>
      </c>
      <c r="AJ32" s="52">
        <f t="shared" ref="AJ32:AJ41" si="15">2.6-(AB32-20)*2.6/10</f>
        <v>2.34</v>
      </c>
      <c r="AM32" s="53"/>
      <c r="AN32" s="53"/>
      <c r="AO32" s="53"/>
      <c r="AP32" s="53"/>
    </row>
    <row r="33" spans="1:42" ht="20.100000000000001" customHeight="1" x14ac:dyDescent="0.25">
      <c r="A33" s="47"/>
      <c r="B33" s="47"/>
      <c r="C33" s="47"/>
      <c r="D33" s="47"/>
      <c r="E33" s="47"/>
      <c r="F33" s="47"/>
      <c r="G33" s="47"/>
      <c r="H33" s="47"/>
      <c r="I33" s="47"/>
      <c r="J33" s="47"/>
      <c r="K33" s="47"/>
      <c r="L33" s="47"/>
      <c r="M33" s="47"/>
      <c r="N33" s="47"/>
      <c r="O33" s="47"/>
      <c r="P33" s="47"/>
      <c r="Q33" s="47"/>
      <c r="R33" s="47"/>
      <c r="U33" s="49">
        <f t="shared" si="0"/>
        <v>22</v>
      </c>
      <c r="V33" s="50">
        <f t="shared" si="1"/>
        <v>0.10400000000000001</v>
      </c>
      <c r="W33" s="50">
        <f t="shared" si="2"/>
        <v>6.2400000000000004E-2</v>
      </c>
      <c r="X33" s="50">
        <f t="shared" si="3"/>
        <v>4.1599999999999998E-2</v>
      </c>
      <c r="Y33" s="50">
        <f t="shared" si="4"/>
        <v>2.0799999999999999E-2</v>
      </c>
      <c r="AA33" s="253"/>
      <c r="AB33" s="51">
        <v>22</v>
      </c>
      <c r="AC33" s="253"/>
      <c r="AD33" s="52">
        <f t="shared" ref="AD33:AD41" si="16">13-((AB33-20)*(13/10))</f>
        <v>10.4</v>
      </c>
      <c r="AE33" s="253"/>
      <c r="AF33" s="52">
        <f t="shared" si="13"/>
        <v>6.24</v>
      </c>
      <c r="AG33" s="253"/>
      <c r="AH33" s="52">
        <f t="shared" si="14"/>
        <v>4.16</v>
      </c>
      <c r="AI33" s="253"/>
      <c r="AJ33" s="52">
        <f t="shared" si="15"/>
        <v>2.08</v>
      </c>
      <c r="AM33" s="53"/>
      <c r="AN33" s="53"/>
      <c r="AO33" s="53"/>
      <c r="AP33" s="53"/>
    </row>
    <row r="34" spans="1:42" ht="20.100000000000001" customHeight="1" x14ac:dyDescent="0.25">
      <c r="A34" s="47"/>
      <c r="B34" s="47"/>
      <c r="C34" s="47"/>
      <c r="D34" s="47"/>
      <c r="E34" s="47"/>
      <c r="F34" s="47"/>
      <c r="G34" s="47"/>
      <c r="H34" s="47"/>
      <c r="I34" s="47"/>
      <c r="J34" s="47"/>
      <c r="K34" s="47"/>
      <c r="L34" s="47"/>
      <c r="M34" s="47"/>
      <c r="N34" s="47"/>
      <c r="O34" s="47"/>
      <c r="P34" s="47"/>
      <c r="Q34" s="47"/>
      <c r="R34" s="47"/>
      <c r="U34" s="49">
        <f t="shared" si="0"/>
        <v>23</v>
      </c>
      <c r="V34" s="50">
        <f t="shared" si="1"/>
        <v>9.0999999999999998E-2</v>
      </c>
      <c r="W34" s="50">
        <f t="shared" si="2"/>
        <v>5.4600000000000003E-2</v>
      </c>
      <c r="X34" s="50">
        <f t="shared" si="3"/>
        <v>3.6400000000000002E-2</v>
      </c>
      <c r="Y34" s="50">
        <f t="shared" si="4"/>
        <v>1.8200000000000001E-2</v>
      </c>
      <c r="AA34" s="253"/>
      <c r="AB34" s="51">
        <v>23</v>
      </c>
      <c r="AC34" s="253"/>
      <c r="AD34" s="52">
        <f t="shared" si="16"/>
        <v>9.1</v>
      </c>
      <c r="AE34" s="253"/>
      <c r="AF34" s="52">
        <f t="shared" si="13"/>
        <v>5.46</v>
      </c>
      <c r="AG34" s="253"/>
      <c r="AH34" s="52">
        <f t="shared" si="14"/>
        <v>3.64</v>
      </c>
      <c r="AI34" s="253"/>
      <c r="AJ34" s="52">
        <f t="shared" si="15"/>
        <v>1.82</v>
      </c>
      <c r="AM34" s="53"/>
      <c r="AN34" s="53"/>
      <c r="AO34" s="53"/>
      <c r="AP34" s="53"/>
    </row>
    <row r="35" spans="1:42" ht="20.100000000000001" customHeight="1" x14ac:dyDescent="0.25">
      <c r="A35" s="47"/>
      <c r="B35" s="47"/>
      <c r="C35" s="47"/>
      <c r="D35" s="47"/>
      <c r="E35" s="47"/>
      <c r="F35" s="47"/>
      <c r="G35" s="47"/>
      <c r="H35" s="47"/>
      <c r="I35" s="47"/>
      <c r="J35" s="47"/>
      <c r="K35" s="47"/>
      <c r="L35" s="47"/>
      <c r="M35" s="47"/>
      <c r="N35" s="47"/>
      <c r="O35" s="47"/>
      <c r="P35" s="47"/>
      <c r="Q35" s="47"/>
      <c r="R35" s="47"/>
      <c r="U35" s="49">
        <f t="shared" si="0"/>
        <v>24</v>
      </c>
      <c r="V35" s="50">
        <f t="shared" si="1"/>
        <v>7.8E-2</v>
      </c>
      <c r="W35" s="50">
        <f t="shared" si="2"/>
        <v>4.6799999999999994E-2</v>
      </c>
      <c r="X35" s="50">
        <f t="shared" si="3"/>
        <v>3.1200000000000002E-2</v>
      </c>
      <c r="Y35" s="50">
        <f t="shared" si="4"/>
        <v>1.5600000000000001E-2</v>
      </c>
      <c r="AA35" s="253"/>
      <c r="AB35" s="51">
        <v>24</v>
      </c>
      <c r="AC35" s="253"/>
      <c r="AD35" s="52">
        <f t="shared" si="16"/>
        <v>7.8</v>
      </c>
      <c r="AE35" s="253"/>
      <c r="AF35" s="52">
        <f t="shared" si="13"/>
        <v>4.68</v>
      </c>
      <c r="AG35" s="253"/>
      <c r="AH35" s="52">
        <f t="shared" si="14"/>
        <v>3.12</v>
      </c>
      <c r="AI35" s="253"/>
      <c r="AJ35" s="52">
        <f t="shared" si="15"/>
        <v>1.56</v>
      </c>
      <c r="AM35" s="53"/>
      <c r="AN35" s="53"/>
      <c r="AO35" s="53"/>
      <c r="AP35" s="53"/>
    </row>
    <row r="36" spans="1:42" ht="20.100000000000001" customHeight="1" x14ac:dyDescent="0.25">
      <c r="A36" s="47"/>
      <c r="B36" s="47"/>
      <c r="C36" s="47"/>
      <c r="D36" s="47"/>
      <c r="E36" s="47"/>
      <c r="F36" s="47"/>
      <c r="G36" s="47"/>
      <c r="H36" s="47"/>
      <c r="I36" s="47"/>
      <c r="J36" s="47"/>
      <c r="K36" s="47"/>
      <c r="L36" s="47"/>
      <c r="M36" s="47"/>
      <c r="N36" s="47"/>
      <c r="O36" s="47"/>
      <c r="P36" s="47"/>
      <c r="Q36" s="47"/>
      <c r="R36" s="47"/>
      <c r="U36" s="49">
        <f t="shared" si="0"/>
        <v>25</v>
      </c>
      <c r="V36" s="50">
        <f t="shared" si="1"/>
        <v>6.5000000000000002E-2</v>
      </c>
      <c r="W36" s="50">
        <f t="shared" si="2"/>
        <v>3.9E-2</v>
      </c>
      <c r="X36" s="50">
        <f t="shared" si="3"/>
        <v>2.6000000000000002E-2</v>
      </c>
      <c r="Y36" s="50">
        <f t="shared" si="4"/>
        <v>1.3000000000000001E-2</v>
      </c>
      <c r="AA36" s="253"/>
      <c r="AB36" s="51">
        <v>25</v>
      </c>
      <c r="AC36" s="253"/>
      <c r="AD36" s="52">
        <f t="shared" si="16"/>
        <v>6.5</v>
      </c>
      <c r="AE36" s="253"/>
      <c r="AF36" s="52">
        <f t="shared" si="13"/>
        <v>3.9</v>
      </c>
      <c r="AG36" s="253"/>
      <c r="AH36" s="52">
        <f t="shared" si="14"/>
        <v>2.6</v>
      </c>
      <c r="AI36" s="253"/>
      <c r="AJ36" s="52">
        <f t="shared" si="15"/>
        <v>1.3</v>
      </c>
      <c r="AM36" s="53"/>
      <c r="AN36" s="53"/>
      <c r="AO36" s="53"/>
      <c r="AP36" s="53"/>
    </row>
    <row r="37" spans="1:42" ht="20.100000000000001" customHeight="1" x14ac:dyDescent="0.25">
      <c r="A37" s="47"/>
      <c r="B37" s="47"/>
      <c r="C37" s="47"/>
      <c r="D37" s="47"/>
      <c r="E37" s="47"/>
      <c r="F37" s="47"/>
      <c r="G37" s="47"/>
      <c r="H37" s="47"/>
      <c r="I37" s="47"/>
      <c r="J37" s="47"/>
      <c r="K37" s="47"/>
      <c r="L37" s="47"/>
      <c r="M37" s="47"/>
      <c r="N37" s="47"/>
      <c r="O37" s="47"/>
      <c r="P37" s="47"/>
      <c r="Q37" s="47"/>
      <c r="R37" s="47"/>
      <c r="U37" s="49">
        <f t="shared" si="0"/>
        <v>26</v>
      </c>
      <c r="V37" s="50">
        <f t="shared" si="1"/>
        <v>5.1999999999999991E-2</v>
      </c>
      <c r="W37" s="50">
        <f t="shared" si="2"/>
        <v>3.1200000000000002E-2</v>
      </c>
      <c r="X37" s="50">
        <f t="shared" si="3"/>
        <v>2.0799999999999999E-2</v>
      </c>
      <c r="Y37" s="50">
        <f t="shared" si="4"/>
        <v>1.04E-2</v>
      </c>
      <c r="AA37" s="253"/>
      <c r="AB37" s="51">
        <v>26</v>
      </c>
      <c r="AC37" s="253"/>
      <c r="AD37" s="52">
        <f t="shared" si="16"/>
        <v>5.1999999999999993</v>
      </c>
      <c r="AE37" s="253"/>
      <c r="AF37" s="52">
        <f t="shared" si="13"/>
        <v>3.12</v>
      </c>
      <c r="AG37" s="253"/>
      <c r="AH37" s="52">
        <f t="shared" si="14"/>
        <v>2.08</v>
      </c>
      <c r="AI37" s="253"/>
      <c r="AJ37" s="52">
        <f t="shared" si="15"/>
        <v>1.04</v>
      </c>
      <c r="AM37" s="53"/>
      <c r="AN37" s="53"/>
      <c r="AO37" s="53"/>
      <c r="AP37" s="53"/>
    </row>
    <row r="38" spans="1:42" ht="20.100000000000001" customHeight="1" x14ac:dyDescent="0.25">
      <c r="A38" s="47"/>
      <c r="B38" s="47"/>
      <c r="C38" s="47"/>
      <c r="D38" s="47"/>
      <c r="E38" s="47"/>
      <c r="F38" s="47"/>
      <c r="G38" s="47"/>
      <c r="H38" s="47"/>
      <c r="I38" s="47"/>
      <c r="J38" s="47"/>
      <c r="K38" s="47"/>
      <c r="L38" s="47"/>
      <c r="M38" s="47"/>
      <c r="N38" s="47"/>
      <c r="O38" s="47"/>
      <c r="P38" s="47"/>
      <c r="Q38" s="47"/>
      <c r="R38" s="47"/>
      <c r="U38" s="49">
        <f t="shared" si="0"/>
        <v>27</v>
      </c>
      <c r="V38" s="50">
        <f t="shared" si="1"/>
        <v>3.9000000000000007E-2</v>
      </c>
      <c r="W38" s="50">
        <f t="shared" si="2"/>
        <v>2.3399999999999997E-2</v>
      </c>
      <c r="X38" s="50">
        <f t="shared" si="3"/>
        <v>1.5600000000000004E-2</v>
      </c>
      <c r="Y38" s="50">
        <f t="shared" si="4"/>
        <v>7.8000000000000022E-3</v>
      </c>
      <c r="AA38" s="253"/>
      <c r="AB38" s="51">
        <v>27</v>
      </c>
      <c r="AC38" s="253"/>
      <c r="AD38" s="52">
        <f t="shared" si="16"/>
        <v>3.9000000000000004</v>
      </c>
      <c r="AE38" s="253"/>
      <c r="AF38" s="52">
        <f t="shared" si="13"/>
        <v>2.34</v>
      </c>
      <c r="AG38" s="253"/>
      <c r="AH38" s="52">
        <f t="shared" si="14"/>
        <v>1.5600000000000005</v>
      </c>
      <c r="AI38" s="253"/>
      <c r="AJ38" s="52">
        <f t="shared" si="15"/>
        <v>0.78000000000000025</v>
      </c>
      <c r="AM38" s="53"/>
      <c r="AN38" s="53"/>
      <c r="AO38" s="53"/>
      <c r="AP38" s="53"/>
    </row>
    <row r="39" spans="1:42" ht="20.100000000000001" customHeight="1" x14ac:dyDescent="0.25">
      <c r="A39" s="47"/>
      <c r="B39" s="47"/>
      <c r="C39" s="47"/>
      <c r="D39" s="47"/>
      <c r="E39" s="47"/>
      <c r="F39" s="47"/>
      <c r="G39" s="47"/>
      <c r="H39" s="47"/>
      <c r="I39" s="47"/>
      <c r="J39" s="47"/>
      <c r="K39" s="47"/>
      <c r="L39" s="47"/>
      <c r="M39" s="47"/>
      <c r="N39" s="47"/>
      <c r="O39" s="47"/>
      <c r="P39" s="47"/>
      <c r="Q39" s="47"/>
      <c r="R39" s="47"/>
      <c r="U39" s="49">
        <f t="shared" si="0"/>
        <v>28</v>
      </c>
      <c r="V39" s="50">
        <f t="shared" si="1"/>
        <v>2.5999999999999995E-2</v>
      </c>
      <c r="W39" s="50">
        <f t="shared" si="2"/>
        <v>1.5599999999999996E-2</v>
      </c>
      <c r="X39" s="50">
        <f t="shared" si="3"/>
        <v>1.04E-2</v>
      </c>
      <c r="Y39" s="50">
        <f t="shared" si="4"/>
        <v>5.1999999999999998E-3</v>
      </c>
      <c r="AA39" s="253"/>
      <c r="AB39" s="51">
        <v>28</v>
      </c>
      <c r="AC39" s="253"/>
      <c r="AD39" s="52">
        <f t="shared" si="16"/>
        <v>2.5999999999999996</v>
      </c>
      <c r="AE39" s="253"/>
      <c r="AF39" s="52">
        <f t="shared" si="13"/>
        <v>1.5599999999999996</v>
      </c>
      <c r="AG39" s="253"/>
      <c r="AH39" s="52">
        <f t="shared" si="14"/>
        <v>1.04</v>
      </c>
      <c r="AI39" s="253"/>
      <c r="AJ39" s="52">
        <f t="shared" si="15"/>
        <v>0.52</v>
      </c>
      <c r="AM39" s="53"/>
      <c r="AN39" s="53"/>
      <c r="AO39" s="53"/>
      <c r="AP39" s="53"/>
    </row>
    <row r="40" spans="1:42" ht="20.100000000000001" customHeight="1" x14ac:dyDescent="0.25">
      <c r="A40" s="47"/>
      <c r="B40" s="47"/>
      <c r="C40" s="47"/>
      <c r="D40" s="47"/>
      <c r="E40" s="47"/>
      <c r="F40" s="47"/>
      <c r="G40" s="47"/>
      <c r="H40" s="47"/>
      <c r="I40" s="47"/>
      <c r="J40" s="47"/>
      <c r="K40" s="47"/>
      <c r="L40" s="47"/>
      <c r="M40" s="47"/>
      <c r="N40" s="47"/>
      <c r="O40" s="47"/>
      <c r="P40" s="47"/>
      <c r="Q40" s="47"/>
      <c r="R40" s="47"/>
      <c r="U40" s="49">
        <f t="shared" si="0"/>
        <v>29</v>
      </c>
      <c r="V40" s="50">
        <f t="shared" si="1"/>
        <v>1.2999999999999989E-2</v>
      </c>
      <c r="W40" s="50">
        <f t="shared" si="2"/>
        <v>7.7999999999999936E-3</v>
      </c>
      <c r="X40" s="50">
        <f t="shared" si="3"/>
        <v>5.1999999999999954E-3</v>
      </c>
      <c r="Y40" s="50">
        <f t="shared" si="4"/>
        <v>2.5999999999999977E-3</v>
      </c>
      <c r="AA40" s="253"/>
      <c r="AB40" s="51">
        <v>29</v>
      </c>
      <c r="AC40" s="253"/>
      <c r="AD40" s="52">
        <f t="shared" si="16"/>
        <v>1.2999999999999989</v>
      </c>
      <c r="AE40" s="253"/>
      <c r="AF40" s="52">
        <f t="shared" si="13"/>
        <v>0.77999999999999936</v>
      </c>
      <c r="AG40" s="253"/>
      <c r="AH40" s="52">
        <f t="shared" si="14"/>
        <v>0.51999999999999957</v>
      </c>
      <c r="AI40" s="253"/>
      <c r="AJ40" s="52">
        <f t="shared" si="15"/>
        <v>0.25999999999999979</v>
      </c>
      <c r="AM40" s="53"/>
      <c r="AN40" s="53"/>
      <c r="AO40" s="53"/>
      <c r="AP40" s="53"/>
    </row>
    <row r="41" spans="1:42" ht="20.100000000000001" customHeight="1" x14ac:dyDescent="0.25">
      <c r="A41" s="47"/>
      <c r="B41" s="47"/>
      <c r="C41" s="47"/>
      <c r="D41" s="47"/>
      <c r="E41" s="47"/>
      <c r="F41" s="47"/>
      <c r="G41" s="47"/>
      <c r="H41" s="47"/>
      <c r="I41" s="47"/>
      <c r="J41" s="47"/>
      <c r="K41" s="47"/>
      <c r="L41" s="47"/>
      <c r="M41" s="47"/>
      <c r="N41" s="47"/>
      <c r="O41" s="47"/>
      <c r="P41" s="47"/>
      <c r="Q41" s="47"/>
      <c r="R41" s="47"/>
      <c r="U41" s="49">
        <f t="shared" si="0"/>
        <v>30</v>
      </c>
      <c r="V41" s="50">
        <f t="shared" si="1"/>
        <v>0</v>
      </c>
      <c r="W41" s="50">
        <f t="shared" si="2"/>
        <v>0</v>
      </c>
      <c r="X41" s="50">
        <f t="shared" si="3"/>
        <v>0</v>
      </c>
      <c r="Y41" s="50">
        <f t="shared" si="4"/>
        <v>0</v>
      </c>
      <c r="AA41" s="253"/>
      <c r="AB41" s="51">
        <v>30</v>
      </c>
      <c r="AC41" s="253"/>
      <c r="AD41" s="52">
        <f t="shared" si="16"/>
        <v>0</v>
      </c>
      <c r="AE41" s="253"/>
      <c r="AF41" s="52">
        <f t="shared" si="13"/>
        <v>0</v>
      </c>
      <c r="AG41" s="253"/>
      <c r="AH41" s="52">
        <f t="shared" si="14"/>
        <v>0</v>
      </c>
      <c r="AI41" s="253"/>
      <c r="AJ41" s="52">
        <f t="shared" si="15"/>
        <v>0</v>
      </c>
      <c r="AM41" s="53"/>
      <c r="AN41" s="53"/>
      <c r="AO41" s="53"/>
      <c r="AP41" s="53"/>
    </row>
    <row r="42" spans="1:42" ht="20.100000000000001" customHeight="1" x14ac:dyDescent="0.25">
      <c r="A42" s="47"/>
      <c r="B42" s="47"/>
      <c r="C42" s="47"/>
      <c r="D42" s="47"/>
      <c r="E42" s="47"/>
      <c r="F42" s="47"/>
      <c r="G42" s="47"/>
      <c r="H42" s="47"/>
      <c r="I42" s="47"/>
      <c r="J42" s="47"/>
      <c r="K42" s="47"/>
      <c r="L42" s="47"/>
      <c r="M42" s="47"/>
      <c r="N42" s="47"/>
      <c r="O42" s="47"/>
      <c r="P42" s="47"/>
      <c r="Q42" s="47"/>
      <c r="R42" s="47"/>
      <c r="U42" s="49">
        <f t="shared" ref="U42:U81" si="17">U41+1</f>
        <v>31</v>
      </c>
      <c r="V42" s="50">
        <f t="shared" ref="V42:V81" si="18">$V$41</f>
        <v>0</v>
      </c>
      <c r="W42" s="50">
        <f t="shared" ref="W42:W81" si="19">$W$41</f>
        <v>0</v>
      </c>
      <c r="X42" s="50">
        <f t="shared" ref="X42:X81" si="20">$X$41</f>
        <v>0</v>
      </c>
      <c r="Y42" s="50">
        <f t="shared" ref="Y42:Y81" si="21">$Y$41</f>
        <v>0</v>
      </c>
    </row>
    <row r="43" spans="1:42" ht="20.100000000000001" customHeight="1" x14ac:dyDescent="0.25">
      <c r="A43" s="47"/>
      <c r="B43" s="47"/>
      <c r="C43" s="47"/>
      <c r="D43" s="47"/>
      <c r="E43" s="47"/>
      <c r="F43" s="47"/>
      <c r="G43" s="47"/>
      <c r="H43" s="47"/>
      <c r="I43" s="47"/>
      <c r="J43" s="47"/>
      <c r="K43" s="47"/>
      <c r="L43" s="47"/>
      <c r="M43" s="47"/>
      <c r="N43" s="47"/>
      <c r="O43" s="47"/>
      <c r="P43" s="47"/>
      <c r="Q43" s="47"/>
      <c r="R43" s="47"/>
      <c r="U43" s="49">
        <f t="shared" si="17"/>
        <v>32</v>
      </c>
      <c r="V43" s="50">
        <f t="shared" si="18"/>
        <v>0</v>
      </c>
      <c r="W43" s="50">
        <f t="shared" si="19"/>
        <v>0</v>
      </c>
      <c r="X43" s="50">
        <f t="shared" si="20"/>
        <v>0</v>
      </c>
      <c r="Y43" s="50">
        <f t="shared" si="21"/>
        <v>0</v>
      </c>
    </row>
    <row r="44" spans="1:42" ht="20.100000000000001" customHeight="1" x14ac:dyDescent="0.25">
      <c r="A44" s="47"/>
      <c r="B44" s="47"/>
      <c r="C44" s="47"/>
      <c r="D44" s="47"/>
      <c r="E44" s="47"/>
      <c r="F44" s="47"/>
      <c r="G44" s="47"/>
      <c r="H44" s="47"/>
      <c r="I44" s="47"/>
      <c r="J44" s="47"/>
      <c r="K44" s="47"/>
      <c r="L44" s="47"/>
      <c r="M44" s="47"/>
      <c r="N44" s="47"/>
      <c r="O44" s="47"/>
      <c r="P44" s="47"/>
      <c r="Q44" s="47"/>
      <c r="R44" s="47"/>
      <c r="U44" s="49">
        <f t="shared" si="17"/>
        <v>33</v>
      </c>
      <c r="V44" s="50">
        <f t="shared" si="18"/>
        <v>0</v>
      </c>
      <c r="W44" s="50">
        <f t="shared" si="19"/>
        <v>0</v>
      </c>
      <c r="X44" s="50">
        <f t="shared" si="20"/>
        <v>0</v>
      </c>
      <c r="Y44" s="50">
        <f t="shared" si="21"/>
        <v>0</v>
      </c>
    </row>
    <row r="45" spans="1:42" ht="20.100000000000001" customHeight="1" x14ac:dyDescent="0.25">
      <c r="U45" s="49">
        <f t="shared" si="17"/>
        <v>34</v>
      </c>
      <c r="V45" s="50">
        <f t="shared" si="18"/>
        <v>0</v>
      </c>
      <c r="W45" s="50">
        <f t="shared" si="19"/>
        <v>0</v>
      </c>
      <c r="X45" s="50">
        <f t="shared" si="20"/>
        <v>0</v>
      </c>
      <c r="Y45" s="50">
        <f t="shared" si="21"/>
        <v>0</v>
      </c>
    </row>
    <row r="46" spans="1:42" ht="20.100000000000001" customHeight="1" x14ac:dyDescent="0.25">
      <c r="U46" s="49">
        <f t="shared" si="17"/>
        <v>35</v>
      </c>
      <c r="V46" s="50">
        <f t="shared" si="18"/>
        <v>0</v>
      </c>
      <c r="W46" s="50">
        <f t="shared" si="19"/>
        <v>0</v>
      </c>
      <c r="X46" s="50">
        <f t="shared" si="20"/>
        <v>0</v>
      </c>
      <c r="Y46" s="50">
        <f t="shared" si="21"/>
        <v>0</v>
      </c>
    </row>
    <row r="47" spans="1:42" ht="20.100000000000001" customHeight="1" x14ac:dyDescent="0.25">
      <c r="U47" s="49">
        <f t="shared" si="17"/>
        <v>36</v>
      </c>
      <c r="V47" s="50">
        <f t="shared" si="18"/>
        <v>0</v>
      </c>
      <c r="W47" s="50">
        <f t="shared" si="19"/>
        <v>0</v>
      </c>
      <c r="X47" s="50">
        <f t="shared" si="20"/>
        <v>0</v>
      </c>
      <c r="Y47" s="50">
        <f t="shared" si="21"/>
        <v>0</v>
      </c>
    </row>
    <row r="48" spans="1:42" ht="20.100000000000001" customHeight="1" x14ac:dyDescent="0.25">
      <c r="U48" s="49">
        <f t="shared" si="17"/>
        <v>37</v>
      </c>
      <c r="V48" s="50">
        <f t="shared" si="18"/>
        <v>0</v>
      </c>
      <c r="W48" s="50">
        <f t="shared" si="19"/>
        <v>0</v>
      </c>
      <c r="X48" s="50">
        <f t="shared" si="20"/>
        <v>0</v>
      </c>
      <c r="Y48" s="50">
        <f t="shared" si="21"/>
        <v>0</v>
      </c>
    </row>
    <row r="49" spans="21:25" ht="20.100000000000001" customHeight="1" x14ac:dyDescent="0.25">
      <c r="U49" s="49">
        <f t="shared" si="17"/>
        <v>38</v>
      </c>
      <c r="V49" s="50">
        <f t="shared" si="18"/>
        <v>0</v>
      </c>
      <c r="W49" s="50">
        <f t="shared" si="19"/>
        <v>0</v>
      </c>
      <c r="X49" s="50">
        <f t="shared" si="20"/>
        <v>0</v>
      </c>
      <c r="Y49" s="50">
        <f t="shared" si="21"/>
        <v>0</v>
      </c>
    </row>
    <row r="50" spans="21:25" ht="20.100000000000001" customHeight="1" x14ac:dyDescent="0.25">
      <c r="U50" s="49">
        <f t="shared" si="17"/>
        <v>39</v>
      </c>
      <c r="V50" s="50">
        <f t="shared" si="18"/>
        <v>0</v>
      </c>
      <c r="W50" s="50">
        <f t="shared" si="19"/>
        <v>0</v>
      </c>
      <c r="X50" s="50">
        <f t="shared" si="20"/>
        <v>0</v>
      </c>
      <c r="Y50" s="50">
        <f t="shared" si="21"/>
        <v>0</v>
      </c>
    </row>
    <row r="51" spans="21:25" ht="20.100000000000001" customHeight="1" x14ac:dyDescent="0.25">
      <c r="U51" s="49">
        <f t="shared" si="17"/>
        <v>40</v>
      </c>
      <c r="V51" s="50">
        <f t="shared" si="18"/>
        <v>0</v>
      </c>
      <c r="W51" s="50">
        <f t="shared" si="19"/>
        <v>0</v>
      </c>
      <c r="X51" s="50">
        <f t="shared" si="20"/>
        <v>0</v>
      </c>
      <c r="Y51" s="50">
        <f t="shared" si="21"/>
        <v>0</v>
      </c>
    </row>
    <row r="52" spans="21:25" ht="20.100000000000001" customHeight="1" x14ac:dyDescent="0.25">
      <c r="U52" s="49">
        <f t="shared" si="17"/>
        <v>41</v>
      </c>
      <c r="V52" s="50">
        <f t="shared" si="18"/>
        <v>0</v>
      </c>
      <c r="W52" s="50">
        <f t="shared" si="19"/>
        <v>0</v>
      </c>
      <c r="X52" s="50">
        <f t="shared" si="20"/>
        <v>0</v>
      </c>
      <c r="Y52" s="50">
        <f t="shared" si="21"/>
        <v>0</v>
      </c>
    </row>
    <row r="53" spans="21:25" ht="20.100000000000001" customHeight="1" x14ac:dyDescent="0.25">
      <c r="U53" s="49">
        <f t="shared" si="17"/>
        <v>42</v>
      </c>
      <c r="V53" s="50">
        <f t="shared" si="18"/>
        <v>0</v>
      </c>
      <c r="W53" s="50">
        <f t="shared" si="19"/>
        <v>0</v>
      </c>
      <c r="X53" s="50">
        <f t="shared" si="20"/>
        <v>0</v>
      </c>
      <c r="Y53" s="50">
        <f t="shared" si="21"/>
        <v>0</v>
      </c>
    </row>
    <row r="54" spans="21:25" ht="20.100000000000001" customHeight="1" x14ac:dyDescent="0.25">
      <c r="U54" s="49">
        <f t="shared" si="17"/>
        <v>43</v>
      </c>
      <c r="V54" s="50">
        <f t="shared" si="18"/>
        <v>0</v>
      </c>
      <c r="W54" s="50">
        <f t="shared" si="19"/>
        <v>0</v>
      </c>
      <c r="X54" s="50">
        <f t="shared" si="20"/>
        <v>0</v>
      </c>
      <c r="Y54" s="50">
        <f t="shared" si="21"/>
        <v>0</v>
      </c>
    </row>
    <row r="55" spans="21:25" ht="20.100000000000001" customHeight="1" x14ac:dyDescent="0.25">
      <c r="U55" s="49">
        <f t="shared" si="17"/>
        <v>44</v>
      </c>
      <c r="V55" s="50">
        <f t="shared" si="18"/>
        <v>0</v>
      </c>
      <c r="W55" s="50">
        <f t="shared" si="19"/>
        <v>0</v>
      </c>
      <c r="X55" s="50">
        <f t="shared" si="20"/>
        <v>0</v>
      </c>
      <c r="Y55" s="50">
        <f t="shared" si="21"/>
        <v>0</v>
      </c>
    </row>
    <row r="56" spans="21:25" ht="20.100000000000001" customHeight="1" x14ac:dyDescent="0.25">
      <c r="U56" s="49">
        <f t="shared" si="17"/>
        <v>45</v>
      </c>
      <c r="V56" s="50">
        <f t="shared" si="18"/>
        <v>0</v>
      </c>
      <c r="W56" s="50">
        <f t="shared" si="19"/>
        <v>0</v>
      </c>
      <c r="X56" s="50">
        <f t="shared" si="20"/>
        <v>0</v>
      </c>
      <c r="Y56" s="50">
        <f t="shared" si="21"/>
        <v>0</v>
      </c>
    </row>
    <row r="57" spans="21:25" ht="20.100000000000001" customHeight="1" x14ac:dyDescent="0.25">
      <c r="U57" s="49">
        <f t="shared" si="17"/>
        <v>46</v>
      </c>
      <c r="V57" s="50">
        <f t="shared" si="18"/>
        <v>0</v>
      </c>
      <c r="W57" s="50">
        <f t="shared" si="19"/>
        <v>0</v>
      </c>
      <c r="X57" s="50">
        <f t="shared" si="20"/>
        <v>0</v>
      </c>
      <c r="Y57" s="50">
        <f t="shared" si="21"/>
        <v>0</v>
      </c>
    </row>
    <row r="58" spans="21:25" ht="20.100000000000001" customHeight="1" x14ac:dyDescent="0.25">
      <c r="U58" s="49">
        <f t="shared" si="17"/>
        <v>47</v>
      </c>
      <c r="V58" s="50">
        <f t="shared" si="18"/>
        <v>0</v>
      </c>
      <c r="W58" s="50">
        <f t="shared" si="19"/>
        <v>0</v>
      </c>
      <c r="X58" s="50">
        <f t="shared" si="20"/>
        <v>0</v>
      </c>
      <c r="Y58" s="50">
        <f t="shared" si="21"/>
        <v>0</v>
      </c>
    </row>
    <row r="59" spans="21:25" ht="20.100000000000001" customHeight="1" x14ac:dyDescent="0.25">
      <c r="U59" s="49">
        <f t="shared" si="17"/>
        <v>48</v>
      </c>
      <c r="V59" s="50">
        <f t="shared" si="18"/>
        <v>0</v>
      </c>
      <c r="W59" s="50">
        <f t="shared" si="19"/>
        <v>0</v>
      </c>
      <c r="X59" s="50">
        <f t="shared" si="20"/>
        <v>0</v>
      </c>
      <c r="Y59" s="50">
        <f t="shared" si="21"/>
        <v>0</v>
      </c>
    </row>
    <row r="60" spans="21:25" ht="20.100000000000001" customHeight="1" x14ac:dyDescent="0.25">
      <c r="U60" s="49">
        <f t="shared" si="17"/>
        <v>49</v>
      </c>
      <c r="V60" s="50">
        <f t="shared" si="18"/>
        <v>0</v>
      </c>
      <c r="W60" s="50">
        <f t="shared" si="19"/>
        <v>0</v>
      </c>
      <c r="X60" s="50">
        <f t="shared" si="20"/>
        <v>0</v>
      </c>
      <c r="Y60" s="50">
        <f t="shared" si="21"/>
        <v>0</v>
      </c>
    </row>
    <row r="61" spans="21:25" ht="20.100000000000001" customHeight="1" x14ac:dyDescent="0.25">
      <c r="U61" s="49">
        <f t="shared" si="17"/>
        <v>50</v>
      </c>
      <c r="V61" s="50">
        <f t="shared" si="18"/>
        <v>0</v>
      </c>
      <c r="W61" s="50">
        <f t="shared" si="19"/>
        <v>0</v>
      </c>
      <c r="X61" s="50">
        <f t="shared" si="20"/>
        <v>0</v>
      </c>
      <c r="Y61" s="50">
        <f t="shared" si="21"/>
        <v>0</v>
      </c>
    </row>
    <row r="62" spans="21:25" ht="20.100000000000001" customHeight="1" x14ac:dyDescent="0.25">
      <c r="U62" s="49">
        <f t="shared" si="17"/>
        <v>51</v>
      </c>
      <c r="V62" s="50">
        <f t="shared" si="18"/>
        <v>0</v>
      </c>
      <c r="W62" s="50">
        <f t="shared" si="19"/>
        <v>0</v>
      </c>
      <c r="X62" s="50">
        <f t="shared" si="20"/>
        <v>0</v>
      </c>
      <c r="Y62" s="50">
        <f t="shared" si="21"/>
        <v>0</v>
      </c>
    </row>
    <row r="63" spans="21:25" ht="20.100000000000001" customHeight="1" x14ac:dyDescent="0.25">
      <c r="U63" s="49">
        <f t="shared" si="17"/>
        <v>52</v>
      </c>
      <c r="V63" s="50">
        <f t="shared" si="18"/>
        <v>0</v>
      </c>
      <c r="W63" s="50">
        <f t="shared" si="19"/>
        <v>0</v>
      </c>
      <c r="X63" s="50">
        <f t="shared" si="20"/>
        <v>0</v>
      </c>
      <c r="Y63" s="50">
        <f t="shared" si="21"/>
        <v>0</v>
      </c>
    </row>
    <row r="64" spans="21:25" ht="20.100000000000001" customHeight="1" x14ac:dyDescent="0.25">
      <c r="U64" s="49">
        <f t="shared" si="17"/>
        <v>53</v>
      </c>
      <c r="V64" s="50">
        <f t="shared" si="18"/>
        <v>0</v>
      </c>
      <c r="W64" s="50">
        <f t="shared" si="19"/>
        <v>0</v>
      </c>
      <c r="X64" s="50">
        <f t="shared" si="20"/>
        <v>0</v>
      </c>
      <c r="Y64" s="50">
        <f t="shared" si="21"/>
        <v>0</v>
      </c>
    </row>
    <row r="65" spans="21:25" ht="20.100000000000001" customHeight="1" x14ac:dyDescent="0.25">
      <c r="U65" s="49">
        <f t="shared" si="17"/>
        <v>54</v>
      </c>
      <c r="V65" s="50">
        <f t="shared" si="18"/>
        <v>0</v>
      </c>
      <c r="W65" s="50">
        <f t="shared" si="19"/>
        <v>0</v>
      </c>
      <c r="X65" s="50">
        <f t="shared" si="20"/>
        <v>0</v>
      </c>
      <c r="Y65" s="50">
        <f t="shared" si="21"/>
        <v>0</v>
      </c>
    </row>
    <row r="66" spans="21:25" ht="20.100000000000001" customHeight="1" x14ac:dyDescent="0.25">
      <c r="U66" s="49">
        <f t="shared" si="17"/>
        <v>55</v>
      </c>
      <c r="V66" s="50">
        <f t="shared" si="18"/>
        <v>0</v>
      </c>
      <c r="W66" s="50">
        <f t="shared" si="19"/>
        <v>0</v>
      </c>
      <c r="X66" s="50">
        <f t="shared" si="20"/>
        <v>0</v>
      </c>
      <c r="Y66" s="50">
        <f t="shared" si="21"/>
        <v>0</v>
      </c>
    </row>
    <row r="67" spans="21:25" ht="20.100000000000001" customHeight="1" x14ac:dyDescent="0.25">
      <c r="U67" s="49">
        <f t="shared" si="17"/>
        <v>56</v>
      </c>
      <c r="V67" s="50">
        <f t="shared" si="18"/>
        <v>0</v>
      </c>
      <c r="W67" s="50">
        <f t="shared" si="19"/>
        <v>0</v>
      </c>
      <c r="X67" s="50">
        <f t="shared" si="20"/>
        <v>0</v>
      </c>
      <c r="Y67" s="50">
        <f t="shared" si="21"/>
        <v>0</v>
      </c>
    </row>
    <row r="68" spans="21:25" ht="20.100000000000001" customHeight="1" x14ac:dyDescent="0.25">
      <c r="U68" s="49">
        <f t="shared" si="17"/>
        <v>57</v>
      </c>
      <c r="V68" s="50">
        <f t="shared" si="18"/>
        <v>0</v>
      </c>
      <c r="W68" s="50">
        <f t="shared" si="19"/>
        <v>0</v>
      </c>
      <c r="X68" s="50">
        <f t="shared" si="20"/>
        <v>0</v>
      </c>
      <c r="Y68" s="50">
        <f t="shared" si="21"/>
        <v>0</v>
      </c>
    </row>
    <row r="69" spans="21:25" ht="20.100000000000001" customHeight="1" x14ac:dyDescent="0.25">
      <c r="U69" s="49">
        <f t="shared" si="17"/>
        <v>58</v>
      </c>
      <c r="V69" s="50">
        <f t="shared" si="18"/>
        <v>0</v>
      </c>
      <c r="W69" s="50">
        <f t="shared" si="19"/>
        <v>0</v>
      </c>
      <c r="X69" s="50">
        <f t="shared" si="20"/>
        <v>0</v>
      </c>
      <c r="Y69" s="50">
        <f t="shared" si="21"/>
        <v>0</v>
      </c>
    </row>
    <row r="70" spans="21:25" ht="20.100000000000001" customHeight="1" x14ac:dyDescent="0.25">
      <c r="U70" s="49">
        <f t="shared" si="17"/>
        <v>59</v>
      </c>
      <c r="V70" s="50">
        <f t="shared" si="18"/>
        <v>0</v>
      </c>
      <c r="W70" s="50">
        <f t="shared" si="19"/>
        <v>0</v>
      </c>
      <c r="X70" s="50">
        <f t="shared" si="20"/>
        <v>0</v>
      </c>
      <c r="Y70" s="50">
        <f t="shared" si="21"/>
        <v>0</v>
      </c>
    </row>
    <row r="71" spans="21:25" ht="20.100000000000001" customHeight="1" x14ac:dyDescent="0.25">
      <c r="U71" s="49">
        <f t="shared" si="17"/>
        <v>60</v>
      </c>
      <c r="V71" s="50">
        <f t="shared" si="18"/>
        <v>0</v>
      </c>
      <c r="W71" s="50">
        <f t="shared" si="19"/>
        <v>0</v>
      </c>
      <c r="X71" s="50">
        <f t="shared" si="20"/>
        <v>0</v>
      </c>
      <c r="Y71" s="50">
        <f t="shared" si="21"/>
        <v>0</v>
      </c>
    </row>
    <row r="72" spans="21:25" ht="20.100000000000001" customHeight="1" x14ac:dyDescent="0.25">
      <c r="U72" s="49">
        <f t="shared" si="17"/>
        <v>61</v>
      </c>
      <c r="V72" s="50">
        <f t="shared" si="18"/>
        <v>0</v>
      </c>
      <c r="W72" s="50">
        <f t="shared" si="19"/>
        <v>0</v>
      </c>
      <c r="X72" s="50">
        <f t="shared" si="20"/>
        <v>0</v>
      </c>
      <c r="Y72" s="50">
        <f t="shared" si="21"/>
        <v>0</v>
      </c>
    </row>
    <row r="73" spans="21:25" ht="20.100000000000001" customHeight="1" x14ac:dyDescent="0.25">
      <c r="U73" s="49">
        <f t="shared" si="17"/>
        <v>62</v>
      </c>
      <c r="V73" s="50">
        <f t="shared" si="18"/>
        <v>0</v>
      </c>
      <c r="W73" s="50">
        <f t="shared" si="19"/>
        <v>0</v>
      </c>
      <c r="X73" s="50">
        <f t="shared" si="20"/>
        <v>0</v>
      </c>
      <c r="Y73" s="50">
        <f t="shared" si="21"/>
        <v>0</v>
      </c>
    </row>
    <row r="74" spans="21:25" ht="20.100000000000001" customHeight="1" x14ac:dyDescent="0.25">
      <c r="U74" s="49">
        <f t="shared" si="17"/>
        <v>63</v>
      </c>
      <c r="V74" s="50">
        <f t="shared" si="18"/>
        <v>0</v>
      </c>
      <c r="W74" s="50">
        <f t="shared" si="19"/>
        <v>0</v>
      </c>
      <c r="X74" s="50">
        <f t="shared" si="20"/>
        <v>0</v>
      </c>
      <c r="Y74" s="50">
        <f t="shared" si="21"/>
        <v>0</v>
      </c>
    </row>
    <row r="75" spans="21:25" ht="20.100000000000001" customHeight="1" x14ac:dyDescent="0.25">
      <c r="U75" s="49">
        <f t="shared" si="17"/>
        <v>64</v>
      </c>
      <c r="V75" s="50">
        <f t="shared" si="18"/>
        <v>0</v>
      </c>
      <c r="W75" s="50">
        <f t="shared" si="19"/>
        <v>0</v>
      </c>
      <c r="X75" s="50">
        <f t="shared" si="20"/>
        <v>0</v>
      </c>
      <c r="Y75" s="50">
        <f t="shared" si="21"/>
        <v>0</v>
      </c>
    </row>
    <row r="76" spans="21:25" ht="20.100000000000001" customHeight="1" x14ac:dyDescent="0.25">
      <c r="U76" s="49">
        <f t="shared" si="17"/>
        <v>65</v>
      </c>
      <c r="V76" s="50">
        <f t="shared" si="18"/>
        <v>0</v>
      </c>
      <c r="W76" s="50">
        <f t="shared" si="19"/>
        <v>0</v>
      </c>
      <c r="X76" s="50">
        <f t="shared" si="20"/>
        <v>0</v>
      </c>
      <c r="Y76" s="50">
        <f t="shared" si="21"/>
        <v>0</v>
      </c>
    </row>
    <row r="77" spans="21:25" ht="20.100000000000001" customHeight="1" x14ac:dyDescent="0.25">
      <c r="U77" s="49">
        <f t="shared" si="17"/>
        <v>66</v>
      </c>
      <c r="V77" s="50">
        <f t="shared" si="18"/>
        <v>0</v>
      </c>
      <c r="W77" s="50">
        <f t="shared" si="19"/>
        <v>0</v>
      </c>
      <c r="X77" s="50">
        <f t="shared" si="20"/>
        <v>0</v>
      </c>
      <c r="Y77" s="50">
        <f t="shared" si="21"/>
        <v>0</v>
      </c>
    </row>
    <row r="78" spans="21:25" ht="20.100000000000001" customHeight="1" x14ac:dyDescent="0.25">
      <c r="U78" s="49">
        <f t="shared" si="17"/>
        <v>67</v>
      </c>
      <c r="V78" s="50">
        <f t="shared" si="18"/>
        <v>0</v>
      </c>
      <c r="W78" s="50">
        <f t="shared" si="19"/>
        <v>0</v>
      </c>
      <c r="X78" s="50">
        <f t="shared" si="20"/>
        <v>0</v>
      </c>
      <c r="Y78" s="50">
        <f t="shared" si="21"/>
        <v>0</v>
      </c>
    </row>
    <row r="79" spans="21:25" ht="20.100000000000001" customHeight="1" x14ac:dyDescent="0.25">
      <c r="U79" s="49">
        <f t="shared" si="17"/>
        <v>68</v>
      </c>
      <c r="V79" s="50">
        <f t="shared" si="18"/>
        <v>0</v>
      </c>
      <c r="W79" s="50">
        <f t="shared" si="19"/>
        <v>0</v>
      </c>
      <c r="X79" s="50">
        <f t="shared" si="20"/>
        <v>0</v>
      </c>
      <c r="Y79" s="50">
        <f t="shared" si="21"/>
        <v>0</v>
      </c>
    </row>
    <row r="80" spans="21:25" ht="20.100000000000001" customHeight="1" x14ac:dyDescent="0.25">
      <c r="U80" s="49">
        <f t="shared" si="17"/>
        <v>69</v>
      </c>
      <c r="V80" s="50">
        <f t="shared" si="18"/>
        <v>0</v>
      </c>
      <c r="W80" s="50">
        <f t="shared" si="19"/>
        <v>0</v>
      </c>
      <c r="X80" s="50">
        <f t="shared" si="20"/>
        <v>0</v>
      </c>
      <c r="Y80" s="50">
        <f t="shared" si="21"/>
        <v>0</v>
      </c>
    </row>
    <row r="81" spans="21:25" ht="20.100000000000001" customHeight="1" x14ac:dyDescent="0.25">
      <c r="U81" s="49">
        <f t="shared" si="17"/>
        <v>70</v>
      </c>
      <c r="V81" s="50">
        <f t="shared" si="18"/>
        <v>0</v>
      </c>
      <c r="W81" s="50">
        <f t="shared" si="19"/>
        <v>0</v>
      </c>
      <c r="X81" s="50">
        <f t="shared" si="20"/>
        <v>0</v>
      </c>
      <c r="Y81" s="50">
        <f t="shared" si="21"/>
        <v>0</v>
      </c>
    </row>
  </sheetData>
  <mergeCells count="51">
    <mergeCell ref="A1:R1"/>
    <mergeCell ref="A3:R4"/>
    <mergeCell ref="A5:R5"/>
    <mergeCell ref="A6:D6"/>
    <mergeCell ref="E6:F6"/>
    <mergeCell ref="G6:J6"/>
    <mergeCell ref="K6:N6"/>
    <mergeCell ref="O6:R6"/>
    <mergeCell ref="O7:P8"/>
    <mergeCell ref="Q7:R8"/>
    <mergeCell ref="A9:D10"/>
    <mergeCell ref="E9:F10"/>
    <mergeCell ref="G9:H10"/>
    <mergeCell ref="I9:J10"/>
    <mergeCell ref="K9:L10"/>
    <mergeCell ref="M9:N10"/>
    <mergeCell ref="O9:P10"/>
    <mergeCell ref="A7:D8"/>
    <mergeCell ref="E7:F8"/>
    <mergeCell ref="G7:H8"/>
    <mergeCell ref="I7:J8"/>
    <mergeCell ref="K7:L8"/>
    <mergeCell ref="M7:N8"/>
    <mergeCell ref="Q9:R10"/>
    <mergeCell ref="A11:D12"/>
    <mergeCell ref="E11:F12"/>
    <mergeCell ref="G11:H12"/>
    <mergeCell ref="I11:J12"/>
    <mergeCell ref="K11:L12"/>
    <mergeCell ref="M11:N12"/>
    <mergeCell ref="O11:P12"/>
    <mergeCell ref="Q11:R12"/>
    <mergeCell ref="AA11:AJ11"/>
    <mergeCell ref="AA12:AA41"/>
    <mergeCell ref="AC12:AC41"/>
    <mergeCell ref="AE12:AE41"/>
    <mergeCell ref="AG12:AG41"/>
    <mergeCell ref="AI12:AI41"/>
    <mergeCell ref="A18:R20"/>
    <mergeCell ref="O13:P14"/>
    <mergeCell ref="Q13:R14"/>
    <mergeCell ref="A15:R15"/>
    <mergeCell ref="A16:R16"/>
    <mergeCell ref="A17:C17"/>
    <mergeCell ref="D17:R17"/>
    <mergeCell ref="M13:N14"/>
    <mergeCell ref="A13:D14"/>
    <mergeCell ref="E13:F14"/>
    <mergeCell ref="G13:H14"/>
    <mergeCell ref="I13:J14"/>
    <mergeCell ref="K13:L1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zoomScaleNormal="100" workbookViewId="0">
      <selection sqref="A1:J1"/>
    </sheetView>
  </sheetViews>
  <sheetFormatPr defaultRowHeight="20.100000000000001" customHeight="1" x14ac:dyDescent="0.25"/>
  <cols>
    <col min="1" max="10" width="10.625" style="56" customWidth="1"/>
    <col min="11" max="16384" width="9" style="55"/>
  </cols>
  <sheetData>
    <row r="1" spans="1:10" ht="20.100000000000001" customHeight="1" thickBot="1" x14ac:dyDescent="0.3">
      <c r="A1" s="285" t="s">
        <v>277</v>
      </c>
      <c r="B1" s="285"/>
      <c r="C1" s="285"/>
      <c r="D1" s="285"/>
      <c r="E1" s="285"/>
      <c r="F1" s="285"/>
      <c r="G1" s="285"/>
      <c r="H1" s="285"/>
      <c r="I1" s="285"/>
      <c r="J1" s="285"/>
    </row>
    <row r="2" spans="1:10" ht="20.100000000000001" customHeight="1" x14ac:dyDescent="0.25">
      <c r="A2" s="5"/>
      <c r="B2" s="1"/>
      <c r="C2" s="1"/>
      <c r="D2" s="1"/>
      <c r="E2" s="1"/>
      <c r="F2" s="1"/>
      <c r="G2" s="1"/>
      <c r="H2" s="1"/>
      <c r="I2" s="1"/>
      <c r="J2" s="1"/>
    </row>
    <row r="3" spans="1:10" ht="20.100000000000001" customHeight="1" x14ac:dyDescent="0.25">
      <c r="A3" s="281" t="s">
        <v>278</v>
      </c>
      <c r="B3" s="281" t="s">
        <v>279</v>
      </c>
      <c r="C3" s="281"/>
      <c r="D3" s="281" t="s">
        <v>280</v>
      </c>
      <c r="E3" s="281"/>
      <c r="F3" s="281"/>
      <c r="G3" s="286" t="s">
        <v>281</v>
      </c>
      <c r="H3" s="287"/>
      <c r="I3" s="281" t="s">
        <v>282</v>
      </c>
      <c r="J3" s="281"/>
    </row>
    <row r="4" spans="1:10" ht="20.100000000000001" customHeight="1" x14ac:dyDescent="0.25">
      <c r="A4" s="281"/>
      <c r="B4" s="281"/>
      <c r="C4" s="281"/>
      <c r="D4" s="281"/>
      <c r="E4" s="281"/>
      <c r="F4" s="281"/>
      <c r="G4" s="288"/>
      <c r="H4" s="289"/>
      <c r="I4" s="281"/>
      <c r="J4" s="281"/>
    </row>
    <row r="5" spans="1:10" ht="20.100000000000001" customHeight="1" x14ac:dyDescent="0.25">
      <c r="A5" s="281"/>
      <c r="B5" s="281"/>
      <c r="C5" s="281"/>
      <c r="D5" s="281"/>
      <c r="E5" s="281"/>
      <c r="F5" s="281"/>
      <c r="G5" s="281" t="s">
        <v>283</v>
      </c>
      <c r="H5" s="281"/>
      <c r="I5" s="281"/>
      <c r="J5" s="281"/>
    </row>
    <row r="6" spans="1:10" ht="20.100000000000001" customHeight="1" x14ac:dyDescent="0.25">
      <c r="A6" s="284" t="s">
        <v>284</v>
      </c>
      <c r="B6" s="281" t="s">
        <v>285</v>
      </c>
      <c r="C6" s="281"/>
      <c r="D6" s="274" t="s">
        <v>286</v>
      </c>
      <c r="E6" s="274"/>
      <c r="F6" s="274"/>
      <c r="G6" s="282">
        <v>5</v>
      </c>
      <c r="H6" s="282"/>
      <c r="I6" s="283">
        <v>0</v>
      </c>
      <c r="J6" s="283"/>
    </row>
    <row r="7" spans="1:10" ht="20.100000000000001" customHeight="1" x14ac:dyDescent="0.25">
      <c r="A7" s="284"/>
      <c r="B7" s="281"/>
      <c r="C7" s="281"/>
      <c r="D7" s="274" t="s">
        <v>287</v>
      </c>
      <c r="E7" s="274"/>
      <c r="F7" s="274"/>
      <c r="G7" s="282">
        <v>10</v>
      </c>
      <c r="H7" s="282"/>
      <c r="I7" s="283">
        <v>0</v>
      </c>
      <c r="J7" s="283"/>
    </row>
    <row r="8" spans="1:10" ht="20.100000000000001" customHeight="1" x14ac:dyDescent="0.25">
      <c r="A8" s="284"/>
      <c r="B8" s="281" t="s">
        <v>288</v>
      </c>
      <c r="C8" s="281"/>
      <c r="D8" s="274" t="s">
        <v>286</v>
      </c>
      <c r="E8" s="274"/>
      <c r="F8" s="274"/>
      <c r="G8" s="282">
        <v>60</v>
      </c>
      <c r="H8" s="282"/>
      <c r="I8" s="283">
        <v>0.2</v>
      </c>
      <c r="J8" s="283"/>
    </row>
    <row r="9" spans="1:10" ht="20.100000000000001" customHeight="1" x14ac:dyDescent="0.25">
      <c r="A9" s="284"/>
      <c r="B9" s="281"/>
      <c r="C9" s="281"/>
      <c r="D9" s="274" t="s">
        <v>289</v>
      </c>
      <c r="E9" s="274"/>
      <c r="F9" s="274"/>
      <c r="G9" s="282">
        <v>60</v>
      </c>
      <c r="H9" s="282"/>
      <c r="I9" s="283">
        <v>0.2</v>
      </c>
      <c r="J9" s="283"/>
    </row>
    <row r="10" spans="1:10" ht="20.100000000000001" customHeight="1" x14ac:dyDescent="0.25">
      <c r="A10" s="284"/>
      <c r="B10" s="281"/>
      <c r="C10" s="281"/>
      <c r="D10" s="274" t="s">
        <v>290</v>
      </c>
      <c r="E10" s="274"/>
      <c r="F10" s="274"/>
      <c r="G10" s="282">
        <v>70</v>
      </c>
      <c r="H10" s="282"/>
      <c r="I10" s="283">
        <v>0.2</v>
      </c>
      <c r="J10" s="283"/>
    </row>
    <row r="11" spans="1:10" ht="20.100000000000001" customHeight="1" x14ac:dyDescent="0.25">
      <c r="A11" s="284"/>
      <c r="B11" s="281"/>
      <c r="C11" s="281"/>
      <c r="D11" s="274" t="s">
        <v>287</v>
      </c>
      <c r="E11" s="274"/>
      <c r="F11" s="274"/>
      <c r="G11" s="282">
        <v>70</v>
      </c>
      <c r="H11" s="282"/>
      <c r="I11" s="283">
        <v>0.2</v>
      </c>
      <c r="J11" s="283"/>
    </row>
    <row r="12" spans="1:10" ht="20.100000000000001" customHeight="1" x14ac:dyDescent="0.25">
      <c r="A12" s="284"/>
      <c r="B12" s="281"/>
      <c r="C12" s="281"/>
      <c r="D12" s="274" t="s">
        <v>291</v>
      </c>
      <c r="E12" s="274"/>
      <c r="F12" s="274"/>
      <c r="G12" s="282">
        <v>70</v>
      </c>
      <c r="H12" s="282"/>
      <c r="I12" s="283">
        <v>0.2</v>
      </c>
      <c r="J12" s="283"/>
    </row>
    <row r="13" spans="1:10" ht="20.100000000000001" customHeight="1" x14ac:dyDescent="0.25">
      <c r="A13" s="284"/>
      <c r="B13" s="281"/>
      <c r="C13" s="281"/>
      <c r="D13" s="274" t="s">
        <v>292</v>
      </c>
      <c r="E13" s="274"/>
      <c r="F13" s="274"/>
      <c r="G13" s="282">
        <v>70</v>
      </c>
      <c r="H13" s="282"/>
      <c r="I13" s="283">
        <v>0.2</v>
      </c>
      <c r="J13" s="283"/>
    </row>
    <row r="14" spans="1:10" ht="20.100000000000001" customHeight="1" x14ac:dyDescent="0.25">
      <c r="A14" s="284"/>
      <c r="B14" s="281"/>
      <c r="C14" s="281"/>
      <c r="D14" s="274" t="s">
        <v>293</v>
      </c>
      <c r="E14" s="274"/>
      <c r="F14" s="274"/>
      <c r="G14" s="282">
        <v>60</v>
      </c>
      <c r="H14" s="282"/>
      <c r="I14" s="283">
        <v>0.2</v>
      </c>
      <c r="J14" s="283"/>
    </row>
    <row r="15" spans="1:10" ht="20.100000000000001" customHeight="1" x14ac:dyDescent="0.25">
      <c r="A15" s="284"/>
      <c r="B15" s="281"/>
      <c r="C15" s="281"/>
      <c r="D15" s="274" t="s">
        <v>294</v>
      </c>
      <c r="E15" s="274"/>
      <c r="F15" s="274"/>
      <c r="G15" s="282">
        <v>60</v>
      </c>
      <c r="H15" s="282"/>
      <c r="I15" s="283">
        <v>0.2</v>
      </c>
      <c r="J15" s="283"/>
    </row>
    <row r="16" spans="1:10" ht="20.100000000000001" customHeight="1" x14ac:dyDescent="0.25">
      <c r="A16" s="284"/>
      <c r="B16" s="281" t="s">
        <v>295</v>
      </c>
      <c r="C16" s="281"/>
      <c r="D16" s="274" t="s">
        <v>290</v>
      </c>
      <c r="E16" s="274"/>
      <c r="F16" s="274"/>
      <c r="G16" s="282">
        <v>60</v>
      </c>
      <c r="H16" s="282"/>
      <c r="I16" s="283">
        <v>0.2</v>
      </c>
      <c r="J16" s="283"/>
    </row>
    <row r="17" spans="1:10" ht="20.100000000000001" customHeight="1" x14ac:dyDescent="0.25">
      <c r="A17" s="284"/>
      <c r="B17" s="281"/>
      <c r="C17" s="281"/>
      <c r="D17" s="274" t="s">
        <v>287</v>
      </c>
      <c r="E17" s="274"/>
      <c r="F17" s="274"/>
      <c r="G17" s="282">
        <v>60</v>
      </c>
      <c r="H17" s="282"/>
      <c r="I17" s="283">
        <v>0.2</v>
      </c>
      <c r="J17" s="283"/>
    </row>
    <row r="18" spans="1:10" ht="20.100000000000001" customHeight="1" x14ac:dyDescent="0.25">
      <c r="A18" s="284"/>
      <c r="B18" s="281"/>
      <c r="C18" s="281"/>
      <c r="D18" s="274" t="s">
        <v>291</v>
      </c>
      <c r="E18" s="274"/>
      <c r="F18" s="274"/>
      <c r="G18" s="282">
        <v>60</v>
      </c>
      <c r="H18" s="282"/>
      <c r="I18" s="283">
        <v>0.2</v>
      </c>
      <c r="J18" s="283"/>
    </row>
    <row r="19" spans="1:10" ht="20.100000000000001" customHeight="1" x14ac:dyDescent="0.25">
      <c r="A19" s="284"/>
      <c r="B19" s="281"/>
      <c r="C19" s="281"/>
      <c r="D19" s="274" t="s">
        <v>292</v>
      </c>
      <c r="E19" s="274"/>
      <c r="F19" s="274"/>
      <c r="G19" s="282">
        <v>60</v>
      </c>
      <c r="H19" s="282"/>
      <c r="I19" s="283">
        <v>0.2</v>
      </c>
      <c r="J19" s="283"/>
    </row>
    <row r="20" spans="1:10" ht="20.100000000000001" customHeight="1" x14ac:dyDescent="0.25">
      <c r="A20" s="284"/>
      <c r="B20" s="281"/>
      <c r="C20" s="281"/>
      <c r="D20" s="274" t="s">
        <v>293</v>
      </c>
      <c r="E20" s="274"/>
      <c r="F20" s="274"/>
      <c r="G20" s="282">
        <v>50</v>
      </c>
      <c r="H20" s="282"/>
      <c r="I20" s="283">
        <v>0.2</v>
      </c>
      <c r="J20" s="283"/>
    </row>
    <row r="21" spans="1:10" ht="20.100000000000001" customHeight="1" x14ac:dyDescent="0.25">
      <c r="A21" s="284"/>
      <c r="B21" s="281"/>
      <c r="C21" s="281"/>
      <c r="D21" s="274" t="s">
        <v>294</v>
      </c>
      <c r="E21" s="274"/>
      <c r="F21" s="274"/>
      <c r="G21" s="282">
        <v>50</v>
      </c>
      <c r="H21" s="282"/>
      <c r="I21" s="283">
        <v>0.2</v>
      </c>
      <c r="J21" s="283"/>
    </row>
    <row r="22" spans="1:10" ht="20.100000000000001" customHeight="1" x14ac:dyDescent="0.25">
      <c r="A22" s="284" t="s">
        <v>296</v>
      </c>
      <c r="B22" s="281" t="s">
        <v>297</v>
      </c>
      <c r="C22" s="281"/>
      <c r="D22" s="274" t="s">
        <v>290</v>
      </c>
      <c r="E22" s="274"/>
      <c r="F22" s="274"/>
      <c r="G22" s="282">
        <v>70</v>
      </c>
      <c r="H22" s="282"/>
      <c r="I22" s="283">
        <v>0.2</v>
      </c>
      <c r="J22" s="283"/>
    </row>
    <row r="23" spans="1:10" ht="20.100000000000001" customHeight="1" x14ac:dyDescent="0.25">
      <c r="A23" s="284"/>
      <c r="B23" s="281"/>
      <c r="C23" s="281"/>
      <c r="D23" s="274" t="s">
        <v>287</v>
      </c>
      <c r="E23" s="274"/>
      <c r="F23" s="274"/>
      <c r="G23" s="282">
        <v>70</v>
      </c>
      <c r="H23" s="282"/>
      <c r="I23" s="283">
        <v>0.2</v>
      </c>
      <c r="J23" s="283"/>
    </row>
    <row r="24" spans="1:10" ht="20.100000000000001" customHeight="1" x14ac:dyDescent="0.25">
      <c r="A24" s="284"/>
      <c r="B24" s="281"/>
      <c r="C24" s="281"/>
      <c r="D24" s="274" t="s">
        <v>291</v>
      </c>
      <c r="E24" s="274"/>
      <c r="F24" s="274"/>
      <c r="G24" s="282">
        <v>60</v>
      </c>
      <c r="H24" s="282"/>
      <c r="I24" s="283">
        <v>0.2</v>
      </c>
      <c r="J24" s="283"/>
    </row>
    <row r="25" spans="1:10" ht="20.100000000000001" customHeight="1" x14ac:dyDescent="0.25">
      <c r="A25" s="284"/>
      <c r="B25" s="281"/>
      <c r="C25" s="281"/>
      <c r="D25" s="274" t="s">
        <v>292</v>
      </c>
      <c r="E25" s="274"/>
      <c r="F25" s="274"/>
      <c r="G25" s="282">
        <v>60</v>
      </c>
      <c r="H25" s="282"/>
      <c r="I25" s="283">
        <v>0.2</v>
      </c>
      <c r="J25" s="283"/>
    </row>
    <row r="26" spans="1:10" ht="20.100000000000001" customHeight="1" x14ac:dyDescent="0.25">
      <c r="A26" s="284"/>
      <c r="B26" s="281"/>
      <c r="C26" s="281"/>
      <c r="D26" s="274" t="s">
        <v>293</v>
      </c>
      <c r="E26" s="274"/>
      <c r="F26" s="274"/>
      <c r="G26" s="282">
        <v>50</v>
      </c>
      <c r="H26" s="282"/>
      <c r="I26" s="283">
        <v>0.2</v>
      </c>
      <c r="J26" s="283"/>
    </row>
    <row r="27" spans="1:10" ht="20.100000000000001" customHeight="1" x14ac:dyDescent="0.25">
      <c r="A27" s="284"/>
      <c r="B27" s="281"/>
      <c r="C27" s="281"/>
      <c r="D27" s="274" t="s">
        <v>294</v>
      </c>
      <c r="E27" s="274"/>
      <c r="F27" s="274"/>
      <c r="G27" s="282">
        <v>50</v>
      </c>
      <c r="H27" s="282"/>
      <c r="I27" s="283">
        <v>0.2</v>
      </c>
      <c r="J27" s="283"/>
    </row>
    <row r="28" spans="1:10" ht="20.100000000000001" customHeight="1" x14ac:dyDescent="0.25">
      <c r="A28" s="284"/>
      <c r="B28" s="281" t="s">
        <v>298</v>
      </c>
      <c r="C28" s="281"/>
      <c r="D28" s="274" t="s">
        <v>286</v>
      </c>
      <c r="E28" s="274"/>
      <c r="F28" s="274"/>
      <c r="G28" s="282">
        <v>60</v>
      </c>
      <c r="H28" s="282"/>
      <c r="I28" s="283">
        <v>0.2</v>
      </c>
      <c r="J28" s="283"/>
    </row>
    <row r="29" spans="1:10" ht="20.100000000000001" customHeight="1" x14ac:dyDescent="0.25">
      <c r="A29" s="284"/>
      <c r="B29" s="281"/>
      <c r="C29" s="281"/>
      <c r="D29" s="274" t="s">
        <v>287</v>
      </c>
      <c r="E29" s="274"/>
      <c r="F29" s="274"/>
      <c r="G29" s="282">
        <v>60</v>
      </c>
      <c r="H29" s="282"/>
      <c r="I29" s="283">
        <v>0.2</v>
      </c>
      <c r="J29" s="283"/>
    </row>
    <row r="30" spans="1:10" ht="20.100000000000001" customHeight="1" x14ac:dyDescent="0.25">
      <c r="A30" s="284"/>
      <c r="B30" s="281"/>
      <c r="C30" s="281"/>
      <c r="D30" s="274" t="s">
        <v>291</v>
      </c>
      <c r="E30" s="274"/>
      <c r="F30" s="274"/>
      <c r="G30" s="282">
        <v>80</v>
      </c>
      <c r="H30" s="282"/>
      <c r="I30" s="283">
        <v>0.2</v>
      </c>
      <c r="J30" s="283"/>
    </row>
    <row r="31" spans="1:10" ht="20.100000000000001" customHeight="1" x14ac:dyDescent="0.25">
      <c r="A31" s="284"/>
      <c r="B31" s="281"/>
      <c r="C31" s="281"/>
      <c r="D31" s="274" t="s">
        <v>292</v>
      </c>
      <c r="E31" s="274"/>
      <c r="F31" s="274"/>
      <c r="G31" s="282">
        <v>80</v>
      </c>
      <c r="H31" s="282"/>
      <c r="I31" s="283">
        <v>0.2</v>
      </c>
      <c r="J31" s="283"/>
    </row>
    <row r="32" spans="1:10" ht="20.100000000000001" customHeight="1" x14ac:dyDescent="0.25">
      <c r="A32" s="284"/>
      <c r="B32" s="281" t="s">
        <v>299</v>
      </c>
      <c r="C32" s="281"/>
      <c r="D32" s="274" t="s">
        <v>286</v>
      </c>
      <c r="E32" s="274"/>
      <c r="F32" s="274"/>
      <c r="G32" s="282">
        <v>20</v>
      </c>
      <c r="H32" s="282"/>
      <c r="I32" s="283">
        <v>0.1</v>
      </c>
      <c r="J32" s="283"/>
    </row>
    <row r="33" spans="1:10" ht="20.100000000000001" customHeight="1" x14ac:dyDescent="0.25">
      <c r="A33" s="284"/>
      <c r="B33" s="281"/>
      <c r="C33" s="281"/>
      <c r="D33" s="274" t="s">
        <v>287</v>
      </c>
      <c r="E33" s="274"/>
      <c r="F33" s="274"/>
      <c r="G33" s="282">
        <v>20</v>
      </c>
      <c r="H33" s="282"/>
      <c r="I33" s="283">
        <v>0.1</v>
      </c>
      <c r="J33" s="283"/>
    </row>
    <row r="34" spans="1:10" ht="20.100000000000001" customHeight="1" x14ac:dyDescent="0.25">
      <c r="A34" s="284"/>
      <c r="B34" s="281"/>
      <c r="C34" s="281"/>
      <c r="D34" s="274" t="s">
        <v>292</v>
      </c>
      <c r="E34" s="274"/>
      <c r="F34" s="274"/>
      <c r="G34" s="282">
        <v>30</v>
      </c>
      <c r="H34" s="282"/>
      <c r="I34" s="283">
        <v>0.1</v>
      </c>
      <c r="J34" s="283"/>
    </row>
    <row r="35" spans="1:10" ht="20.100000000000001" customHeight="1" x14ac:dyDescent="0.25">
      <c r="A35" s="1"/>
      <c r="B35" s="1"/>
      <c r="C35" s="1"/>
      <c r="D35" s="1"/>
      <c r="E35" s="1"/>
      <c r="F35" s="1"/>
      <c r="G35" s="1"/>
      <c r="H35" s="1"/>
      <c r="I35" s="1"/>
      <c r="J35" s="1"/>
    </row>
    <row r="36" spans="1:10" ht="20.100000000000001" customHeight="1" x14ac:dyDescent="0.25">
      <c r="A36" s="119" t="s">
        <v>81</v>
      </c>
      <c r="B36" s="119"/>
      <c r="C36" s="119"/>
      <c r="D36" s="119"/>
      <c r="E36" s="119"/>
      <c r="F36" s="119"/>
      <c r="G36" s="119"/>
      <c r="H36" s="119"/>
      <c r="I36" s="119"/>
      <c r="J36" s="119"/>
    </row>
    <row r="37" spans="1:10" ht="20.100000000000001" customHeight="1" x14ac:dyDescent="0.25">
      <c r="A37" s="119" t="s">
        <v>300</v>
      </c>
      <c r="B37" s="119"/>
      <c r="C37" s="119"/>
      <c r="D37" s="119"/>
      <c r="E37" s="119"/>
      <c r="F37" s="119"/>
      <c r="G37" s="119"/>
      <c r="H37" s="119"/>
      <c r="I37" s="119"/>
      <c r="J37" s="119"/>
    </row>
    <row r="38" spans="1:10" ht="20.100000000000001" customHeight="1" x14ac:dyDescent="0.25">
      <c r="A38" s="119" t="s">
        <v>301</v>
      </c>
      <c r="B38" s="119"/>
      <c r="C38" s="119"/>
      <c r="D38" s="119"/>
      <c r="E38" s="119"/>
      <c r="F38" s="119"/>
      <c r="G38" s="119"/>
      <c r="H38" s="119"/>
      <c r="I38" s="119"/>
      <c r="J38" s="119"/>
    </row>
    <row r="39" spans="1:10" ht="20.100000000000001" customHeight="1" x14ac:dyDescent="0.25">
      <c r="A39" s="119"/>
      <c r="B39" s="119"/>
      <c r="C39" s="119"/>
      <c r="D39" s="119"/>
      <c r="E39" s="119"/>
      <c r="F39" s="119"/>
      <c r="G39" s="119"/>
      <c r="H39" s="119"/>
      <c r="I39" s="119"/>
      <c r="J39" s="119"/>
    </row>
    <row r="40" spans="1:10" ht="20.100000000000001" customHeight="1" x14ac:dyDescent="0.25">
      <c r="A40" s="1"/>
      <c r="B40" s="1"/>
      <c r="C40" s="1"/>
      <c r="D40" s="1"/>
      <c r="E40" s="1"/>
      <c r="F40" s="1"/>
      <c r="G40" s="1"/>
      <c r="H40" s="1"/>
      <c r="I40" s="1"/>
      <c r="J40" s="1"/>
    </row>
    <row r="41" spans="1:10" ht="20.100000000000001" customHeight="1" x14ac:dyDescent="0.25">
      <c r="A41" s="1"/>
      <c r="B41" s="1"/>
      <c r="C41" s="1"/>
      <c r="D41" s="1"/>
      <c r="E41" s="1"/>
      <c r="F41" s="1"/>
      <c r="G41" s="1"/>
      <c r="H41" s="1"/>
      <c r="I41" s="1"/>
      <c r="J41" s="1"/>
    </row>
    <row r="42" spans="1:10" ht="20.100000000000001" customHeight="1" x14ac:dyDescent="0.25">
      <c r="A42" s="278" t="s">
        <v>302</v>
      </c>
      <c r="B42" s="278"/>
      <c r="C42" s="278"/>
      <c r="D42" s="278"/>
      <c r="E42" s="278"/>
      <c r="F42" s="278"/>
      <c r="G42" s="278"/>
      <c r="H42" s="278"/>
      <c r="I42" s="278"/>
      <c r="J42" s="278"/>
    </row>
    <row r="43" spans="1:10" ht="20.100000000000001" customHeight="1" thickBot="1" x14ac:dyDescent="0.3">
      <c r="A43" s="279"/>
      <c r="B43" s="279"/>
      <c r="C43" s="279"/>
      <c r="D43" s="279"/>
      <c r="E43" s="279"/>
      <c r="F43" s="279"/>
      <c r="G43" s="279"/>
      <c r="H43" s="279"/>
      <c r="I43" s="279"/>
      <c r="J43" s="279"/>
    </row>
    <row r="44" spans="1:10" ht="20.100000000000001" customHeight="1" x14ac:dyDescent="0.25">
      <c r="A44" s="57"/>
      <c r="B44" s="58"/>
      <c r="C44" s="58"/>
      <c r="D44" s="58"/>
      <c r="E44" s="58"/>
      <c r="F44" s="59"/>
      <c r="G44" s="59"/>
      <c r="H44" s="60"/>
      <c r="I44" s="60"/>
      <c r="J44" s="60"/>
    </row>
    <row r="45" spans="1:10" ht="20.100000000000001" customHeight="1" x14ac:dyDescent="0.25">
      <c r="A45" s="280" t="s">
        <v>303</v>
      </c>
      <c r="B45" s="280" t="s">
        <v>304</v>
      </c>
      <c r="C45" s="280"/>
      <c r="D45" s="280"/>
      <c r="E45" s="280" t="s">
        <v>305</v>
      </c>
      <c r="F45" s="280" t="s">
        <v>306</v>
      </c>
      <c r="G45" s="280"/>
      <c r="H45" s="280"/>
      <c r="I45" s="280"/>
      <c r="J45" s="280"/>
    </row>
    <row r="46" spans="1:10" ht="20.100000000000001" customHeight="1" x14ac:dyDescent="0.25">
      <c r="A46" s="280"/>
      <c r="B46" s="280"/>
      <c r="C46" s="280"/>
      <c r="D46" s="280"/>
      <c r="E46" s="280"/>
      <c r="F46" s="280"/>
      <c r="G46" s="280"/>
      <c r="H46" s="280"/>
      <c r="I46" s="280"/>
      <c r="J46" s="280"/>
    </row>
    <row r="47" spans="1:10" ht="20.100000000000001" customHeight="1" x14ac:dyDescent="0.25">
      <c r="A47" s="273" t="s">
        <v>307</v>
      </c>
      <c r="B47" s="274" t="s">
        <v>262</v>
      </c>
      <c r="C47" s="274"/>
      <c r="D47" s="274"/>
      <c r="E47" s="277">
        <v>0</v>
      </c>
      <c r="F47" s="276" t="s">
        <v>308</v>
      </c>
      <c r="G47" s="276"/>
      <c r="H47" s="276"/>
      <c r="I47" s="276"/>
      <c r="J47" s="276"/>
    </row>
    <row r="48" spans="1:10" ht="20.100000000000001" customHeight="1" x14ac:dyDescent="0.25">
      <c r="A48" s="273"/>
      <c r="B48" s="274"/>
      <c r="C48" s="274"/>
      <c r="D48" s="274"/>
      <c r="E48" s="277"/>
      <c r="F48" s="276"/>
      <c r="G48" s="276"/>
      <c r="H48" s="276"/>
      <c r="I48" s="276"/>
      <c r="J48" s="276"/>
    </row>
    <row r="49" spans="1:10" ht="20.100000000000001" customHeight="1" x14ac:dyDescent="0.25">
      <c r="A49" s="273"/>
      <c r="B49" s="274"/>
      <c r="C49" s="274"/>
      <c r="D49" s="274"/>
      <c r="E49" s="277"/>
      <c r="F49" s="276"/>
      <c r="G49" s="276"/>
      <c r="H49" s="276"/>
      <c r="I49" s="276"/>
      <c r="J49" s="276"/>
    </row>
    <row r="50" spans="1:10" ht="20.100000000000001" customHeight="1" x14ac:dyDescent="0.25">
      <c r="A50" s="273" t="s">
        <v>309</v>
      </c>
      <c r="B50" s="274" t="s">
        <v>310</v>
      </c>
      <c r="C50" s="274"/>
      <c r="D50" s="274"/>
      <c r="E50" s="277">
        <v>0.32</v>
      </c>
      <c r="F50" s="276" t="s">
        <v>311</v>
      </c>
      <c r="G50" s="276"/>
      <c r="H50" s="276"/>
      <c r="I50" s="276"/>
      <c r="J50" s="276"/>
    </row>
    <row r="51" spans="1:10" ht="20.100000000000001" customHeight="1" x14ac:dyDescent="0.25">
      <c r="A51" s="273"/>
      <c r="B51" s="274"/>
      <c r="C51" s="274"/>
      <c r="D51" s="274"/>
      <c r="E51" s="277"/>
      <c r="F51" s="276"/>
      <c r="G51" s="276"/>
      <c r="H51" s="276"/>
      <c r="I51" s="276"/>
      <c r="J51" s="276"/>
    </row>
    <row r="52" spans="1:10" ht="20.100000000000001" customHeight="1" x14ac:dyDescent="0.25">
      <c r="A52" s="273"/>
      <c r="B52" s="274"/>
      <c r="C52" s="274"/>
      <c r="D52" s="274"/>
      <c r="E52" s="277"/>
      <c r="F52" s="276"/>
      <c r="G52" s="276"/>
      <c r="H52" s="276"/>
      <c r="I52" s="276"/>
      <c r="J52" s="276"/>
    </row>
    <row r="53" spans="1:10" ht="20.100000000000001" customHeight="1" x14ac:dyDescent="0.25">
      <c r="A53" s="273" t="s">
        <v>312</v>
      </c>
      <c r="B53" s="274" t="s">
        <v>7</v>
      </c>
      <c r="C53" s="274"/>
      <c r="D53" s="274"/>
      <c r="E53" s="277">
        <v>2.52</v>
      </c>
      <c r="F53" s="276" t="s">
        <v>313</v>
      </c>
      <c r="G53" s="276"/>
      <c r="H53" s="276"/>
      <c r="I53" s="276"/>
      <c r="J53" s="276"/>
    </row>
    <row r="54" spans="1:10" ht="20.100000000000001" customHeight="1" x14ac:dyDescent="0.25">
      <c r="A54" s="273"/>
      <c r="B54" s="274"/>
      <c r="C54" s="274"/>
      <c r="D54" s="274"/>
      <c r="E54" s="277"/>
      <c r="F54" s="276"/>
      <c r="G54" s="276"/>
      <c r="H54" s="276"/>
      <c r="I54" s="276"/>
      <c r="J54" s="276"/>
    </row>
    <row r="55" spans="1:10" ht="20.100000000000001" customHeight="1" x14ac:dyDescent="0.25">
      <c r="A55" s="273"/>
      <c r="B55" s="274"/>
      <c r="C55" s="274"/>
      <c r="D55" s="274"/>
      <c r="E55" s="277"/>
      <c r="F55" s="276"/>
      <c r="G55" s="276"/>
      <c r="H55" s="276"/>
      <c r="I55" s="276"/>
      <c r="J55" s="276"/>
    </row>
    <row r="56" spans="1:10" ht="20.100000000000001" customHeight="1" x14ac:dyDescent="0.25">
      <c r="A56" s="273" t="s">
        <v>314</v>
      </c>
      <c r="B56" s="274" t="s">
        <v>315</v>
      </c>
      <c r="C56" s="274"/>
      <c r="D56" s="274"/>
      <c r="E56" s="277">
        <v>8.09</v>
      </c>
      <c r="F56" s="276" t="s">
        <v>316</v>
      </c>
      <c r="G56" s="276"/>
      <c r="H56" s="276"/>
      <c r="I56" s="276"/>
      <c r="J56" s="276"/>
    </row>
    <row r="57" spans="1:10" ht="20.100000000000001" customHeight="1" x14ac:dyDescent="0.25">
      <c r="A57" s="273"/>
      <c r="B57" s="274"/>
      <c r="C57" s="274"/>
      <c r="D57" s="274"/>
      <c r="E57" s="277"/>
      <c r="F57" s="276"/>
      <c r="G57" s="276"/>
      <c r="H57" s="276"/>
      <c r="I57" s="276"/>
      <c r="J57" s="276"/>
    </row>
    <row r="58" spans="1:10" ht="20.100000000000001" customHeight="1" x14ac:dyDescent="0.25">
      <c r="A58" s="273"/>
      <c r="B58" s="274"/>
      <c r="C58" s="274"/>
      <c r="D58" s="274"/>
      <c r="E58" s="277"/>
      <c r="F58" s="276"/>
      <c r="G58" s="276"/>
      <c r="H58" s="276"/>
      <c r="I58" s="276"/>
      <c r="J58" s="276"/>
    </row>
    <row r="59" spans="1:10" ht="20.100000000000001" customHeight="1" x14ac:dyDescent="0.25">
      <c r="A59" s="273" t="s">
        <v>317</v>
      </c>
      <c r="B59" s="274" t="s">
        <v>318</v>
      </c>
      <c r="C59" s="274"/>
      <c r="D59" s="274"/>
      <c r="E59" s="275">
        <v>18.100000000000001</v>
      </c>
      <c r="F59" s="276" t="s">
        <v>319</v>
      </c>
      <c r="G59" s="276"/>
      <c r="H59" s="276"/>
      <c r="I59" s="276"/>
      <c r="J59" s="276"/>
    </row>
    <row r="60" spans="1:10" ht="20.100000000000001" customHeight="1" x14ac:dyDescent="0.25">
      <c r="A60" s="273"/>
      <c r="B60" s="274"/>
      <c r="C60" s="274"/>
      <c r="D60" s="274"/>
      <c r="E60" s="275"/>
      <c r="F60" s="276"/>
      <c r="G60" s="276"/>
      <c r="H60" s="276"/>
      <c r="I60" s="276"/>
      <c r="J60" s="276"/>
    </row>
    <row r="61" spans="1:10" ht="20.100000000000001" customHeight="1" x14ac:dyDescent="0.25">
      <c r="A61" s="273"/>
      <c r="B61" s="274"/>
      <c r="C61" s="274"/>
      <c r="D61" s="274"/>
      <c r="E61" s="275"/>
      <c r="F61" s="276"/>
      <c r="G61" s="276"/>
      <c r="H61" s="276"/>
      <c r="I61" s="276"/>
      <c r="J61" s="276"/>
    </row>
    <row r="62" spans="1:10" ht="20.100000000000001" customHeight="1" x14ac:dyDescent="0.25">
      <c r="A62" s="273"/>
      <c r="B62" s="274"/>
      <c r="C62" s="274"/>
      <c r="D62" s="274"/>
      <c r="E62" s="275"/>
      <c r="F62" s="276"/>
      <c r="G62" s="276"/>
      <c r="H62" s="276"/>
      <c r="I62" s="276"/>
      <c r="J62" s="276"/>
    </row>
    <row r="63" spans="1:10" ht="20.100000000000001" customHeight="1" x14ac:dyDescent="0.25">
      <c r="A63" s="273" t="s">
        <v>320</v>
      </c>
      <c r="B63" s="274" t="s">
        <v>321</v>
      </c>
      <c r="C63" s="274"/>
      <c r="D63" s="274"/>
      <c r="E63" s="275">
        <v>33.200000000000003</v>
      </c>
      <c r="F63" s="276" t="s">
        <v>322</v>
      </c>
      <c r="G63" s="276"/>
      <c r="H63" s="276"/>
      <c r="I63" s="276"/>
      <c r="J63" s="276"/>
    </row>
    <row r="64" spans="1:10" ht="20.100000000000001" customHeight="1" x14ac:dyDescent="0.25">
      <c r="A64" s="273"/>
      <c r="B64" s="274"/>
      <c r="C64" s="274"/>
      <c r="D64" s="274"/>
      <c r="E64" s="275"/>
      <c r="F64" s="276"/>
      <c r="G64" s="276"/>
      <c r="H64" s="276"/>
      <c r="I64" s="276"/>
      <c r="J64" s="276"/>
    </row>
    <row r="65" spans="1:10" ht="20.100000000000001" customHeight="1" x14ac:dyDescent="0.25">
      <c r="A65" s="273"/>
      <c r="B65" s="274"/>
      <c r="C65" s="274"/>
      <c r="D65" s="274"/>
      <c r="E65" s="275"/>
      <c r="F65" s="276"/>
      <c r="G65" s="276"/>
      <c r="H65" s="276"/>
      <c r="I65" s="276"/>
      <c r="J65" s="276"/>
    </row>
    <row r="66" spans="1:10" ht="20.100000000000001" customHeight="1" x14ac:dyDescent="0.25">
      <c r="A66" s="273"/>
      <c r="B66" s="274"/>
      <c r="C66" s="274"/>
      <c r="D66" s="274"/>
      <c r="E66" s="275"/>
      <c r="F66" s="276"/>
      <c r="G66" s="276"/>
      <c r="H66" s="276"/>
      <c r="I66" s="276"/>
      <c r="J66" s="276"/>
    </row>
    <row r="67" spans="1:10" ht="20.100000000000001" customHeight="1" x14ac:dyDescent="0.25">
      <c r="A67" s="273"/>
      <c r="B67" s="274"/>
      <c r="C67" s="274"/>
      <c r="D67" s="274"/>
      <c r="E67" s="275"/>
      <c r="F67" s="276"/>
      <c r="G67" s="276"/>
      <c r="H67" s="276"/>
      <c r="I67" s="276"/>
      <c r="J67" s="276"/>
    </row>
    <row r="68" spans="1:10" ht="20.100000000000001" customHeight="1" x14ac:dyDescent="0.25">
      <c r="A68" s="273"/>
      <c r="B68" s="274"/>
      <c r="C68" s="274"/>
      <c r="D68" s="274"/>
      <c r="E68" s="275"/>
      <c r="F68" s="276"/>
      <c r="G68" s="276"/>
      <c r="H68" s="276"/>
      <c r="I68" s="276"/>
      <c r="J68" s="276"/>
    </row>
    <row r="69" spans="1:10" ht="20.100000000000001" customHeight="1" x14ac:dyDescent="0.25">
      <c r="A69" s="273" t="s">
        <v>323</v>
      </c>
      <c r="B69" s="274" t="s">
        <v>324</v>
      </c>
      <c r="C69" s="274"/>
      <c r="D69" s="274"/>
      <c r="E69" s="275">
        <v>52.6</v>
      </c>
      <c r="F69" s="276" t="s">
        <v>325</v>
      </c>
      <c r="G69" s="276"/>
      <c r="H69" s="276"/>
      <c r="I69" s="276"/>
      <c r="J69" s="276"/>
    </row>
    <row r="70" spans="1:10" ht="20.100000000000001" customHeight="1" x14ac:dyDescent="0.25">
      <c r="A70" s="273"/>
      <c r="B70" s="274"/>
      <c r="C70" s="274"/>
      <c r="D70" s="274"/>
      <c r="E70" s="275"/>
      <c r="F70" s="276"/>
      <c r="G70" s="276"/>
      <c r="H70" s="276"/>
      <c r="I70" s="276"/>
      <c r="J70" s="276"/>
    </row>
    <row r="71" spans="1:10" ht="20.100000000000001" customHeight="1" x14ac:dyDescent="0.25">
      <c r="A71" s="273"/>
      <c r="B71" s="274"/>
      <c r="C71" s="274"/>
      <c r="D71" s="274"/>
      <c r="E71" s="275"/>
      <c r="F71" s="276"/>
      <c r="G71" s="276"/>
      <c r="H71" s="276"/>
      <c r="I71" s="276"/>
      <c r="J71" s="276"/>
    </row>
    <row r="72" spans="1:10" ht="20.100000000000001" customHeight="1" x14ac:dyDescent="0.25">
      <c r="A72" s="273"/>
      <c r="B72" s="274"/>
      <c r="C72" s="274"/>
      <c r="D72" s="274"/>
      <c r="E72" s="275"/>
      <c r="F72" s="276"/>
      <c r="G72" s="276"/>
      <c r="H72" s="276"/>
      <c r="I72" s="276"/>
      <c r="J72" s="276"/>
    </row>
    <row r="73" spans="1:10" ht="20.100000000000001" customHeight="1" x14ac:dyDescent="0.25">
      <c r="A73" s="273"/>
      <c r="B73" s="274"/>
      <c r="C73" s="274"/>
      <c r="D73" s="274"/>
      <c r="E73" s="275"/>
      <c r="F73" s="276"/>
      <c r="G73" s="276"/>
      <c r="H73" s="276"/>
      <c r="I73" s="276"/>
      <c r="J73" s="276"/>
    </row>
    <row r="74" spans="1:10" ht="20.100000000000001" customHeight="1" x14ac:dyDescent="0.25">
      <c r="A74" s="273"/>
      <c r="B74" s="274"/>
      <c r="C74" s="274"/>
      <c r="D74" s="274"/>
      <c r="E74" s="275"/>
      <c r="F74" s="276"/>
      <c r="G74" s="276"/>
      <c r="H74" s="276"/>
      <c r="I74" s="276"/>
      <c r="J74" s="276"/>
    </row>
    <row r="75" spans="1:10" ht="20.100000000000001" customHeight="1" x14ac:dyDescent="0.25">
      <c r="A75" s="273" t="s">
        <v>326</v>
      </c>
      <c r="B75" s="274" t="s">
        <v>327</v>
      </c>
      <c r="C75" s="274"/>
      <c r="D75" s="274"/>
      <c r="E75" s="275">
        <v>75.2</v>
      </c>
      <c r="F75" s="276" t="s">
        <v>328</v>
      </c>
      <c r="G75" s="276"/>
      <c r="H75" s="276"/>
      <c r="I75" s="276"/>
      <c r="J75" s="276"/>
    </row>
    <row r="76" spans="1:10" ht="20.100000000000001" customHeight="1" x14ac:dyDescent="0.25">
      <c r="A76" s="273"/>
      <c r="B76" s="274"/>
      <c r="C76" s="274"/>
      <c r="D76" s="274"/>
      <c r="E76" s="275"/>
      <c r="F76" s="276"/>
      <c r="G76" s="276"/>
      <c r="H76" s="276"/>
      <c r="I76" s="276"/>
      <c r="J76" s="276"/>
    </row>
    <row r="77" spans="1:10" ht="20.100000000000001" customHeight="1" x14ac:dyDescent="0.25">
      <c r="A77" s="273"/>
      <c r="B77" s="274"/>
      <c r="C77" s="274"/>
      <c r="D77" s="274"/>
      <c r="E77" s="275"/>
      <c r="F77" s="276"/>
      <c r="G77" s="276"/>
      <c r="H77" s="276"/>
      <c r="I77" s="276"/>
      <c r="J77" s="276"/>
    </row>
    <row r="78" spans="1:10" ht="20.100000000000001" customHeight="1" x14ac:dyDescent="0.25">
      <c r="A78" s="273"/>
      <c r="B78" s="274"/>
      <c r="C78" s="274"/>
      <c r="D78" s="274"/>
      <c r="E78" s="275"/>
      <c r="F78" s="276"/>
      <c r="G78" s="276"/>
      <c r="H78" s="276"/>
      <c r="I78" s="276"/>
      <c r="J78" s="276"/>
    </row>
    <row r="79" spans="1:10" ht="20.100000000000001" customHeight="1" thickBot="1" x14ac:dyDescent="0.3">
      <c r="A79" s="6" t="s">
        <v>83</v>
      </c>
      <c r="B79" s="271" t="s">
        <v>329</v>
      </c>
      <c r="C79" s="271"/>
      <c r="D79" s="271"/>
      <c r="E79" s="61">
        <v>100</v>
      </c>
      <c r="F79" s="272" t="s">
        <v>330</v>
      </c>
      <c r="G79" s="272"/>
      <c r="H79" s="272"/>
      <c r="I79" s="272"/>
      <c r="J79" s="272"/>
    </row>
    <row r="80" spans="1:10" ht="20.100000000000001" customHeight="1" x14ac:dyDescent="0.25">
      <c r="A80" s="1"/>
      <c r="B80" s="1"/>
      <c r="C80" s="1"/>
      <c r="D80" s="1"/>
      <c r="E80" s="1"/>
      <c r="F80" s="1"/>
      <c r="G80" s="1"/>
      <c r="H80" s="1"/>
      <c r="I80" s="1"/>
      <c r="J80" s="1"/>
    </row>
    <row r="81" spans="1:10" ht="20.100000000000001" customHeight="1" x14ac:dyDescent="0.25">
      <c r="A81" s="119" t="s">
        <v>81</v>
      </c>
      <c r="B81" s="119"/>
      <c r="C81" s="119"/>
      <c r="D81" s="119"/>
      <c r="E81" s="119"/>
      <c r="F81" s="119"/>
      <c r="G81" s="119"/>
      <c r="H81" s="119"/>
      <c r="I81" s="119"/>
      <c r="J81" s="119"/>
    </row>
    <row r="82" spans="1:10" ht="20.100000000000001" customHeight="1" x14ac:dyDescent="0.25">
      <c r="A82" s="119" t="s">
        <v>331</v>
      </c>
      <c r="B82" s="119"/>
      <c r="C82" s="119"/>
      <c r="D82" s="119"/>
      <c r="E82" s="119"/>
      <c r="F82" s="119"/>
      <c r="G82" s="119"/>
      <c r="H82" s="119"/>
      <c r="I82" s="119"/>
      <c r="J82" s="119"/>
    </row>
    <row r="83" spans="1:10" ht="20.100000000000001" customHeight="1" x14ac:dyDescent="0.25">
      <c r="A83" s="119" t="s">
        <v>332</v>
      </c>
      <c r="B83" s="119"/>
      <c r="C83" s="119"/>
      <c r="D83" s="119"/>
      <c r="E83" s="119"/>
      <c r="F83" s="119"/>
      <c r="G83" s="119"/>
      <c r="H83" s="119"/>
      <c r="I83" s="119"/>
      <c r="J83" s="119"/>
    </row>
    <row r="84" spans="1:10" ht="20.100000000000001" customHeight="1" x14ac:dyDescent="0.25">
      <c r="A84" s="119" t="s">
        <v>333</v>
      </c>
      <c r="B84" s="119"/>
      <c r="C84" s="119"/>
      <c r="D84" s="119"/>
      <c r="E84" s="119"/>
      <c r="F84" s="119"/>
      <c r="G84" s="119"/>
      <c r="H84" s="119"/>
      <c r="I84" s="119"/>
      <c r="J84" s="119"/>
    </row>
    <row r="85" spans="1:10" ht="20.100000000000001" customHeight="1" x14ac:dyDescent="0.25">
      <c r="A85" s="1"/>
      <c r="B85" s="1"/>
      <c r="C85" s="1"/>
      <c r="D85" s="1"/>
      <c r="E85" s="1"/>
      <c r="F85" s="1"/>
      <c r="G85" s="1"/>
      <c r="H85" s="1"/>
      <c r="I85" s="1"/>
      <c r="J85" s="1"/>
    </row>
    <row r="86" spans="1:10" ht="20.100000000000001" customHeight="1" x14ac:dyDescent="0.25">
      <c r="A86" s="119" t="s">
        <v>274</v>
      </c>
      <c r="B86" s="119"/>
      <c r="C86" s="119"/>
      <c r="D86" s="119"/>
      <c r="E86" s="119"/>
      <c r="F86" s="119"/>
      <c r="G86" s="119"/>
      <c r="H86" s="119"/>
      <c r="I86" s="119"/>
      <c r="J86" s="119"/>
    </row>
    <row r="87" spans="1:10" ht="20.100000000000001" customHeight="1" x14ac:dyDescent="0.25">
      <c r="A87" s="119" t="s">
        <v>334</v>
      </c>
      <c r="B87" s="119"/>
      <c r="C87" s="119"/>
      <c r="D87" s="119"/>
      <c r="E87" s="119"/>
      <c r="F87" s="119"/>
      <c r="G87" s="119"/>
      <c r="H87" s="119"/>
      <c r="I87" s="119"/>
      <c r="J87" s="119"/>
    </row>
    <row r="88" spans="1:10" ht="20.100000000000001" customHeight="1" x14ac:dyDescent="0.25">
      <c r="A88" s="119"/>
      <c r="B88" s="119"/>
      <c r="C88" s="119"/>
      <c r="D88" s="119"/>
      <c r="E88" s="119"/>
      <c r="F88" s="119"/>
      <c r="G88" s="119"/>
      <c r="H88" s="119"/>
      <c r="I88" s="119"/>
      <c r="J88" s="119"/>
    </row>
    <row r="89" spans="1:10" ht="20.100000000000001" customHeight="1" x14ac:dyDescent="0.25">
      <c r="A89" s="119"/>
      <c r="B89" s="119"/>
      <c r="C89" s="119"/>
      <c r="D89" s="119"/>
      <c r="E89" s="119"/>
      <c r="F89" s="119"/>
      <c r="G89" s="119"/>
      <c r="H89" s="119"/>
      <c r="I89" s="119"/>
      <c r="J89" s="119"/>
    </row>
    <row r="90" spans="1:10" ht="20.100000000000001" customHeight="1" x14ac:dyDescent="0.25">
      <c r="A90" s="1"/>
      <c r="B90" s="1"/>
      <c r="C90" s="1"/>
      <c r="D90" s="1"/>
      <c r="E90" s="1"/>
      <c r="F90" s="1"/>
      <c r="G90" s="1"/>
      <c r="H90" s="1"/>
      <c r="I90" s="1"/>
      <c r="J90" s="1"/>
    </row>
    <row r="91" spans="1:10" ht="20.100000000000001" customHeight="1" x14ac:dyDescent="0.25">
      <c r="A91" s="1"/>
      <c r="B91" s="1"/>
      <c r="C91" s="1"/>
      <c r="D91" s="1"/>
      <c r="E91" s="1"/>
      <c r="F91" s="1"/>
      <c r="G91" s="1"/>
      <c r="H91" s="1"/>
      <c r="I91" s="1"/>
      <c r="J91" s="1"/>
    </row>
    <row r="92" spans="1:10" ht="20.100000000000001" customHeight="1" x14ac:dyDescent="0.25">
      <c r="A92" s="270" t="s">
        <v>335</v>
      </c>
      <c r="B92" s="270"/>
      <c r="C92" s="270"/>
      <c r="D92" s="270"/>
      <c r="E92" s="270"/>
      <c r="F92" s="270"/>
      <c r="G92" s="270"/>
      <c r="H92" s="270"/>
      <c r="I92" s="270"/>
      <c r="J92" s="270"/>
    </row>
    <row r="93" spans="1:10" ht="20.100000000000001" customHeight="1" x14ac:dyDescent="0.25">
      <c r="A93" s="1"/>
      <c r="B93" s="1"/>
      <c r="C93" s="1"/>
      <c r="D93" s="1"/>
      <c r="E93" s="1"/>
      <c r="F93" s="1"/>
      <c r="G93" s="1"/>
      <c r="H93" s="1"/>
      <c r="I93" s="1"/>
      <c r="J93" s="1"/>
    </row>
    <row r="94" spans="1:10" ht="20.100000000000001" customHeight="1" x14ac:dyDescent="0.25">
      <c r="A94" s="119" t="s">
        <v>477</v>
      </c>
      <c r="B94" s="119"/>
      <c r="C94" s="119"/>
      <c r="D94" s="119"/>
      <c r="E94" s="119"/>
      <c r="F94" s="119"/>
      <c r="G94" s="119"/>
      <c r="H94" s="119"/>
      <c r="I94" s="119"/>
      <c r="J94" s="119"/>
    </row>
    <row r="95" spans="1:10" ht="20.100000000000001" customHeight="1" x14ac:dyDescent="0.25">
      <c r="A95" s="119"/>
      <c r="B95" s="119"/>
      <c r="C95" s="119"/>
      <c r="D95" s="119"/>
      <c r="E95" s="119"/>
      <c r="F95" s="119"/>
      <c r="G95" s="119"/>
      <c r="H95" s="119"/>
      <c r="I95" s="119"/>
      <c r="J95" s="119"/>
    </row>
    <row r="96" spans="1:10" ht="20.100000000000001" customHeight="1" x14ac:dyDescent="0.25">
      <c r="A96" s="119"/>
      <c r="B96" s="119"/>
      <c r="C96" s="119"/>
      <c r="D96" s="119"/>
      <c r="E96" s="119"/>
      <c r="F96" s="119"/>
      <c r="G96" s="119"/>
      <c r="H96" s="119"/>
      <c r="I96" s="119"/>
      <c r="J96" s="119"/>
    </row>
    <row r="97" spans="1:10" ht="20.100000000000001" customHeight="1" x14ac:dyDescent="0.25">
      <c r="A97" s="119"/>
      <c r="B97" s="119"/>
      <c r="C97" s="119"/>
      <c r="D97" s="119"/>
      <c r="E97" s="119"/>
      <c r="F97" s="119"/>
      <c r="G97" s="119"/>
      <c r="H97" s="119"/>
      <c r="I97" s="119"/>
      <c r="J97" s="119"/>
    </row>
    <row r="98" spans="1:10" ht="20.100000000000001" customHeight="1" x14ac:dyDescent="0.25">
      <c r="A98" s="119"/>
      <c r="B98" s="119"/>
      <c r="C98" s="119"/>
      <c r="D98" s="119"/>
      <c r="E98" s="119"/>
      <c r="F98" s="119"/>
      <c r="G98" s="119"/>
      <c r="H98" s="119"/>
      <c r="I98" s="119"/>
      <c r="J98" s="119"/>
    </row>
    <row r="99" spans="1:10" ht="20.100000000000001" customHeight="1" x14ac:dyDescent="0.25">
      <c r="A99" s="119"/>
      <c r="B99" s="119"/>
      <c r="C99" s="119"/>
      <c r="D99" s="119"/>
      <c r="E99" s="119"/>
      <c r="F99" s="119"/>
      <c r="G99" s="119"/>
      <c r="H99" s="119"/>
      <c r="I99" s="119"/>
      <c r="J99" s="119"/>
    </row>
    <row r="100" spans="1:10" ht="20.100000000000001" customHeight="1" x14ac:dyDescent="0.25">
      <c r="A100" s="1"/>
      <c r="B100" s="1"/>
      <c r="C100" s="1"/>
      <c r="D100" s="1"/>
      <c r="E100" s="1"/>
      <c r="F100" s="1"/>
      <c r="G100" s="1"/>
      <c r="H100" s="1"/>
      <c r="I100" s="1"/>
      <c r="J100" s="1"/>
    </row>
    <row r="101" spans="1:10" ht="20.100000000000001" customHeight="1" x14ac:dyDescent="0.25">
      <c r="A101" s="264" t="s">
        <v>336</v>
      </c>
      <c r="B101" s="264"/>
      <c r="C101" s="264"/>
      <c r="D101" s="264"/>
      <c r="E101" s="264"/>
      <c r="F101" s="264"/>
      <c r="G101" s="264"/>
      <c r="H101" s="264"/>
      <c r="I101" s="264"/>
      <c r="J101" s="264"/>
    </row>
    <row r="102" spans="1:10" ht="20.100000000000001" customHeight="1" x14ac:dyDescent="0.25">
      <c r="A102" s="264"/>
      <c r="B102" s="264"/>
      <c r="C102" s="264"/>
      <c r="D102" s="264"/>
      <c r="E102" s="264"/>
      <c r="F102" s="264"/>
      <c r="G102" s="264"/>
      <c r="H102" s="264"/>
      <c r="I102" s="264"/>
      <c r="J102" s="264"/>
    </row>
    <row r="103" spans="1:10" ht="20.100000000000001" customHeight="1" x14ac:dyDescent="0.25">
      <c r="A103" s="264"/>
      <c r="B103" s="264"/>
      <c r="C103" s="264"/>
      <c r="D103" s="264"/>
      <c r="E103" s="264"/>
      <c r="F103" s="264"/>
      <c r="G103" s="264"/>
      <c r="H103" s="264"/>
      <c r="I103" s="264"/>
      <c r="J103" s="264"/>
    </row>
    <row r="104" spans="1:10" ht="20.100000000000001" customHeight="1" x14ac:dyDescent="0.25">
      <c r="A104" s="264" t="s">
        <v>337</v>
      </c>
      <c r="B104" s="264"/>
      <c r="C104" s="264" t="s">
        <v>338</v>
      </c>
      <c r="D104" s="264"/>
      <c r="E104" s="264" t="s">
        <v>339</v>
      </c>
      <c r="F104" s="264"/>
      <c r="G104" s="264" t="s">
        <v>340</v>
      </c>
      <c r="H104" s="264"/>
      <c r="I104" s="264"/>
      <c r="J104" s="264"/>
    </row>
    <row r="105" spans="1:10" ht="20.100000000000001" customHeight="1" x14ac:dyDescent="0.25">
      <c r="A105" s="264"/>
      <c r="B105" s="264"/>
      <c r="C105" s="264"/>
      <c r="D105" s="264"/>
      <c r="E105" s="264"/>
      <c r="F105" s="264"/>
      <c r="G105" s="264"/>
      <c r="H105" s="264"/>
      <c r="I105" s="264"/>
      <c r="J105" s="264"/>
    </row>
    <row r="106" spans="1:10" ht="20.100000000000001" customHeight="1" x14ac:dyDescent="0.25">
      <c r="A106" s="264"/>
      <c r="B106" s="264"/>
      <c r="C106" s="264"/>
      <c r="D106" s="264"/>
      <c r="E106" s="264"/>
      <c r="F106" s="264"/>
      <c r="G106" s="264" t="s">
        <v>341</v>
      </c>
      <c r="H106" s="264"/>
      <c r="I106" s="264" t="s">
        <v>342</v>
      </c>
      <c r="J106" s="264"/>
    </row>
    <row r="107" spans="1:10" ht="20.100000000000001" customHeight="1" x14ac:dyDescent="0.25">
      <c r="A107" s="268">
        <v>0</v>
      </c>
      <c r="B107" s="268"/>
      <c r="C107" s="263" t="s">
        <v>307</v>
      </c>
      <c r="D107" s="263"/>
      <c r="E107" s="269">
        <v>1</v>
      </c>
      <c r="F107" s="269"/>
      <c r="G107" s="269" t="s">
        <v>343</v>
      </c>
      <c r="H107" s="269"/>
      <c r="I107" s="269" t="s">
        <v>344</v>
      </c>
      <c r="J107" s="269"/>
    </row>
    <row r="108" spans="1:10" ht="20.100000000000001" customHeight="1" x14ac:dyDescent="0.25">
      <c r="A108" s="268">
        <v>-3.2000000000000002E-3</v>
      </c>
      <c r="B108" s="268"/>
      <c r="C108" s="263" t="s">
        <v>309</v>
      </c>
      <c r="D108" s="263"/>
      <c r="E108" s="269">
        <v>1.5</v>
      </c>
      <c r="F108" s="269"/>
      <c r="G108" s="269" t="s">
        <v>345</v>
      </c>
      <c r="H108" s="269"/>
      <c r="I108" s="269" t="s">
        <v>346</v>
      </c>
      <c r="J108" s="269"/>
    </row>
    <row r="109" spans="1:10" ht="20.100000000000001" customHeight="1" x14ac:dyDescent="0.25">
      <c r="A109" s="268">
        <v>-2.52E-2</v>
      </c>
      <c r="B109" s="268"/>
      <c r="C109" s="263" t="s">
        <v>312</v>
      </c>
      <c r="D109" s="263"/>
      <c r="E109" s="269">
        <v>2</v>
      </c>
      <c r="F109" s="269"/>
      <c r="G109" s="269" t="s">
        <v>68</v>
      </c>
      <c r="H109" s="269"/>
      <c r="I109" s="269" t="s">
        <v>309</v>
      </c>
      <c r="J109" s="269"/>
    </row>
    <row r="110" spans="1:10" ht="20.100000000000001" customHeight="1" x14ac:dyDescent="0.25">
      <c r="A110" s="268">
        <v>-8.09E-2</v>
      </c>
      <c r="B110" s="268"/>
      <c r="C110" s="263" t="s">
        <v>314</v>
      </c>
      <c r="D110" s="263"/>
      <c r="E110" s="269">
        <v>2.5</v>
      </c>
      <c r="F110" s="269"/>
      <c r="G110" s="269" t="s">
        <v>347</v>
      </c>
      <c r="H110" s="269"/>
      <c r="I110" s="269" t="s">
        <v>83</v>
      </c>
      <c r="J110" s="269"/>
    </row>
    <row r="111" spans="1:10" ht="20.100000000000001" customHeight="1" x14ac:dyDescent="0.25">
      <c r="A111" s="268">
        <v>-0.18099999999999999</v>
      </c>
      <c r="B111" s="268"/>
      <c r="C111" s="263" t="s">
        <v>317</v>
      </c>
      <c r="D111" s="263"/>
      <c r="E111" s="269">
        <v>3</v>
      </c>
      <c r="F111" s="269"/>
      <c r="G111" s="269" t="s">
        <v>7</v>
      </c>
      <c r="H111" s="269"/>
      <c r="I111" s="269" t="s">
        <v>348</v>
      </c>
      <c r="J111" s="269"/>
    </row>
    <row r="112" spans="1:10" ht="20.100000000000001" customHeight="1" x14ac:dyDescent="0.25">
      <c r="A112" s="268">
        <v>-0.33200000000000002</v>
      </c>
      <c r="B112" s="268"/>
      <c r="C112" s="263" t="s">
        <v>320</v>
      </c>
      <c r="D112" s="263"/>
      <c r="E112" s="269">
        <v>3.5</v>
      </c>
      <c r="F112" s="269"/>
      <c r="G112" s="269" t="s">
        <v>349</v>
      </c>
      <c r="H112" s="269"/>
      <c r="I112" s="269" t="s">
        <v>314</v>
      </c>
      <c r="J112" s="269"/>
    </row>
    <row r="113" spans="1:10" ht="20.100000000000001" customHeight="1" x14ac:dyDescent="0.25">
      <c r="A113" s="268">
        <v>-0.52600000000000002</v>
      </c>
      <c r="B113" s="268"/>
      <c r="C113" s="263" t="s">
        <v>323</v>
      </c>
      <c r="D113" s="263"/>
      <c r="E113" s="269">
        <v>4</v>
      </c>
      <c r="F113" s="269"/>
      <c r="G113" s="269" t="s">
        <v>350</v>
      </c>
      <c r="H113" s="269"/>
      <c r="I113" s="269" t="s">
        <v>351</v>
      </c>
      <c r="J113" s="269"/>
    </row>
    <row r="114" spans="1:10" ht="20.100000000000001" customHeight="1" x14ac:dyDescent="0.25">
      <c r="A114" s="268">
        <v>-0.752</v>
      </c>
      <c r="B114" s="268"/>
      <c r="C114" s="263" t="s">
        <v>326</v>
      </c>
      <c r="D114" s="263"/>
      <c r="E114" s="269">
        <v>4.5</v>
      </c>
      <c r="F114" s="269"/>
      <c r="G114" s="269" t="s">
        <v>352</v>
      </c>
      <c r="H114" s="269"/>
      <c r="I114" s="269" t="s">
        <v>353</v>
      </c>
      <c r="J114" s="269"/>
    </row>
    <row r="115" spans="1:10" ht="20.100000000000001" customHeight="1" x14ac:dyDescent="0.25">
      <c r="A115" s="268">
        <v>-1</v>
      </c>
      <c r="B115" s="268"/>
      <c r="C115" s="263" t="s">
        <v>83</v>
      </c>
      <c r="D115" s="263"/>
      <c r="E115" s="269">
        <v>5</v>
      </c>
      <c r="F115" s="269"/>
      <c r="G115" s="269" t="s">
        <v>354</v>
      </c>
      <c r="H115" s="269"/>
      <c r="I115" s="269" t="s">
        <v>355</v>
      </c>
      <c r="J115" s="269"/>
    </row>
    <row r="116" spans="1:10" ht="20.100000000000001" customHeight="1" x14ac:dyDescent="0.25">
      <c r="A116" s="1"/>
      <c r="B116" s="1"/>
      <c r="C116" s="1"/>
      <c r="D116" s="1"/>
      <c r="E116" s="1"/>
      <c r="F116" s="1"/>
      <c r="G116" s="1"/>
      <c r="H116" s="1"/>
      <c r="I116" s="1"/>
      <c r="J116" s="1"/>
    </row>
    <row r="117" spans="1:10" ht="20.100000000000001" customHeight="1" x14ac:dyDescent="0.25">
      <c r="A117" s="1"/>
      <c r="B117" s="1"/>
      <c r="C117" s="1"/>
      <c r="D117" s="1"/>
      <c r="E117" s="1"/>
      <c r="F117" s="1"/>
      <c r="G117" s="1"/>
      <c r="H117" s="1"/>
      <c r="I117" s="1"/>
      <c r="J117" s="1"/>
    </row>
    <row r="118" spans="1:10" ht="20.100000000000001" customHeight="1" x14ac:dyDescent="0.25">
      <c r="A118" s="264" t="s">
        <v>356</v>
      </c>
      <c r="B118" s="265" t="s">
        <v>357</v>
      </c>
      <c r="C118" s="266"/>
      <c r="D118" s="266"/>
      <c r="E118" s="266"/>
      <c r="F118" s="266"/>
      <c r="G118" s="266"/>
      <c r="H118" s="266"/>
      <c r="I118" s="266"/>
      <c r="J118" s="267"/>
    </row>
    <row r="119" spans="1:10" ht="20.100000000000001" customHeight="1" x14ac:dyDescent="0.25">
      <c r="A119" s="264"/>
      <c r="B119" s="263" t="s">
        <v>478</v>
      </c>
      <c r="C119" s="263"/>
      <c r="D119" s="263"/>
      <c r="E119" s="263"/>
      <c r="F119" s="263"/>
      <c r="G119" s="263"/>
      <c r="H119" s="263"/>
      <c r="I119" s="263"/>
      <c r="J119" s="263"/>
    </row>
    <row r="120" spans="1:10" ht="20.100000000000001" customHeight="1" x14ac:dyDescent="0.25">
      <c r="A120" s="264"/>
      <c r="B120" s="264" t="s">
        <v>358</v>
      </c>
      <c r="C120" s="264"/>
      <c r="D120" s="264"/>
      <c r="E120" s="264"/>
      <c r="F120" s="264"/>
      <c r="G120" s="264"/>
      <c r="H120" s="264"/>
      <c r="I120" s="264"/>
      <c r="J120" s="264"/>
    </row>
    <row r="121" spans="1:10" ht="20.100000000000001" customHeight="1" x14ac:dyDescent="0.25">
      <c r="A121" s="264"/>
      <c r="B121" s="62" t="s">
        <v>307</v>
      </c>
      <c r="C121" s="62" t="s">
        <v>309</v>
      </c>
      <c r="D121" s="62" t="s">
        <v>312</v>
      </c>
      <c r="E121" s="62" t="s">
        <v>314</v>
      </c>
      <c r="F121" s="62" t="s">
        <v>317</v>
      </c>
      <c r="G121" s="62" t="s">
        <v>320</v>
      </c>
      <c r="H121" s="62" t="s">
        <v>323</v>
      </c>
      <c r="I121" s="62" t="s">
        <v>326</v>
      </c>
      <c r="J121" s="62" t="s">
        <v>83</v>
      </c>
    </row>
    <row r="122" spans="1:10" ht="20.100000000000001" customHeight="1" x14ac:dyDescent="0.25">
      <c r="A122" s="63">
        <v>0</v>
      </c>
      <c r="B122" s="64">
        <v>0</v>
      </c>
      <c r="C122" s="64">
        <v>0.32</v>
      </c>
      <c r="D122" s="64">
        <v>2.52</v>
      </c>
      <c r="E122" s="64">
        <v>8.09</v>
      </c>
      <c r="F122" s="64">
        <v>18.100000000000001</v>
      </c>
      <c r="G122" s="64">
        <v>33.200000000000003</v>
      </c>
      <c r="H122" s="64">
        <v>52.6</v>
      </c>
      <c r="I122" s="64">
        <v>75.2</v>
      </c>
      <c r="J122" s="64">
        <v>100</v>
      </c>
    </row>
    <row r="123" spans="1:10" ht="20.100000000000001" customHeight="1" x14ac:dyDescent="0.25">
      <c r="A123" s="63">
        <f>A122+0.02</f>
        <v>0.02</v>
      </c>
      <c r="B123" s="64">
        <f>((1/2)*((A123)+(A123^2)))*100</f>
        <v>1.02</v>
      </c>
      <c r="C123" s="64">
        <f>$B123+((100-$B123)*C$122/100)</f>
        <v>1.3367360000000001</v>
      </c>
      <c r="D123" s="64">
        <f t="shared" ref="D123:J138" si="0">$B123+((100-$B123)*D$122/100)</f>
        <v>3.5142960000000003</v>
      </c>
      <c r="E123" s="64">
        <f t="shared" si="0"/>
        <v>9.0274819999999991</v>
      </c>
      <c r="F123" s="64">
        <f t="shared" si="0"/>
        <v>18.935380000000002</v>
      </c>
      <c r="G123" s="64">
        <f t="shared" si="0"/>
        <v>33.881360000000008</v>
      </c>
      <c r="H123" s="64">
        <f t="shared" si="0"/>
        <v>53.083480000000002</v>
      </c>
      <c r="I123" s="64">
        <f t="shared" si="0"/>
        <v>75.452960000000004</v>
      </c>
      <c r="J123" s="64">
        <f t="shared" si="0"/>
        <v>100</v>
      </c>
    </row>
    <row r="124" spans="1:10" ht="20.100000000000001" customHeight="1" x14ac:dyDescent="0.25">
      <c r="A124" s="63">
        <f t="shared" ref="A124:A172" si="1">A123+0.02</f>
        <v>0.04</v>
      </c>
      <c r="B124" s="64">
        <f t="shared" ref="B124:B172" si="2">((1/2)*((A124)+(A124^2)))*100</f>
        <v>2.08</v>
      </c>
      <c r="C124" s="64">
        <f t="shared" ref="C124:J155" si="3">$B124+((100-$B124)*C$122/100)</f>
        <v>2.3933439999999999</v>
      </c>
      <c r="D124" s="64">
        <f t="shared" si="0"/>
        <v>4.5475840000000005</v>
      </c>
      <c r="E124" s="64">
        <f t="shared" si="0"/>
        <v>10.001728</v>
      </c>
      <c r="F124" s="64">
        <f t="shared" si="0"/>
        <v>19.803519999999999</v>
      </c>
      <c r="G124" s="64">
        <f t="shared" si="0"/>
        <v>34.589440000000003</v>
      </c>
      <c r="H124" s="64">
        <f t="shared" si="0"/>
        <v>53.585920000000002</v>
      </c>
      <c r="I124" s="64">
        <f t="shared" si="0"/>
        <v>75.71584</v>
      </c>
      <c r="J124" s="64">
        <f t="shared" si="0"/>
        <v>100</v>
      </c>
    </row>
    <row r="125" spans="1:10" ht="20.100000000000001" customHeight="1" x14ac:dyDescent="0.25">
      <c r="A125" s="63">
        <f t="shared" si="1"/>
        <v>0.06</v>
      </c>
      <c r="B125" s="64">
        <f t="shared" si="2"/>
        <v>3.18</v>
      </c>
      <c r="C125" s="64">
        <f t="shared" si="3"/>
        <v>3.489824</v>
      </c>
      <c r="D125" s="64">
        <f t="shared" si="0"/>
        <v>5.6198639999999997</v>
      </c>
      <c r="E125" s="64">
        <f t="shared" si="0"/>
        <v>11.012737999999999</v>
      </c>
      <c r="F125" s="64">
        <f t="shared" si="0"/>
        <v>20.704419999999999</v>
      </c>
      <c r="G125" s="64">
        <f t="shared" si="0"/>
        <v>35.324239999999996</v>
      </c>
      <c r="H125" s="64">
        <f t="shared" si="0"/>
        <v>54.107320000000001</v>
      </c>
      <c r="I125" s="64">
        <f t="shared" si="0"/>
        <v>75.988640000000004</v>
      </c>
      <c r="J125" s="64">
        <f t="shared" si="0"/>
        <v>100</v>
      </c>
    </row>
    <row r="126" spans="1:10" ht="20.100000000000001" customHeight="1" x14ac:dyDescent="0.25">
      <c r="A126" s="63">
        <f t="shared" si="1"/>
        <v>0.08</v>
      </c>
      <c r="B126" s="64">
        <f t="shared" si="2"/>
        <v>4.32</v>
      </c>
      <c r="C126" s="64">
        <f t="shared" si="3"/>
        <v>4.6261760000000001</v>
      </c>
      <c r="D126" s="64">
        <f t="shared" si="0"/>
        <v>6.7311360000000011</v>
      </c>
      <c r="E126" s="64">
        <f t="shared" si="0"/>
        <v>12.060511999999999</v>
      </c>
      <c r="F126" s="64">
        <f t="shared" si="0"/>
        <v>21.638080000000002</v>
      </c>
      <c r="G126" s="64">
        <f t="shared" si="0"/>
        <v>36.085760000000008</v>
      </c>
      <c r="H126" s="64">
        <f t="shared" si="0"/>
        <v>54.647680000000008</v>
      </c>
      <c r="I126" s="64">
        <f t="shared" si="0"/>
        <v>76.271360000000016</v>
      </c>
      <c r="J126" s="64">
        <f t="shared" si="0"/>
        <v>100</v>
      </c>
    </row>
    <row r="127" spans="1:10" ht="20.100000000000001" customHeight="1" x14ac:dyDescent="0.25">
      <c r="A127" s="63">
        <f t="shared" si="1"/>
        <v>0.1</v>
      </c>
      <c r="B127" s="64">
        <f t="shared" si="2"/>
        <v>5.5000000000000009</v>
      </c>
      <c r="C127" s="64">
        <f t="shared" si="3"/>
        <v>5.8024000000000004</v>
      </c>
      <c r="D127" s="64">
        <f t="shared" si="0"/>
        <v>7.8814000000000011</v>
      </c>
      <c r="E127" s="64">
        <f t="shared" si="0"/>
        <v>13.145050000000001</v>
      </c>
      <c r="F127" s="64">
        <f t="shared" si="0"/>
        <v>22.604500000000002</v>
      </c>
      <c r="G127" s="64">
        <f t="shared" si="0"/>
        <v>36.874000000000002</v>
      </c>
      <c r="H127" s="64">
        <f t="shared" si="0"/>
        <v>55.207000000000001</v>
      </c>
      <c r="I127" s="64">
        <f t="shared" si="0"/>
        <v>76.564000000000007</v>
      </c>
      <c r="J127" s="64">
        <f t="shared" si="0"/>
        <v>100</v>
      </c>
    </row>
    <row r="128" spans="1:10" ht="20.100000000000001" customHeight="1" x14ac:dyDescent="0.25">
      <c r="A128" s="63">
        <f t="shared" si="1"/>
        <v>0.12000000000000001</v>
      </c>
      <c r="B128" s="64">
        <f t="shared" si="2"/>
        <v>6.7200000000000006</v>
      </c>
      <c r="C128" s="64">
        <f t="shared" si="3"/>
        <v>7.0184960000000007</v>
      </c>
      <c r="D128" s="64">
        <f t="shared" si="0"/>
        <v>9.0706560000000014</v>
      </c>
      <c r="E128" s="64">
        <f t="shared" si="0"/>
        <v>14.266352000000001</v>
      </c>
      <c r="F128" s="64">
        <f t="shared" si="0"/>
        <v>23.603680000000004</v>
      </c>
      <c r="G128" s="64">
        <f t="shared" si="0"/>
        <v>37.688960000000002</v>
      </c>
      <c r="H128" s="64">
        <f t="shared" si="0"/>
        <v>55.78528</v>
      </c>
      <c r="I128" s="64">
        <f t="shared" si="0"/>
        <v>76.866559999999993</v>
      </c>
      <c r="J128" s="64">
        <f t="shared" si="0"/>
        <v>100</v>
      </c>
    </row>
    <row r="129" spans="1:10" ht="20.100000000000001" customHeight="1" x14ac:dyDescent="0.25">
      <c r="A129" s="63">
        <f t="shared" si="1"/>
        <v>0.14000000000000001</v>
      </c>
      <c r="B129" s="64">
        <f t="shared" si="2"/>
        <v>7.9800000000000013</v>
      </c>
      <c r="C129" s="64">
        <f t="shared" si="3"/>
        <v>8.2744640000000018</v>
      </c>
      <c r="D129" s="64">
        <f t="shared" si="0"/>
        <v>10.298904</v>
      </c>
      <c r="E129" s="64">
        <f t="shared" si="0"/>
        <v>15.424418000000001</v>
      </c>
      <c r="F129" s="64">
        <f t="shared" si="0"/>
        <v>24.635620000000003</v>
      </c>
      <c r="G129" s="64">
        <f t="shared" si="0"/>
        <v>38.530640000000005</v>
      </c>
      <c r="H129" s="64">
        <f t="shared" si="0"/>
        <v>56.38252</v>
      </c>
      <c r="I129" s="64">
        <f t="shared" si="0"/>
        <v>77.179040000000001</v>
      </c>
      <c r="J129" s="64">
        <f t="shared" si="0"/>
        <v>100</v>
      </c>
    </row>
    <row r="130" spans="1:10" ht="20.100000000000001" customHeight="1" x14ac:dyDescent="0.25">
      <c r="A130" s="63">
        <f t="shared" si="1"/>
        <v>0.16</v>
      </c>
      <c r="B130" s="64">
        <f t="shared" si="2"/>
        <v>9.2800000000000011</v>
      </c>
      <c r="C130" s="64">
        <f t="shared" si="3"/>
        <v>9.5703040000000019</v>
      </c>
      <c r="D130" s="64">
        <f t="shared" si="0"/>
        <v>11.566144000000001</v>
      </c>
      <c r="E130" s="64">
        <f t="shared" si="0"/>
        <v>16.619248000000002</v>
      </c>
      <c r="F130" s="64">
        <f t="shared" si="0"/>
        <v>25.700320000000001</v>
      </c>
      <c r="G130" s="64">
        <f t="shared" si="0"/>
        <v>39.399039999999999</v>
      </c>
      <c r="H130" s="64">
        <f t="shared" si="0"/>
        <v>56.998720000000006</v>
      </c>
      <c r="I130" s="64">
        <f t="shared" si="0"/>
        <v>77.501440000000002</v>
      </c>
      <c r="J130" s="64">
        <f t="shared" si="0"/>
        <v>100</v>
      </c>
    </row>
    <row r="131" spans="1:10" ht="20.100000000000001" customHeight="1" x14ac:dyDescent="0.25">
      <c r="A131" s="63">
        <f t="shared" si="1"/>
        <v>0.18</v>
      </c>
      <c r="B131" s="64">
        <f t="shared" si="2"/>
        <v>10.62</v>
      </c>
      <c r="C131" s="64">
        <f t="shared" si="3"/>
        <v>10.906015999999999</v>
      </c>
      <c r="D131" s="64">
        <f t="shared" si="0"/>
        <v>12.872375999999999</v>
      </c>
      <c r="E131" s="64">
        <f t="shared" si="0"/>
        <v>17.850842</v>
      </c>
      <c r="F131" s="64">
        <f t="shared" si="0"/>
        <v>26.797779999999996</v>
      </c>
      <c r="G131" s="64">
        <f t="shared" si="0"/>
        <v>40.294159999999998</v>
      </c>
      <c r="H131" s="64">
        <f t="shared" si="0"/>
        <v>57.633879999999998</v>
      </c>
      <c r="I131" s="64">
        <f t="shared" si="0"/>
        <v>77.833760000000012</v>
      </c>
      <c r="J131" s="64">
        <f t="shared" si="0"/>
        <v>100</v>
      </c>
    </row>
    <row r="132" spans="1:10" ht="20.100000000000001" customHeight="1" x14ac:dyDescent="0.25">
      <c r="A132" s="63">
        <f t="shared" si="1"/>
        <v>0.19999999999999998</v>
      </c>
      <c r="B132" s="64">
        <f t="shared" si="2"/>
        <v>12</v>
      </c>
      <c r="C132" s="64">
        <f t="shared" si="3"/>
        <v>12.281599999999999</v>
      </c>
      <c r="D132" s="64">
        <f t="shared" si="0"/>
        <v>14.217600000000001</v>
      </c>
      <c r="E132" s="64">
        <f t="shared" si="0"/>
        <v>19.119199999999999</v>
      </c>
      <c r="F132" s="64">
        <f t="shared" si="0"/>
        <v>27.928000000000004</v>
      </c>
      <c r="G132" s="64">
        <f t="shared" si="0"/>
        <v>41.216000000000008</v>
      </c>
      <c r="H132" s="64">
        <f t="shared" si="0"/>
        <v>58.288000000000004</v>
      </c>
      <c r="I132" s="64">
        <f t="shared" si="0"/>
        <v>78.176000000000002</v>
      </c>
      <c r="J132" s="64">
        <f t="shared" si="0"/>
        <v>100</v>
      </c>
    </row>
    <row r="133" spans="1:10" ht="20.100000000000001" customHeight="1" x14ac:dyDescent="0.25">
      <c r="A133" s="63">
        <f t="shared" si="1"/>
        <v>0.21999999999999997</v>
      </c>
      <c r="B133" s="64">
        <f t="shared" si="2"/>
        <v>13.419999999999998</v>
      </c>
      <c r="C133" s="64">
        <f t="shared" si="3"/>
        <v>13.697055999999998</v>
      </c>
      <c r="D133" s="64">
        <f t="shared" si="0"/>
        <v>15.601815999999998</v>
      </c>
      <c r="E133" s="64">
        <f t="shared" si="0"/>
        <v>20.424321999999997</v>
      </c>
      <c r="F133" s="64">
        <f t="shared" si="0"/>
        <v>29.090980000000002</v>
      </c>
      <c r="G133" s="64">
        <f t="shared" si="0"/>
        <v>42.164559999999994</v>
      </c>
      <c r="H133" s="64">
        <f t="shared" si="0"/>
        <v>58.961079999999995</v>
      </c>
      <c r="I133" s="64">
        <f t="shared" si="0"/>
        <v>78.52816</v>
      </c>
      <c r="J133" s="64">
        <f t="shared" si="0"/>
        <v>100</v>
      </c>
    </row>
    <row r="134" spans="1:10" ht="20.100000000000001" customHeight="1" x14ac:dyDescent="0.25">
      <c r="A134" s="63">
        <f t="shared" si="1"/>
        <v>0.23999999999999996</v>
      </c>
      <c r="B134" s="64">
        <f t="shared" si="2"/>
        <v>14.879999999999999</v>
      </c>
      <c r="C134" s="64">
        <f t="shared" si="3"/>
        <v>15.152384</v>
      </c>
      <c r="D134" s="64">
        <f t="shared" si="0"/>
        <v>17.025023999999998</v>
      </c>
      <c r="E134" s="64">
        <f t="shared" si="0"/>
        <v>21.766207999999999</v>
      </c>
      <c r="F134" s="64">
        <f t="shared" si="0"/>
        <v>30.286720000000003</v>
      </c>
      <c r="G134" s="64">
        <f t="shared" si="0"/>
        <v>43.139840000000007</v>
      </c>
      <c r="H134" s="64">
        <f t="shared" si="0"/>
        <v>59.653120000000001</v>
      </c>
      <c r="I134" s="64">
        <f t="shared" si="0"/>
        <v>78.890240000000006</v>
      </c>
      <c r="J134" s="64">
        <f t="shared" si="0"/>
        <v>100</v>
      </c>
    </row>
    <row r="135" spans="1:10" ht="20.100000000000001" customHeight="1" x14ac:dyDescent="0.25">
      <c r="A135" s="63">
        <f t="shared" si="1"/>
        <v>0.25999999999999995</v>
      </c>
      <c r="B135" s="64">
        <f t="shared" si="2"/>
        <v>16.38</v>
      </c>
      <c r="C135" s="64">
        <f t="shared" si="3"/>
        <v>16.647583999999998</v>
      </c>
      <c r="D135" s="64">
        <f t="shared" si="0"/>
        <v>18.487223999999998</v>
      </c>
      <c r="E135" s="64">
        <f t="shared" si="0"/>
        <v>23.144857999999999</v>
      </c>
      <c r="F135" s="64">
        <f t="shared" si="0"/>
        <v>31.515219999999999</v>
      </c>
      <c r="G135" s="64">
        <f t="shared" si="0"/>
        <v>44.141840000000002</v>
      </c>
      <c r="H135" s="64">
        <f t="shared" si="0"/>
        <v>60.36412</v>
      </c>
      <c r="I135" s="64">
        <f t="shared" si="0"/>
        <v>79.262240000000006</v>
      </c>
      <c r="J135" s="64">
        <f t="shared" si="0"/>
        <v>100</v>
      </c>
    </row>
    <row r="136" spans="1:10" ht="20.100000000000001" customHeight="1" x14ac:dyDescent="0.25">
      <c r="A136" s="63">
        <f t="shared" si="1"/>
        <v>0.27999999999999997</v>
      </c>
      <c r="B136" s="64">
        <f t="shared" si="2"/>
        <v>17.919999999999998</v>
      </c>
      <c r="C136" s="64">
        <f t="shared" si="3"/>
        <v>18.182655999999998</v>
      </c>
      <c r="D136" s="64">
        <f t="shared" si="0"/>
        <v>19.988415999999997</v>
      </c>
      <c r="E136" s="64">
        <f t="shared" si="0"/>
        <v>24.560271999999998</v>
      </c>
      <c r="F136" s="64">
        <f t="shared" si="0"/>
        <v>32.776479999999999</v>
      </c>
      <c r="G136" s="64">
        <f t="shared" si="0"/>
        <v>45.170559999999995</v>
      </c>
      <c r="H136" s="64">
        <f t="shared" si="0"/>
        <v>61.094080000000005</v>
      </c>
      <c r="I136" s="64">
        <f t="shared" si="0"/>
        <v>79.644159999999999</v>
      </c>
      <c r="J136" s="64">
        <f t="shared" si="0"/>
        <v>100</v>
      </c>
    </row>
    <row r="137" spans="1:10" ht="20.100000000000001" customHeight="1" x14ac:dyDescent="0.25">
      <c r="A137" s="63">
        <f t="shared" si="1"/>
        <v>0.3</v>
      </c>
      <c r="B137" s="64">
        <f t="shared" si="2"/>
        <v>19.5</v>
      </c>
      <c r="C137" s="64">
        <f t="shared" si="3"/>
        <v>19.7576</v>
      </c>
      <c r="D137" s="64">
        <f t="shared" si="0"/>
        <v>21.528600000000001</v>
      </c>
      <c r="E137" s="64">
        <f t="shared" si="0"/>
        <v>26.012450000000001</v>
      </c>
      <c r="F137" s="64">
        <f t="shared" si="0"/>
        <v>34.070500000000003</v>
      </c>
      <c r="G137" s="64">
        <f t="shared" si="0"/>
        <v>46.225999999999999</v>
      </c>
      <c r="H137" s="64">
        <f t="shared" si="0"/>
        <v>61.843000000000004</v>
      </c>
      <c r="I137" s="64">
        <f t="shared" si="0"/>
        <v>80.036000000000001</v>
      </c>
      <c r="J137" s="64">
        <f t="shared" si="0"/>
        <v>100</v>
      </c>
    </row>
    <row r="138" spans="1:10" ht="20.100000000000001" customHeight="1" x14ac:dyDescent="0.25">
      <c r="A138" s="63">
        <f t="shared" si="1"/>
        <v>0.32</v>
      </c>
      <c r="B138" s="64">
        <f t="shared" si="2"/>
        <v>21.12</v>
      </c>
      <c r="C138" s="64">
        <f t="shared" si="3"/>
        <v>21.372416000000001</v>
      </c>
      <c r="D138" s="64">
        <f t="shared" si="0"/>
        <v>23.107776000000001</v>
      </c>
      <c r="E138" s="64">
        <f t="shared" si="0"/>
        <v>27.501392000000003</v>
      </c>
      <c r="F138" s="64">
        <f t="shared" si="0"/>
        <v>35.397280000000002</v>
      </c>
      <c r="G138" s="64">
        <f t="shared" si="0"/>
        <v>47.308160000000001</v>
      </c>
      <c r="H138" s="64">
        <f t="shared" si="0"/>
        <v>62.610879999999995</v>
      </c>
      <c r="I138" s="64">
        <f t="shared" si="0"/>
        <v>80.437759999999997</v>
      </c>
      <c r="J138" s="64">
        <f t="shared" si="0"/>
        <v>100</v>
      </c>
    </row>
    <row r="139" spans="1:10" ht="20.100000000000001" customHeight="1" x14ac:dyDescent="0.25">
      <c r="A139" s="63">
        <f t="shared" si="1"/>
        <v>0.34</v>
      </c>
      <c r="B139" s="64">
        <f t="shared" si="2"/>
        <v>22.780000000000005</v>
      </c>
      <c r="C139" s="64">
        <f t="shared" si="3"/>
        <v>23.027104000000005</v>
      </c>
      <c r="D139" s="64">
        <f t="shared" si="3"/>
        <v>24.725944000000005</v>
      </c>
      <c r="E139" s="64">
        <f t="shared" si="3"/>
        <v>29.027098000000002</v>
      </c>
      <c r="F139" s="64">
        <f t="shared" si="3"/>
        <v>36.756820000000005</v>
      </c>
      <c r="G139" s="64">
        <f t="shared" si="3"/>
        <v>48.417040000000007</v>
      </c>
      <c r="H139" s="64">
        <f t="shared" si="3"/>
        <v>63.397720000000007</v>
      </c>
      <c r="I139" s="64">
        <f t="shared" si="3"/>
        <v>80.849440000000016</v>
      </c>
      <c r="J139" s="64">
        <f t="shared" si="3"/>
        <v>100</v>
      </c>
    </row>
    <row r="140" spans="1:10" ht="20.100000000000001" customHeight="1" x14ac:dyDescent="0.25">
      <c r="A140" s="63">
        <f t="shared" si="1"/>
        <v>0.36000000000000004</v>
      </c>
      <c r="B140" s="64">
        <f t="shared" si="2"/>
        <v>24.48</v>
      </c>
      <c r="C140" s="64">
        <f t="shared" si="3"/>
        <v>24.721664000000001</v>
      </c>
      <c r="D140" s="64">
        <f t="shared" si="3"/>
        <v>26.383103999999999</v>
      </c>
      <c r="E140" s="64">
        <f t="shared" si="3"/>
        <v>30.589568</v>
      </c>
      <c r="F140" s="64">
        <f t="shared" si="3"/>
        <v>38.149119999999996</v>
      </c>
      <c r="G140" s="64">
        <f t="shared" si="3"/>
        <v>49.552639999999997</v>
      </c>
      <c r="H140" s="64">
        <f t="shared" si="3"/>
        <v>64.203519999999997</v>
      </c>
      <c r="I140" s="64">
        <f t="shared" si="3"/>
        <v>81.271039999999999</v>
      </c>
      <c r="J140" s="64">
        <f t="shared" si="3"/>
        <v>100</v>
      </c>
    </row>
    <row r="141" spans="1:10" ht="20.100000000000001" customHeight="1" x14ac:dyDescent="0.25">
      <c r="A141" s="63">
        <f t="shared" si="1"/>
        <v>0.38000000000000006</v>
      </c>
      <c r="B141" s="64">
        <f t="shared" si="2"/>
        <v>26.220000000000006</v>
      </c>
      <c r="C141" s="64">
        <f t="shared" si="3"/>
        <v>26.456096000000006</v>
      </c>
      <c r="D141" s="64">
        <f t="shared" si="3"/>
        <v>28.079256000000004</v>
      </c>
      <c r="E141" s="64">
        <f t="shared" si="3"/>
        <v>32.188802000000003</v>
      </c>
      <c r="F141" s="64">
        <f t="shared" si="3"/>
        <v>39.574180000000005</v>
      </c>
      <c r="G141" s="64">
        <f t="shared" si="3"/>
        <v>50.714960000000005</v>
      </c>
      <c r="H141" s="64">
        <f t="shared" si="3"/>
        <v>65.028279999999995</v>
      </c>
      <c r="I141" s="64">
        <f t="shared" si="3"/>
        <v>81.702560000000005</v>
      </c>
      <c r="J141" s="64">
        <f t="shared" si="3"/>
        <v>100</v>
      </c>
    </row>
    <row r="142" spans="1:10" ht="20.100000000000001" customHeight="1" x14ac:dyDescent="0.25">
      <c r="A142" s="63">
        <f t="shared" si="1"/>
        <v>0.40000000000000008</v>
      </c>
      <c r="B142" s="64">
        <f t="shared" si="2"/>
        <v>28.000000000000007</v>
      </c>
      <c r="C142" s="64">
        <f t="shared" si="3"/>
        <v>28.230400000000007</v>
      </c>
      <c r="D142" s="64">
        <f t="shared" si="3"/>
        <v>29.814400000000006</v>
      </c>
      <c r="E142" s="64">
        <f t="shared" si="3"/>
        <v>33.82480000000001</v>
      </c>
      <c r="F142" s="64">
        <f t="shared" si="3"/>
        <v>41.032000000000011</v>
      </c>
      <c r="G142" s="64">
        <f t="shared" si="3"/>
        <v>51.904000000000011</v>
      </c>
      <c r="H142" s="64">
        <f t="shared" si="3"/>
        <v>65.872000000000014</v>
      </c>
      <c r="I142" s="64">
        <f t="shared" si="3"/>
        <v>82.144000000000005</v>
      </c>
      <c r="J142" s="64">
        <f t="shared" si="3"/>
        <v>100</v>
      </c>
    </row>
    <row r="143" spans="1:10" ht="20.100000000000001" customHeight="1" x14ac:dyDescent="0.25">
      <c r="A143" s="63">
        <f t="shared" si="1"/>
        <v>0.4200000000000001</v>
      </c>
      <c r="B143" s="64">
        <f t="shared" si="2"/>
        <v>29.820000000000007</v>
      </c>
      <c r="C143" s="64">
        <f t="shared" si="3"/>
        <v>30.044576000000006</v>
      </c>
      <c r="D143" s="64">
        <f t="shared" si="3"/>
        <v>31.588536000000008</v>
      </c>
      <c r="E143" s="64">
        <f t="shared" si="3"/>
        <v>35.497562000000009</v>
      </c>
      <c r="F143" s="64">
        <f t="shared" si="3"/>
        <v>42.522580000000005</v>
      </c>
      <c r="G143" s="64">
        <f t="shared" si="3"/>
        <v>53.119760000000014</v>
      </c>
      <c r="H143" s="64">
        <f t="shared" si="3"/>
        <v>66.734679999999997</v>
      </c>
      <c r="I143" s="64">
        <f t="shared" si="3"/>
        <v>82.595359999999999</v>
      </c>
      <c r="J143" s="64">
        <f t="shared" si="3"/>
        <v>100</v>
      </c>
    </row>
    <row r="144" spans="1:10" ht="20.100000000000001" customHeight="1" x14ac:dyDescent="0.25">
      <c r="A144" s="63">
        <f t="shared" si="1"/>
        <v>0.44000000000000011</v>
      </c>
      <c r="B144" s="64">
        <f t="shared" si="2"/>
        <v>31.680000000000007</v>
      </c>
      <c r="C144" s="64">
        <f t="shared" si="3"/>
        <v>31.898624000000005</v>
      </c>
      <c r="D144" s="64">
        <f t="shared" si="3"/>
        <v>33.401664000000004</v>
      </c>
      <c r="E144" s="64">
        <f t="shared" si="3"/>
        <v>37.207088000000006</v>
      </c>
      <c r="F144" s="64">
        <f t="shared" si="3"/>
        <v>44.04592000000001</v>
      </c>
      <c r="G144" s="64">
        <f t="shared" si="3"/>
        <v>54.362240000000007</v>
      </c>
      <c r="H144" s="64">
        <f t="shared" si="3"/>
        <v>67.616320000000002</v>
      </c>
      <c r="I144" s="64">
        <f t="shared" si="3"/>
        <v>83.056640000000002</v>
      </c>
      <c r="J144" s="64">
        <f t="shared" si="3"/>
        <v>100</v>
      </c>
    </row>
    <row r="145" spans="1:10" ht="20.100000000000001" customHeight="1" x14ac:dyDescent="0.25">
      <c r="A145" s="63">
        <f t="shared" si="1"/>
        <v>0.46000000000000013</v>
      </c>
      <c r="B145" s="64">
        <f t="shared" si="2"/>
        <v>33.580000000000013</v>
      </c>
      <c r="C145" s="64">
        <f t="shared" si="3"/>
        <v>33.792544000000014</v>
      </c>
      <c r="D145" s="64">
        <f t="shared" si="3"/>
        <v>35.25378400000001</v>
      </c>
      <c r="E145" s="64">
        <f t="shared" si="3"/>
        <v>38.953378000000015</v>
      </c>
      <c r="F145" s="64">
        <f t="shared" si="3"/>
        <v>45.60202000000001</v>
      </c>
      <c r="G145" s="64">
        <f t="shared" si="3"/>
        <v>55.631440000000012</v>
      </c>
      <c r="H145" s="64">
        <f t="shared" si="3"/>
        <v>68.516919999999999</v>
      </c>
      <c r="I145" s="64">
        <f t="shared" si="3"/>
        <v>83.527840000000012</v>
      </c>
      <c r="J145" s="64">
        <f t="shared" si="3"/>
        <v>100</v>
      </c>
    </row>
    <row r="146" spans="1:10" ht="20.100000000000001" customHeight="1" x14ac:dyDescent="0.25">
      <c r="A146" s="63">
        <f t="shared" si="1"/>
        <v>0.48000000000000015</v>
      </c>
      <c r="B146" s="64">
        <f t="shared" si="2"/>
        <v>35.52000000000001</v>
      </c>
      <c r="C146" s="64">
        <f t="shared" si="3"/>
        <v>35.726336000000011</v>
      </c>
      <c r="D146" s="64">
        <f t="shared" si="3"/>
        <v>37.14489600000001</v>
      </c>
      <c r="E146" s="64">
        <f t="shared" si="3"/>
        <v>40.736432000000008</v>
      </c>
      <c r="F146" s="64">
        <f t="shared" si="3"/>
        <v>47.190880000000007</v>
      </c>
      <c r="G146" s="64">
        <f t="shared" si="3"/>
        <v>56.927360000000007</v>
      </c>
      <c r="H146" s="64">
        <f t="shared" si="3"/>
        <v>69.436480000000017</v>
      </c>
      <c r="I146" s="64">
        <f t="shared" si="3"/>
        <v>84.008960000000002</v>
      </c>
      <c r="J146" s="64">
        <f t="shared" si="3"/>
        <v>100</v>
      </c>
    </row>
    <row r="147" spans="1:10" ht="20.100000000000001" customHeight="1" x14ac:dyDescent="0.25">
      <c r="A147" s="63">
        <f t="shared" si="1"/>
        <v>0.50000000000000011</v>
      </c>
      <c r="B147" s="64">
        <f t="shared" si="2"/>
        <v>37.500000000000014</v>
      </c>
      <c r="C147" s="64">
        <f t="shared" si="3"/>
        <v>37.700000000000017</v>
      </c>
      <c r="D147" s="64">
        <f t="shared" si="3"/>
        <v>39.075000000000017</v>
      </c>
      <c r="E147" s="64">
        <f t="shared" si="3"/>
        <v>42.556250000000013</v>
      </c>
      <c r="F147" s="64">
        <f t="shared" si="3"/>
        <v>48.812500000000014</v>
      </c>
      <c r="G147" s="64">
        <f t="shared" si="3"/>
        <v>58.250000000000014</v>
      </c>
      <c r="H147" s="64">
        <f t="shared" si="3"/>
        <v>70.375</v>
      </c>
      <c r="I147" s="64">
        <f t="shared" si="3"/>
        <v>84.5</v>
      </c>
      <c r="J147" s="64">
        <f t="shared" si="3"/>
        <v>100</v>
      </c>
    </row>
    <row r="148" spans="1:10" ht="20.100000000000001" customHeight="1" x14ac:dyDescent="0.25">
      <c r="A148" s="63">
        <f t="shared" si="1"/>
        <v>0.52000000000000013</v>
      </c>
      <c r="B148" s="64">
        <f t="shared" si="2"/>
        <v>39.52000000000001</v>
      </c>
      <c r="C148" s="64">
        <f t="shared" si="3"/>
        <v>39.713536000000012</v>
      </c>
      <c r="D148" s="64">
        <f t="shared" si="3"/>
        <v>41.04409600000001</v>
      </c>
      <c r="E148" s="64">
        <f t="shared" si="3"/>
        <v>44.412832000000009</v>
      </c>
      <c r="F148" s="64">
        <f t="shared" si="3"/>
        <v>50.46688000000001</v>
      </c>
      <c r="G148" s="64">
        <f t="shared" si="3"/>
        <v>59.599360000000004</v>
      </c>
      <c r="H148" s="64">
        <f t="shared" si="3"/>
        <v>71.332480000000004</v>
      </c>
      <c r="I148" s="64">
        <f t="shared" si="3"/>
        <v>85.000960000000006</v>
      </c>
      <c r="J148" s="64">
        <f t="shared" si="3"/>
        <v>100</v>
      </c>
    </row>
    <row r="149" spans="1:10" ht="20.100000000000001" customHeight="1" x14ac:dyDescent="0.25">
      <c r="A149" s="63">
        <f t="shared" si="1"/>
        <v>0.54000000000000015</v>
      </c>
      <c r="B149" s="64">
        <f t="shared" si="2"/>
        <v>41.58000000000002</v>
      </c>
      <c r="C149" s="64">
        <f t="shared" si="3"/>
        <v>41.766944000000017</v>
      </c>
      <c r="D149" s="64">
        <f t="shared" si="3"/>
        <v>43.052184000000018</v>
      </c>
      <c r="E149" s="64">
        <f t="shared" si="3"/>
        <v>46.306178000000017</v>
      </c>
      <c r="F149" s="64">
        <f t="shared" si="3"/>
        <v>52.154020000000017</v>
      </c>
      <c r="G149" s="64">
        <f t="shared" si="3"/>
        <v>60.975440000000013</v>
      </c>
      <c r="H149" s="64">
        <f t="shared" si="3"/>
        <v>72.308920000000001</v>
      </c>
      <c r="I149" s="64">
        <f t="shared" si="3"/>
        <v>85.511840000000007</v>
      </c>
      <c r="J149" s="64">
        <f t="shared" si="3"/>
        <v>100</v>
      </c>
    </row>
    <row r="150" spans="1:10" ht="20.100000000000001" customHeight="1" x14ac:dyDescent="0.25">
      <c r="A150" s="63">
        <f t="shared" si="1"/>
        <v>0.56000000000000016</v>
      </c>
      <c r="B150" s="64">
        <f t="shared" si="2"/>
        <v>43.680000000000021</v>
      </c>
      <c r="C150" s="64">
        <f t="shared" si="3"/>
        <v>43.860224000000024</v>
      </c>
      <c r="D150" s="64">
        <f t="shared" si="3"/>
        <v>45.099264000000019</v>
      </c>
      <c r="E150" s="64">
        <f t="shared" si="3"/>
        <v>48.236288000000016</v>
      </c>
      <c r="F150" s="64">
        <f t="shared" si="3"/>
        <v>53.87392000000002</v>
      </c>
      <c r="G150" s="64">
        <f t="shared" si="3"/>
        <v>62.378240000000019</v>
      </c>
      <c r="H150" s="64">
        <f t="shared" si="3"/>
        <v>73.304320000000018</v>
      </c>
      <c r="I150" s="64">
        <f t="shared" si="3"/>
        <v>86.032640000000001</v>
      </c>
      <c r="J150" s="64">
        <f t="shared" si="3"/>
        <v>100</v>
      </c>
    </row>
    <row r="151" spans="1:10" ht="20.100000000000001" customHeight="1" x14ac:dyDescent="0.25">
      <c r="A151" s="63">
        <f t="shared" si="1"/>
        <v>0.58000000000000018</v>
      </c>
      <c r="B151" s="64">
        <f t="shared" si="2"/>
        <v>45.820000000000014</v>
      </c>
      <c r="C151" s="64">
        <f t="shared" si="3"/>
        <v>45.993376000000012</v>
      </c>
      <c r="D151" s="64">
        <f t="shared" si="3"/>
        <v>47.185336000000014</v>
      </c>
      <c r="E151" s="64">
        <f t="shared" si="3"/>
        <v>50.203162000000013</v>
      </c>
      <c r="F151" s="64">
        <f t="shared" si="3"/>
        <v>55.626580000000011</v>
      </c>
      <c r="G151" s="64">
        <f t="shared" si="3"/>
        <v>63.807760000000009</v>
      </c>
      <c r="H151" s="64">
        <f t="shared" si="3"/>
        <v>74.318680000000001</v>
      </c>
      <c r="I151" s="64">
        <f t="shared" si="3"/>
        <v>86.563360000000003</v>
      </c>
      <c r="J151" s="64">
        <f t="shared" si="3"/>
        <v>100</v>
      </c>
    </row>
    <row r="152" spans="1:10" ht="20.100000000000001" customHeight="1" x14ac:dyDescent="0.25">
      <c r="A152" s="63">
        <f t="shared" si="1"/>
        <v>0.6000000000000002</v>
      </c>
      <c r="B152" s="64">
        <f t="shared" si="2"/>
        <v>48.000000000000021</v>
      </c>
      <c r="C152" s="64">
        <f t="shared" si="3"/>
        <v>48.166400000000024</v>
      </c>
      <c r="D152" s="64">
        <f t="shared" si="3"/>
        <v>49.310400000000023</v>
      </c>
      <c r="E152" s="64">
        <f t="shared" si="3"/>
        <v>52.206800000000023</v>
      </c>
      <c r="F152" s="64">
        <f t="shared" si="3"/>
        <v>57.41200000000002</v>
      </c>
      <c r="G152" s="64">
        <f t="shared" si="3"/>
        <v>65.26400000000001</v>
      </c>
      <c r="H152" s="64">
        <f t="shared" si="3"/>
        <v>75.352000000000004</v>
      </c>
      <c r="I152" s="64">
        <f t="shared" si="3"/>
        <v>87.104000000000013</v>
      </c>
      <c r="J152" s="64">
        <f t="shared" si="3"/>
        <v>100</v>
      </c>
    </row>
    <row r="153" spans="1:10" ht="20.100000000000001" customHeight="1" x14ac:dyDescent="0.25">
      <c r="A153" s="63">
        <f t="shared" si="1"/>
        <v>0.62000000000000022</v>
      </c>
      <c r="B153" s="64">
        <f t="shared" si="2"/>
        <v>50.22000000000002</v>
      </c>
      <c r="C153" s="64">
        <f t="shared" si="3"/>
        <v>50.379296000000018</v>
      </c>
      <c r="D153" s="64">
        <f t="shared" si="3"/>
        <v>51.474456000000018</v>
      </c>
      <c r="E153" s="64">
        <f t="shared" si="3"/>
        <v>54.247202000000016</v>
      </c>
      <c r="F153" s="64">
        <f t="shared" si="3"/>
        <v>59.230180000000018</v>
      </c>
      <c r="G153" s="64">
        <f t="shared" si="3"/>
        <v>66.746960000000016</v>
      </c>
      <c r="H153" s="64">
        <f t="shared" si="3"/>
        <v>76.404280000000014</v>
      </c>
      <c r="I153" s="64">
        <f t="shared" si="3"/>
        <v>87.654560000000004</v>
      </c>
      <c r="J153" s="64">
        <f t="shared" si="3"/>
        <v>100</v>
      </c>
    </row>
    <row r="154" spans="1:10" ht="20.100000000000001" customHeight="1" x14ac:dyDescent="0.25">
      <c r="A154" s="63">
        <f t="shared" si="1"/>
        <v>0.64000000000000024</v>
      </c>
      <c r="B154" s="64">
        <f t="shared" si="2"/>
        <v>52.480000000000025</v>
      </c>
      <c r="C154" s="64">
        <f t="shared" si="3"/>
        <v>52.632064000000028</v>
      </c>
      <c r="D154" s="64">
        <f t="shared" si="3"/>
        <v>53.677504000000027</v>
      </c>
      <c r="E154" s="64">
        <f t="shared" si="3"/>
        <v>56.324368000000021</v>
      </c>
      <c r="F154" s="64">
        <f t="shared" si="3"/>
        <v>61.08112000000002</v>
      </c>
      <c r="G154" s="64">
        <f t="shared" si="3"/>
        <v>68.256640000000019</v>
      </c>
      <c r="H154" s="64">
        <f t="shared" si="3"/>
        <v>77.475520000000017</v>
      </c>
      <c r="I154" s="64">
        <f t="shared" si="3"/>
        <v>88.215040000000016</v>
      </c>
      <c r="J154" s="64">
        <f t="shared" si="3"/>
        <v>100</v>
      </c>
    </row>
    <row r="155" spans="1:10" ht="20.100000000000001" customHeight="1" x14ac:dyDescent="0.25">
      <c r="A155" s="63">
        <f t="shared" si="1"/>
        <v>0.66000000000000025</v>
      </c>
      <c r="B155" s="64">
        <f t="shared" si="2"/>
        <v>54.78000000000003</v>
      </c>
      <c r="C155" s="64">
        <f t="shared" si="3"/>
        <v>54.924704000000027</v>
      </c>
      <c r="D155" s="64">
        <f t="shared" si="3"/>
        <v>55.91954400000003</v>
      </c>
      <c r="E155" s="64">
        <f t="shared" si="3"/>
        <v>58.438298000000025</v>
      </c>
      <c r="F155" s="64">
        <f t="shared" si="3"/>
        <v>62.964820000000024</v>
      </c>
      <c r="G155" s="64">
        <f t="shared" si="3"/>
        <v>69.793040000000019</v>
      </c>
      <c r="H155" s="64">
        <f t="shared" si="3"/>
        <v>78.565720000000013</v>
      </c>
      <c r="I155" s="64">
        <f t="shared" si="3"/>
        <v>88.785440000000008</v>
      </c>
      <c r="J155" s="64">
        <f t="shared" si="3"/>
        <v>100</v>
      </c>
    </row>
    <row r="156" spans="1:10" ht="20.100000000000001" customHeight="1" x14ac:dyDescent="0.25">
      <c r="A156" s="63">
        <f t="shared" si="1"/>
        <v>0.68000000000000027</v>
      </c>
      <c r="B156" s="64">
        <f t="shared" si="2"/>
        <v>57.12000000000004</v>
      </c>
      <c r="C156" s="64">
        <f t="shared" ref="C156:J172" si="4">$B156+((100-$B156)*C$122/100)</f>
        <v>57.257216000000042</v>
      </c>
      <c r="D156" s="64">
        <f t="shared" si="4"/>
        <v>58.200576000000041</v>
      </c>
      <c r="E156" s="64">
        <f t="shared" si="4"/>
        <v>60.588992000000033</v>
      </c>
      <c r="F156" s="64">
        <f t="shared" si="4"/>
        <v>64.881280000000032</v>
      </c>
      <c r="G156" s="64">
        <f t="shared" si="4"/>
        <v>71.356160000000031</v>
      </c>
      <c r="H156" s="64">
        <f t="shared" si="4"/>
        <v>79.674880000000016</v>
      </c>
      <c r="I156" s="64">
        <f t="shared" si="4"/>
        <v>89.365760000000023</v>
      </c>
      <c r="J156" s="64">
        <f t="shared" si="4"/>
        <v>100</v>
      </c>
    </row>
    <row r="157" spans="1:10" ht="20.100000000000001" customHeight="1" x14ac:dyDescent="0.25">
      <c r="A157" s="63">
        <f t="shared" si="1"/>
        <v>0.70000000000000029</v>
      </c>
      <c r="B157" s="64">
        <f t="shared" si="2"/>
        <v>59.500000000000028</v>
      </c>
      <c r="C157" s="64">
        <f t="shared" si="4"/>
        <v>59.629600000000025</v>
      </c>
      <c r="D157" s="64">
        <f t="shared" si="4"/>
        <v>60.52060000000003</v>
      </c>
      <c r="E157" s="64">
        <f t="shared" si="4"/>
        <v>62.776450000000025</v>
      </c>
      <c r="F157" s="64">
        <f t="shared" si="4"/>
        <v>66.830500000000029</v>
      </c>
      <c r="G157" s="64">
        <f t="shared" si="4"/>
        <v>72.946000000000026</v>
      </c>
      <c r="H157" s="64">
        <f t="shared" si="4"/>
        <v>80.803000000000011</v>
      </c>
      <c r="I157" s="64">
        <f t="shared" si="4"/>
        <v>89.956000000000017</v>
      </c>
      <c r="J157" s="64">
        <f t="shared" si="4"/>
        <v>100</v>
      </c>
    </row>
    <row r="158" spans="1:10" ht="20.100000000000001" customHeight="1" x14ac:dyDescent="0.25">
      <c r="A158" s="63">
        <f t="shared" si="1"/>
        <v>0.72000000000000031</v>
      </c>
      <c r="B158" s="64">
        <f t="shared" si="2"/>
        <v>61.920000000000044</v>
      </c>
      <c r="C158" s="64">
        <f t="shared" si="4"/>
        <v>62.041856000000045</v>
      </c>
      <c r="D158" s="64">
        <f t="shared" si="4"/>
        <v>62.879616000000041</v>
      </c>
      <c r="E158" s="64">
        <f t="shared" si="4"/>
        <v>65.000672000000037</v>
      </c>
      <c r="F158" s="64">
        <f t="shared" si="4"/>
        <v>68.812480000000036</v>
      </c>
      <c r="G158" s="64">
        <f t="shared" si="4"/>
        <v>74.562560000000033</v>
      </c>
      <c r="H158" s="64">
        <f t="shared" si="4"/>
        <v>81.950080000000014</v>
      </c>
      <c r="I158" s="64">
        <f t="shared" si="4"/>
        <v>90.556160000000006</v>
      </c>
      <c r="J158" s="64">
        <f t="shared" si="4"/>
        <v>100</v>
      </c>
    </row>
    <row r="159" spans="1:10" ht="20.100000000000001" customHeight="1" x14ac:dyDescent="0.25">
      <c r="A159" s="63">
        <f t="shared" si="1"/>
        <v>0.74000000000000032</v>
      </c>
      <c r="B159" s="64">
        <f t="shared" si="2"/>
        <v>64.380000000000038</v>
      </c>
      <c r="C159" s="64">
        <f t="shared" si="4"/>
        <v>64.49398400000004</v>
      </c>
      <c r="D159" s="64">
        <f t="shared" si="4"/>
        <v>65.277624000000031</v>
      </c>
      <c r="E159" s="64">
        <f t="shared" si="4"/>
        <v>67.26165800000004</v>
      </c>
      <c r="F159" s="64">
        <f t="shared" si="4"/>
        <v>70.82722000000004</v>
      </c>
      <c r="G159" s="64">
        <f t="shared" si="4"/>
        <v>76.205840000000023</v>
      </c>
      <c r="H159" s="64">
        <f t="shared" si="4"/>
        <v>83.116120000000024</v>
      </c>
      <c r="I159" s="64">
        <f t="shared" si="4"/>
        <v>91.166240000000016</v>
      </c>
      <c r="J159" s="64">
        <f t="shared" si="4"/>
        <v>100</v>
      </c>
    </row>
    <row r="160" spans="1:10" ht="20.100000000000001" customHeight="1" x14ac:dyDescent="0.25">
      <c r="A160" s="63">
        <f t="shared" si="1"/>
        <v>0.76000000000000034</v>
      </c>
      <c r="B160" s="64">
        <f t="shared" si="2"/>
        <v>66.880000000000052</v>
      </c>
      <c r="C160" s="64">
        <f t="shared" si="4"/>
        <v>66.985984000000059</v>
      </c>
      <c r="D160" s="64">
        <f t="shared" si="4"/>
        <v>67.714624000000057</v>
      </c>
      <c r="E160" s="64">
        <f t="shared" si="4"/>
        <v>69.559408000000047</v>
      </c>
      <c r="F160" s="64">
        <f t="shared" si="4"/>
        <v>72.874720000000039</v>
      </c>
      <c r="G160" s="64">
        <f t="shared" si="4"/>
        <v>77.875840000000039</v>
      </c>
      <c r="H160" s="64">
        <f t="shared" si="4"/>
        <v>84.301120000000026</v>
      </c>
      <c r="I160" s="64">
        <f t="shared" si="4"/>
        <v>91.786240000000021</v>
      </c>
      <c r="J160" s="64">
        <f t="shared" si="4"/>
        <v>100</v>
      </c>
    </row>
    <row r="161" spans="1:10" ht="20.100000000000001" customHeight="1" x14ac:dyDescent="0.25">
      <c r="A161" s="63">
        <f t="shared" si="1"/>
        <v>0.78000000000000036</v>
      </c>
      <c r="B161" s="64">
        <f t="shared" si="2"/>
        <v>69.420000000000044</v>
      </c>
      <c r="C161" s="64">
        <f t="shared" si="4"/>
        <v>69.517856000000037</v>
      </c>
      <c r="D161" s="64">
        <f t="shared" si="4"/>
        <v>70.190616000000048</v>
      </c>
      <c r="E161" s="64">
        <f t="shared" si="4"/>
        <v>71.893922000000046</v>
      </c>
      <c r="F161" s="64">
        <f t="shared" si="4"/>
        <v>74.954980000000035</v>
      </c>
      <c r="G161" s="64">
        <f t="shared" si="4"/>
        <v>79.572560000000038</v>
      </c>
      <c r="H161" s="64">
        <f t="shared" si="4"/>
        <v>85.505080000000021</v>
      </c>
      <c r="I161" s="64">
        <f t="shared" si="4"/>
        <v>92.416160000000019</v>
      </c>
      <c r="J161" s="64">
        <f t="shared" si="4"/>
        <v>100</v>
      </c>
    </row>
    <row r="162" spans="1:10" ht="20.100000000000001" customHeight="1" x14ac:dyDescent="0.25">
      <c r="A162" s="63">
        <f t="shared" si="1"/>
        <v>0.80000000000000038</v>
      </c>
      <c r="B162" s="64">
        <f t="shared" si="2"/>
        <v>72.000000000000043</v>
      </c>
      <c r="C162" s="64">
        <f t="shared" si="4"/>
        <v>72.089600000000047</v>
      </c>
      <c r="D162" s="64">
        <f t="shared" si="4"/>
        <v>72.705600000000047</v>
      </c>
      <c r="E162" s="64">
        <f t="shared" si="4"/>
        <v>74.265200000000036</v>
      </c>
      <c r="F162" s="64">
        <f t="shared" si="4"/>
        <v>77.06800000000004</v>
      </c>
      <c r="G162" s="64">
        <f t="shared" si="4"/>
        <v>81.296000000000035</v>
      </c>
      <c r="H162" s="64">
        <f t="shared" si="4"/>
        <v>86.728000000000023</v>
      </c>
      <c r="I162" s="64">
        <f t="shared" si="4"/>
        <v>93.056000000000012</v>
      </c>
      <c r="J162" s="64">
        <f t="shared" si="4"/>
        <v>100</v>
      </c>
    </row>
    <row r="163" spans="1:10" ht="20.100000000000001" customHeight="1" x14ac:dyDescent="0.25">
      <c r="A163" s="63">
        <f t="shared" si="1"/>
        <v>0.8200000000000004</v>
      </c>
      <c r="B163" s="64">
        <f t="shared" si="2"/>
        <v>74.620000000000047</v>
      </c>
      <c r="C163" s="64">
        <f t="shared" si="4"/>
        <v>74.701216000000045</v>
      </c>
      <c r="D163" s="64">
        <f t="shared" si="4"/>
        <v>75.259576000000052</v>
      </c>
      <c r="E163" s="64">
        <f t="shared" si="4"/>
        <v>76.673242000000045</v>
      </c>
      <c r="F163" s="64">
        <f t="shared" si="4"/>
        <v>79.213780000000042</v>
      </c>
      <c r="G163" s="64">
        <f t="shared" si="4"/>
        <v>83.046160000000029</v>
      </c>
      <c r="H163" s="64">
        <f t="shared" si="4"/>
        <v>87.969880000000018</v>
      </c>
      <c r="I163" s="64">
        <f t="shared" si="4"/>
        <v>93.705760000000012</v>
      </c>
      <c r="J163" s="64">
        <f t="shared" si="4"/>
        <v>100</v>
      </c>
    </row>
    <row r="164" spans="1:10" ht="20.100000000000001" customHeight="1" x14ac:dyDescent="0.25">
      <c r="A164" s="63">
        <f t="shared" si="1"/>
        <v>0.84000000000000041</v>
      </c>
      <c r="B164" s="64">
        <f t="shared" si="2"/>
        <v>77.280000000000058</v>
      </c>
      <c r="C164" s="64">
        <f t="shared" si="4"/>
        <v>77.35270400000006</v>
      </c>
      <c r="D164" s="64">
        <f t="shared" si="4"/>
        <v>77.852544000000051</v>
      </c>
      <c r="E164" s="64">
        <f t="shared" si="4"/>
        <v>79.118048000000059</v>
      </c>
      <c r="F164" s="64">
        <f t="shared" si="4"/>
        <v>81.392320000000041</v>
      </c>
      <c r="G164" s="64">
        <f t="shared" si="4"/>
        <v>84.823040000000034</v>
      </c>
      <c r="H164" s="64">
        <f t="shared" si="4"/>
        <v>89.230720000000019</v>
      </c>
      <c r="I164" s="64">
        <f t="shared" si="4"/>
        <v>94.365440000000021</v>
      </c>
      <c r="J164" s="64">
        <f t="shared" si="4"/>
        <v>100</v>
      </c>
    </row>
    <row r="165" spans="1:10" ht="20.100000000000001" customHeight="1" x14ac:dyDescent="0.25">
      <c r="A165" s="63">
        <f t="shared" si="1"/>
        <v>0.86000000000000043</v>
      </c>
      <c r="B165" s="64">
        <f t="shared" si="2"/>
        <v>79.980000000000047</v>
      </c>
      <c r="C165" s="64">
        <f t="shared" si="4"/>
        <v>80.044064000000049</v>
      </c>
      <c r="D165" s="64">
        <f t="shared" si="4"/>
        <v>80.484504000000044</v>
      </c>
      <c r="E165" s="64">
        <f t="shared" si="4"/>
        <v>81.599618000000049</v>
      </c>
      <c r="F165" s="64">
        <f t="shared" si="4"/>
        <v>83.603620000000035</v>
      </c>
      <c r="G165" s="64">
        <f t="shared" si="4"/>
        <v>86.626640000000037</v>
      </c>
      <c r="H165" s="64">
        <f t="shared" si="4"/>
        <v>90.510520000000028</v>
      </c>
      <c r="I165" s="64">
        <f t="shared" si="4"/>
        <v>95.035040000000009</v>
      </c>
      <c r="J165" s="64">
        <f t="shared" si="4"/>
        <v>100</v>
      </c>
    </row>
    <row r="166" spans="1:10" ht="20.100000000000001" customHeight="1" x14ac:dyDescent="0.25">
      <c r="A166" s="63">
        <f t="shared" si="1"/>
        <v>0.88000000000000045</v>
      </c>
      <c r="B166" s="64">
        <f t="shared" si="2"/>
        <v>82.720000000000056</v>
      </c>
      <c r="C166" s="64">
        <f t="shared" si="4"/>
        <v>82.775296000000054</v>
      </c>
      <c r="D166" s="64">
        <f t="shared" si="4"/>
        <v>83.155456000000058</v>
      </c>
      <c r="E166" s="64">
        <f t="shared" si="4"/>
        <v>84.117952000000045</v>
      </c>
      <c r="F166" s="64">
        <f t="shared" si="4"/>
        <v>85.84768000000004</v>
      </c>
      <c r="G166" s="64">
        <f t="shared" si="4"/>
        <v>88.456960000000038</v>
      </c>
      <c r="H166" s="64">
        <f t="shared" si="4"/>
        <v>91.80928000000003</v>
      </c>
      <c r="I166" s="64">
        <f t="shared" si="4"/>
        <v>95.714560000000006</v>
      </c>
      <c r="J166" s="64">
        <f t="shared" si="4"/>
        <v>100</v>
      </c>
    </row>
    <row r="167" spans="1:10" ht="20.100000000000001" customHeight="1" x14ac:dyDescent="0.25">
      <c r="A167" s="63">
        <f t="shared" si="1"/>
        <v>0.90000000000000047</v>
      </c>
      <c r="B167" s="64">
        <f t="shared" si="2"/>
        <v>85.500000000000071</v>
      </c>
      <c r="C167" s="64">
        <f t="shared" si="4"/>
        <v>85.546400000000077</v>
      </c>
      <c r="D167" s="64">
        <f t="shared" si="4"/>
        <v>85.865400000000065</v>
      </c>
      <c r="E167" s="64">
        <f t="shared" si="4"/>
        <v>86.67305000000006</v>
      </c>
      <c r="F167" s="64">
        <f t="shared" si="4"/>
        <v>88.124500000000054</v>
      </c>
      <c r="G167" s="64">
        <f t="shared" si="4"/>
        <v>90.31400000000005</v>
      </c>
      <c r="H167" s="64">
        <f t="shared" si="4"/>
        <v>93.127000000000038</v>
      </c>
      <c r="I167" s="64">
        <f t="shared" si="4"/>
        <v>96.404000000000025</v>
      </c>
      <c r="J167" s="64">
        <f t="shared" si="4"/>
        <v>100</v>
      </c>
    </row>
    <row r="168" spans="1:10" ht="20.100000000000001" customHeight="1" x14ac:dyDescent="0.25">
      <c r="A168" s="63">
        <f t="shared" si="1"/>
        <v>0.92000000000000048</v>
      </c>
      <c r="B168" s="64">
        <f t="shared" si="2"/>
        <v>88.320000000000064</v>
      </c>
      <c r="C168" s="64">
        <f t="shared" si="4"/>
        <v>88.357376000000059</v>
      </c>
      <c r="D168" s="64">
        <f t="shared" si="4"/>
        <v>88.614336000000065</v>
      </c>
      <c r="E168" s="64">
        <f t="shared" si="4"/>
        <v>89.264912000000052</v>
      </c>
      <c r="F168" s="64">
        <f t="shared" si="4"/>
        <v>90.434080000000051</v>
      </c>
      <c r="G168" s="64">
        <f t="shared" si="4"/>
        <v>92.197760000000045</v>
      </c>
      <c r="H168" s="64">
        <f t="shared" si="4"/>
        <v>94.463680000000025</v>
      </c>
      <c r="I168" s="64">
        <f t="shared" si="4"/>
        <v>97.103360000000009</v>
      </c>
      <c r="J168" s="64">
        <f t="shared" si="4"/>
        <v>100</v>
      </c>
    </row>
    <row r="169" spans="1:10" ht="20.100000000000001" customHeight="1" x14ac:dyDescent="0.25">
      <c r="A169" s="63">
        <f t="shared" si="1"/>
        <v>0.9400000000000005</v>
      </c>
      <c r="B169" s="64">
        <f t="shared" si="2"/>
        <v>91.180000000000078</v>
      </c>
      <c r="C169" s="64">
        <f t="shared" si="4"/>
        <v>91.208224000000072</v>
      </c>
      <c r="D169" s="64">
        <f t="shared" si="4"/>
        <v>91.402264000000073</v>
      </c>
      <c r="E169" s="64">
        <f t="shared" si="4"/>
        <v>91.893538000000078</v>
      </c>
      <c r="F169" s="64">
        <f t="shared" si="4"/>
        <v>92.776420000000059</v>
      </c>
      <c r="G169" s="64">
        <f t="shared" si="4"/>
        <v>94.108240000000052</v>
      </c>
      <c r="H169" s="64">
        <f t="shared" si="4"/>
        <v>95.819320000000033</v>
      </c>
      <c r="I169" s="64">
        <f t="shared" si="4"/>
        <v>97.812640000000016</v>
      </c>
      <c r="J169" s="64">
        <f t="shared" si="4"/>
        <v>100</v>
      </c>
    </row>
    <row r="170" spans="1:10" ht="20.100000000000001" customHeight="1" x14ac:dyDescent="0.25">
      <c r="A170" s="63">
        <f t="shared" si="1"/>
        <v>0.96000000000000052</v>
      </c>
      <c r="B170" s="64">
        <f t="shared" si="2"/>
        <v>94.080000000000069</v>
      </c>
      <c r="C170" s="64">
        <f t="shared" si="4"/>
        <v>94.098944000000074</v>
      </c>
      <c r="D170" s="64">
        <f t="shared" si="4"/>
        <v>94.229184000000075</v>
      </c>
      <c r="E170" s="64">
        <f t="shared" si="4"/>
        <v>94.558928000000066</v>
      </c>
      <c r="F170" s="64">
        <f t="shared" si="4"/>
        <v>95.151520000000062</v>
      </c>
      <c r="G170" s="64">
        <f t="shared" si="4"/>
        <v>96.045440000000042</v>
      </c>
      <c r="H170" s="64">
        <f t="shared" si="4"/>
        <v>97.193920000000034</v>
      </c>
      <c r="I170" s="64">
        <f t="shared" si="4"/>
        <v>98.531840000000017</v>
      </c>
      <c r="J170" s="64">
        <f t="shared" si="4"/>
        <v>100</v>
      </c>
    </row>
    <row r="171" spans="1:10" ht="20.100000000000001" customHeight="1" x14ac:dyDescent="0.25">
      <c r="A171" s="63">
        <f t="shared" si="1"/>
        <v>0.98000000000000054</v>
      </c>
      <c r="B171" s="64">
        <f t="shared" si="2"/>
        <v>97.020000000000081</v>
      </c>
      <c r="C171" s="64">
        <f t="shared" si="4"/>
        <v>97.029536000000078</v>
      </c>
      <c r="D171" s="64">
        <f t="shared" si="4"/>
        <v>97.095096000000083</v>
      </c>
      <c r="E171" s="64">
        <f t="shared" si="4"/>
        <v>97.261082000000073</v>
      </c>
      <c r="F171" s="64">
        <f t="shared" si="4"/>
        <v>97.559380000000061</v>
      </c>
      <c r="G171" s="64">
        <f t="shared" si="4"/>
        <v>98.009360000000058</v>
      </c>
      <c r="H171" s="64">
        <f t="shared" si="4"/>
        <v>98.587480000000042</v>
      </c>
      <c r="I171" s="64">
        <f t="shared" si="4"/>
        <v>99.260960000000026</v>
      </c>
      <c r="J171" s="64">
        <f t="shared" si="4"/>
        <v>100</v>
      </c>
    </row>
    <row r="172" spans="1:10" ht="20.100000000000001" customHeight="1" x14ac:dyDescent="0.25">
      <c r="A172" s="63">
        <f t="shared" si="1"/>
        <v>1.0000000000000004</v>
      </c>
      <c r="B172" s="64">
        <f t="shared" si="2"/>
        <v>100.00000000000007</v>
      </c>
      <c r="C172" s="64">
        <f t="shared" si="4"/>
        <v>100.00000000000007</v>
      </c>
      <c r="D172" s="64">
        <f t="shared" si="4"/>
        <v>100.00000000000007</v>
      </c>
      <c r="E172" s="64">
        <f t="shared" si="4"/>
        <v>100.00000000000007</v>
      </c>
      <c r="F172" s="64">
        <f t="shared" si="4"/>
        <v>100.00000000000006</v>
      </c>
      <c r="G172" s="64">
        <f t="shared" si="4"/>
        <v>100.00000000000004</v>
      </c>
      <c r="H172" s="64">
        <f t="shared" si="4"/>
        <v>100.00000000000003</v>
      </c>
      <c r="I172" s="64">
        <f t="shared" si="4"/>
        <v>100.00000000000001</v>
      </c>
      <c r="J172" s="64">
        <f t="shared" si="4"/>
        <v>100</v>
      </c>
    </row>
    <row r="173" spans="1:10" ht="20.100000000000001" customHeight="1" x14ac:dyDescent="0.25">
      <c r="A173" s="1"/>
      <c r="B173" s="1"/>
      <c r="C173" s="1"/>
      <c r="D173" s="1"/>
      <c r="E173" s="1"/>
      <c r="F173" s="1"/>
      <c r="G173" s="1"/>
      <c r="H173" s="1"/>
      <c r="I173" s="1"/>
      <c r="J173" s="1"/>
    </row>
    <row r="174" spans="1:10" ht="20.100000000000001" customHeight="1" x14ac:dyDescent="0.25">
      <c r="A174" s="119" t="s">
        <v>359</v>
      </c>
      <c r="B174" s="119"/>
      <c r="C174" s="119"/>
      <c r="D174" s="119"/>
      <c r="E174" s="119"/>
      <c r="F174" s="119"/>
      <c r="G174" s="119"/>
      <c r="H174" s="119"/>
      <c r="I174" s="119"/>
      <c r="J174" s="119"/>
    </row>
    <row r="175" spans="1:10" ht="20.100000000000001" customHeight="1" x14ac:dyDescent="0.25">
      <c r="A175" s="1"/>
      <c r="B175" s="1"/>
      <c r="C175" s="1"/>
      <c r="D175" s="1"/>
      <c r="E175" s="1"/>
      <c r="F175" s="1"/>
      <c r="G175" s="1"/>
      <c r="H175" s="1"/>
      <c r="I175" s="1"/>
      <c r="J175" s="1"/>
    </row>
    <row r="176" spans="1:10" ht="20.100000000000001" customHeight="1" x14ac:dyDescent="0.25">
      <c r="A176" s="1"/>
      <c r="B176" s="1"/>
      <c r="C176" s="1"/>
      <c r="D176" s="1"/>
      <c r="E176" s="65"/>
      <c r="F176" s="65"/>
      <c r="G176" s="65"/>
      <c r="H176" s="65"/>
      <c r="I176" s="65"/>
      <c r="J176" s="65"/>
    </row>
    <row r="177" spans="1:10" ht="20.100000000000001" customHeight="1" x14ac:dyDescent="0.25">
      <c r="A177" s="2"/>
      <c r="B177" s="2"/>
      <c r="C177" s="7"/>
      <c r="D177" s="8"/>
      <c r="E177" s="65"/>
      <c r="F177" s="65"/>
      <c r="G177" s="65"/>
      <c r="H177" s="65"/>
      <c r="I177" s="65"/>
      <c r="J177" s="65"/>
    </row>
    <row r="178" spans="1:10" ht="20.100000000000001" customHeight="1" x14ac:dyDescent="0.25">
      <c r="A178" s="2"/>
      <c r="B178" s="2"/>
      <c r="C178" s="7"/>
      <c r="D178" s="8"/>
      <c r="E178" s="65"/>
      <c r="F178" s="65"/>
      <c r="G178" s="65"/>
      <c r="H178" s="65"/>
      <c r="I178" s="65"/>
      <c r="J178" s="65"/>
    </row>
    <row r="179" spans="1:10" ht="20.100000000000001" customHeight="1" x14ac:dyDescent="0.25">
      <c r="A179" s="2"/>
      <c r="B179" s="2"/>
      <c r="C179" s="7"/>
      <c r="D179" s="8"/>
      <c r="E179" s="65"/>
      <c r="F179" s="65"/>
      <c r="G179" s="65"/>
      <c r="H179" s="65"/>
      <c r="I179" s="65"/>
      <c r="J179" s="65"/>
    </row>
    <row r="180" spans="1:10" ht="20.100000000000001" customHeight="1" x14ac:dyDescent="0.25">
      <c r="A180" s="1"/>
      <c r="B180" s="1"/>
      <c r="C180" s="7"/>
      <c r="D180" s="8"/>
      <c r="E180" s="65"/>
      <c r="F180" s="65"/>
      <c r="G180" s="65"/>
      <c r="H180" s="65"/>
      <c r="I180" s="65"/>
      <c r="J180" s="65"/>
    </row>
    <row r="181" spans="1:10" ht="20.100000000000001" customHeight="1" x14ac:dyDescent="0.25">
      <c r="A181" s="1"/>
      <c r="B181" s="1"/>
      <c r="C181" s="7"/>
      <c r="D181" s="8"/>
      <c r="E181" s="65"/>
      <c r="F181" s="65"/>
      <c r="G181" s="65"/>
      <c r="H181" s="65"/>
      <c r="I181" s="65"/>
      <c r="J181" s="65"/>
    </row>
    <row r="182" spans="1:10" ht="20.100000000000001" customHeight="1" x14ac:dyDescent="0.25">
      <c r="A182" s="1"/>
      <c r="B182" s="1"/>
      <c r="C182" s="7"/>
      <c r="D182" s="8"/>
      <c r="E182" s="65"/>
      <c r="F182" s="65"/>
      <c r="G182" s="65"/>
      <c r="H182" s="65"/>
      <c r="I182" s="65"/>
      <c r="J182" s="65"/>
    </row>
    <row r="183" spans="1:10" ht="20.100000000000001" customHeight="1" x14ac:dyDescent="0.25">
      <c r="A183" s="1"/>
      <c r="B183" s="1"/>
      <c r="C183" s="7"/>
      <c r="D183" s="8"/>
      <c r="E183" s="65"/>
      <c r="F183" s="65"/>
      <c r="G183" s="65"/>
      <c r="H183" s="65"/>
      <c r="I183" s="65"/>
      <c r="J183" s="65"/>
    </row>
    <row r="184" spans="1:10" ht="20.100000000000001" customHeight="1" x14ac:dyDescent="0.25">
      <c r="A184" s="1"/>
      <c r="B184" s="1"/>
      <c r="C184" s="7"/>
      <c r="D184" s="8"/>
      <c r="E184" s="65"/>
      <c r="F184" s="65"/>
      <c r="G184" s="65"/>
      <c r="H184" s="65"/>
      <c r="I184" s="65"/>
      <c r="J184" s="65"/>
    </row>
    <row r="185" spans="1:10" ht="20.100000000000001" customHeight="1" x14ac:dyDescent="0.25">
      <c r="A185" s="1"/>
      <c r="B185" s="1"/>
      <c r="C185" s="7"/>
      <c r="D185" s="8"/>
      <c r="E185" s="65"/>
      <c r="F185" s="65"/>
      <c r="G185" s="65"/>
      <c r="H185" s="65"/>
      <c r="I185" s="65"/>
      <c r="J185" s="65"/>
    </row>
    <row r="186" spans="1:10" ht="20.100000000000001" customHeight="1" x14ac:dyDescent="0.25">
      <c r="A186" s="1"/>
      <c r="B186" s="1"/>
      <c r="C186" s="7"/>
      <c r="D186" s="8"/>
      <c r="E186" s="65"/>
      <c r="F186" s="65"/>
      <c r="G186" s="65"/>
      <c r="H186" s="65"/>
      <c r="I186" s="65"/>
      <c r="J186" s="65"/>
    </row>
    <row r="187" spans="1:10" ht="20.100000000000001" customHeight="1" x14ac:dyDescent="0.25">
      <c r="A187" s="1"/>
      <c r="B187" s="1"/>
      <c r="C187" s="1"/>
      <c r="D187" s="1"/>
      <c r="E187" s="1"/>
      <c r="F187" s="1"/>
      <c r="G187" s="1"/>
      <c r="H187" s="1"/>
      <c r="I187" s="1"/>
      <c r="J187" s="1"/>
    </row>
    <row r="188" spans="1:10" ht="20.100000000000001" customHeight="1" x14ac:dyDescent="0.25">
      <c r="A188" s="1"/>
      <c r="B188" s="1"/>
      <c r="C188" s="1"/>
      <c r="D188" s="1"/>
      <c r="E188" s="1"/>
      <c r="F188" s="1"/>
      <c r="G188" s="1"/>
      <c r="H188" s="1"/>
      <c r="I188" s="1"/>
      <c r="J188" s="1"/>
    </row>
    <row r="189" spans="1:10" ht="20.100000000000001" customHeight="1" x14ac:dyDescent="0.25">
      <c r="A189" s="264" t="str">
        <f>A118</f>
        <v>IDADE EM % DA VIDA ÚTIL</v>
      </c>
      <c r="B189" s="265" t="str">
        <f t="shared" ref="B189:J189" si="5">B118</f>
        <v>ESTADO DE CONSERVAÇÃO</v>
      </c>
      <c r="C189" s="266">
        <f t="shared" si="5"/>
        <v>0</v>
      </c>
      <c r="D189" s="266">
        <f t="shared" si="5"/>
        <v>0</v>
      </c>
      <c r="E189" s="266">
        <f t="shared" si="5"/>
        <v>0</v>
      </c>
      <c r="F189" s="266">
        <f t="shared" si="5"/>
        <v>0</v>
      </c>
      <c r="G189" s="266">
        <f t="shared" si="5"/>
        <v>0</v>
      </c>
      <c r="H189" s="266">
        <f t="shared" si="5"/>
        <v>0</v>
      </c>
      <c r="I189" s="266">
        <f t="shared" si="5"/>
        <v>0</v>
      </c>
      <c r="J189" s="267">
        <f t="shared" si="5"/>
        <v>0</v>
      </c>
    </row>
    <row r="190" spans="1:10" ht="20.100000000000001" customHeight="1" x14ac:dyDescent="0.25">
      <c r="A190" s="264">
        <f t="shared" ref="A190:J205" si="6">A119</f>
        <v>0</v>
      </c>
      <c r="B190" s="263" t="s">
        <v>360</v>
      </c>
      <c r="C190" s="263">
        <f t="shared" si="6"/>
        <v>0</v>
      </c>
      <c r="D190" s="263">
        <f t="shared" si="6"/>
        <v>0</v>
      </c>
      <c r="E190" s="263">
        <f t="shared" si="6"/>
        <v>0</v>
      </c>
      <c r="F190" s="263">
        <f t="shared" si="6"/>
        <v>0</v>
      </c>
      <c r="G190" s="263">
        <f t="shared" si="6"/>
        <v>0</v>
      </c>
      <c r="H190" s="263">
        <f t="shared" si="6"/>
        <v>0</v>
      </c>
      <c r="I190" s="263">
        <f t="shared" si="6"/>
        <v>0</v>
      </c>
      <c r="J190" s="263">
        <f t="shared" si="6"/>
        <v>0</v>
      </c>
    </row>
    <row r="191" spans="1:10" ht="20.100000000000001" customHeight="1" x14ac:dyDescent="0.25">
      <c r="A191" s="264">
        <f t="shared" si="6"/>
        <v>0</v>
      </c>
      <c r="B191" s="264" t="str">
        <f t="shared" si="6"/>
        <v>Classificação do estado de conservação de acordo com a tabela de Heidecke</v>
      </c>
      <c r="C191" s="264">
        <f t="shared" si="6"/>
        <v>0</v>
      </c>
      <c r="D191" s="264">
        <f t="shared" si="6"/>
        <v>0</v>
      </c>
      <c r="E191" s="264">
        <f t="shared" si="6"/>
        <v>0</v>
      </c>
      <c r="F191" s="264">
        <f t="shared" si="6"/>
        <v>0</v>
      </c>
      <c r="G191" s="264">
        <f t="shared" si="6"/>
        <v>0</v>
      </c>
      <c r="H191" s="264">
        <f t="shared" si="6"/>
        <v>0</v>
      </c>
      <c r="I191" s="264">
        <f t="shared" si="6"/>
        <v>0</v>
      </c>
      <c r="J191" s="264">
        <f t="shared" si="6"/>
        <v>0</v>
      </c>
    </row>
    <row r="192" spans="1:10" ht="20.100000000000001" customHeight="1" x14ac:dyDescent="0.25">
      <c r="A192" s="264">
        <f t="shared" si="6"/>
        <v>0</v>
      </c>
      <c r="B192" s="62" t="str">
        <f t="shared" si="6"/>
        <v>A</v>
      </c>
      <c r="C192" s="62" t="str">
        <f t="shared" si="6"/>
        <v>B</v>
      </c>
      <c r="D192" s="62" t="str">
        <f t="shared" si="6"/>
        <v>C</v>
      </c>
      <c r="E192" s="62" t="str">
        <f t="shared" si="6"/>
        <v>D</v>
      </c>
      <c r="F192" s="62" t="str">
        <f t="shared" si="6"/>
        <v>E</v>
      </c>
      <c r="G192" s="62" t="str">
        <f t="shared" si="6"/>
        <v>F</v>
      </c>
      <c r="H192" s="62" t="str">
        <f t="shared" si="6"/>
        <v>G</v>
      </c>
      <c r="I192" s="62" t="str">
        <f t="shared" si="6"/>
        <v>H</v>
      </c>
      <c r="J192" s="62" t="str">
        <f t="shared" si="6"/>
        <v>I</v>
      </c>
    </row>
    <row r="193" spans="1:10" ht="20.100000000000001" customHeight="1" x14ac:dyDescent="0.25">
      <c r="A193" s="66">
        <f t="shared" si="6"/>
        <v>0</v>
      </c>
      <c r="B193" s="67">
        <f>-(B122/100)</f>
        <v>0</v>
      </c>
      <c r="C193" s="67">
        <f t="shared" ref="C193:J193" si="7">-(C122/100)</f>
        <v>-3.2000000000000002E-3</v>
      </c>
      <c r="D193" s="67">
        <f t="shared" si="7"/>
        <v>-2.52E-2</v>
      </c>
      <c r="E193" s="67">
        <f t="shared" si="7"/>
        <v>-8.09E-2</v>
      </c>
      <c r="F193" s="67">
        <f t="shared" si="7"/>
        <v>-0.18100000000000002</v>
      </c>
      <c r="G193" s="67">
        <f t="shared" si="7"/>
        <v>-0.33200000000000002</v>
      </c>
      <c r="H193" s="67">
        <f t="shared" si="7"/>
        <v>-0.52600000000000002</v>
      </c>
      <c r="I193" s="67">
        <f t="shared" si="7"/>
        <v>-0.752</v>
      </c>
      <c r="J193" s="67">
        <f t="shared" si="7"/>
        <v>-1</v>
      </c>
    </row>
    <row r="194" spans="1:10" ht="20.100000000000001" customHeight="1" x14ac:dyDescent="0.25">
      <c r="A194" s="66">
        <f t="shared" si="6"/>
        <v>0.02</v>
      </c>
      <c r="B194" s="67">
        <f t="shared" ref="B194:J209" si="8">-(B123/100)</f>
        <v>-1.0200000000000001E-2</v>
      </c>
      <c r="C194" s="67">
        <f t="shared" si="8"/>
        <v>-1.3367360000000002E-2</v>
      </c>
      <c r="D194" s="67">
        <f t="shared" si="8"/>
        <v>-3.5142960000000001E-2</v>
      </c>
      <c r="E194" s="67">
        <f t="shared" si="8"/>
        <v>-9.0274819999999992E-2</v>
      </c>
      <c r="F194" s="67">
        <f t="shared" si="8"/>
        <v>-0.18935380000000002</v>
      </c>
      <c r="G194" s="67">
        <f t="shared" si="8"/>
        <v>-0.3388136000000001</v>
      </c>
      <c r="H194" s="67">
        <f t="shared" si="8"/>
        <v>-0.53083480000000005</v>
      </c>
      <c r="I194" s="67">
        <f t="shared" si="8"/>
        <v>-0.75452960000000002</v>
      </c>
      <c r="J194" s="67">
        <f t="shared" si="8"/>
        <v>-1</v>
      </c>
    </row>
    <row r="195" spans="1:10" ht="20.100000000000001" customHeight="1" x14ac:dyDescent="0.25">
      <c r="A195" s="66">
        <f t="shared" si="6"/>
        <v>0.04</v>
      </c>
      <c r="B195" s="67">
        <f t="shared" si="8"/>
        <v>-2.0799999999999999E-2</v>
      </c>
      <c r="C195" s="67">
        <f t="shared" si="8"/>
        <v>-2.393344E-2</v>
      </c>
      <c r="D195" s="67">
        <f t="shared" si="8"/>
        <v>-4.5475840000000003E-2</v>
      </c>
      <c r="E195" s="67">
        <f t="shared" si="8"/>
        <v>-0.10001728</v>
      </c>
      <c r="F195" s="67">
        <f t="shared" si="8"/>
        <v>-0.19803519999999999</v>
      </c>
      <c r="G195" s="67">
        <f t="shared" si="8"/>
        <v>-0.34589440000000005</v>
      </c>
      <c r="H195" s="67">
        <f t="shared" si="8"/>
        <v>-0.53585919999999998</v>
      </c>
      <c r="I195" s="67">
        <f t="shared" si="8"/>
        <v>-0.75715840000000001</v>
      </c>
      <c r="J195" s="67">
        <f t="shared" si="8"/>
        <v>-1</v>
      </c>
    </row>
    <row r="196" spans="1:10" ht="20.100000000000001" customHeight="1" x14ac:dyDescent="0.25">
      <c r="A196" s="66">
        <f t="shared" si="6"/>
        <v>0.06</v>
      </c>
      <c r="B196" s="67">
        <f t="shared" si="8"/>
        <v>-3.1800000000000002E-2</v>
      </c>
      <c r="C196" s="67">
        <f t="shared" si="8"/>
        <v>-3.4898239999999997E-2</v>
      </c>
      <c r="D196" s="67">
        <f t="shared" si="8"/>
        <v>-5.6198639999999994E-2</v>
      </c>
      <c r="E196" s="67">
        <f t="shared" si="8"/>
        <v>-0.11012737999999998</v>
      </c>
      <c r="F196" s="67">
        <f t="shared" si="8"/>
        <v>-0.20704419999999998</v>
      </c>
      <c r="G196" s="67">
        <f t="shared" si="8"/>
        <v>-0.35324239999999996</v>
      </c>
      <c r="H196" s="67">
        <f t="shared" si="8"/>
        <v>-0.54107320000000003</v>
      </c>
      <c r="I196" s="67">
        <f t="shared" si="8"/>
        <v>-0.75988640000000007</v>
      </c>
      <c r="J196" s="67">
        <f t="shared" si="8"/>
        <v>-1</v>
      </c>
    </row>
    <row r="197" spans="1:10" ht="20.100000000000001" customHeight="1" x14ac:dyDescent="0.25">
      <c r="A197" s="66">
        <f t="shared" si="6"/>
        <v>0.08</v>
      </c>
      <c r="B197" s="67">
        <f t="shared" si="8"/>
        <v>-4.3200000000000002E-2</v>
      </c>
      <c r="C197" s="67">
        <f t="shared" si="8"/>
        <v>-4.6261759999999999E-2</v>
      </c>
      <c r="D197" s="67">
        <f t="shared" si="8"/>
        <v>-6.7311360000000015E-2</v>
      </c>
      <c r="E197" s="67">
        <f t="shared" si="8"/>
        <v>-0.12060512</v>
      </c>
      <c r="F197" s="67">
        <f t="shared" si="8"/>
        <v>-0.21638080000000001</v>
      </c>
      <c r="G197" s="67">
        <f t="shared" si="8"/>
        <v>-0.36085760000000006</v>
      </c>
      <c r="H197" s="67">
        <f t="shared" si="8"/>
        <v>-0.5464768000000001</v>
      </c>
      <c r="I197" s="67">
        <f t="shared" si="8"/>
        <v>-0.7627136000000001</v>
      </c>
      <c r="J197" s="67">
        <f t="shared" si="8"/>
        <v>-1</v>
      </c>
    </row>
    <row r="198" spans="1:10" ht="20.100000000000001" customHeight="1" x14ac:dyDescent="0.25">
      <c r="A198" s="66">
        <f t="shared" si="6"/>
        <v>0.1</v>
      </c>
      <c r="B198" s="67">
        <f t="shared" si="8"/>
        <v>-5.5000000000000007E-2</v>
      </c>
      <c r="C198" s="67">
        <f t="shared" si="8"/>
        <v>-5.8024000000000006E-2</v>
      </c>
      <c r="D198" s="67">
        <f t="shared" si="8"/>
        <v>-7.8814000000000009E-2</v>
      </c>
      <c r="E198" s="67">
        <f t="shared" si="8"/>
        <v>-0.13145050000000003</v>
      </c>
      <c r="F198" s="67">
        <f t="shared" si="8"/>
        <v>-0.22604500000000002</v>
      </c>
      <c r="G198" s="67">
        <f t="shared" si="8"/>
        <v>-0.36874000000000001</v>
      </c>
      <c r="H198" s="67">
        <f t="shared" si="8"/>
        <v>-0.55207000000000006</v>
      </c>
      <c r="I198" s="67">
        <f t="shared" si="8"/>
        <v>-0.7656400000000001</v>
      </c>
      <c r="J198" s="67">
        <f t="shared" si="8"/>
        <v>-1</v>
      </c>
    </row>
    <row r="199" spans="1:10" ht="20.100000000000001" customHeight="1" x14ac:dyDescent="0.25">
      <c r="A199" s="66">
        <f t="shared" si="6"/>
        <v>0.12000000000000001</v>
      </c>
      <c r="B199" s="67">
        <f t="shared" si="8"/>
        <v>-6.720000000000001E-2</v>
      </c>
      <c r="C199" s="67">
        <f t="shared" si="8"/>
        <v>-7.0184960000000005E-2</v>
      </c>
      <c r="D199" s="67">
        <f t="shared" si="8"/>
        <v>-9.0706560000000019E-2</v>
      </c>
      <c r="E199" s="67">
        <f t="shared" si="8"/>
        <v>-0.14266352000000002</v>
      </c>
      <c r="F199" s="67">
        <f t="shared" si="8"/>
        <v>-0.23603680000000005</v>
      </c>
      <c r="G199" s="67">
        <f t="shared" si="8"/>
        <v>-0.37688959999999999</v>
      </c>
      <c r="H199" s="67">
        <f t="shared" si="8"/>
        <v>-0.55785280000000004</v>
      </c>
      <c r="I199" s="67">
        <f t="shared" si="8"/>
        <v>-0.76866559999999995</v>
      </c>
      <c r="J199" s="67">
        <f t="shared" si="8"/>
        <v>-1</v>
      </c>
    </row>
    <row r="200" spans="1:10" ht="20.100000000000001" customHeight="1" x14ac:dyDescent="0.25">
      <c r="A200" s="66">
        <f t="shared" si="6"/>
        <v>0.14000000000000001</v>
      </c>
      <c r="B200" s="67">
        <f t="shared" si="8"/>
        <v>-7.980000000000001E-2</v>
      </c>
      <c r="C200" s="67">
        <f t="shared" si="8"/>
        <v>-8.2744640000000022E-2</v>
      </c>
      <c r="D200" s="67">
        <f t="shared" si="8"/>
        <v>-0.10298904</v>
      </c>
      <c r="E200" s="67">
        <f t="shared" si="8"/>
        <v>-0.15424418000000001</v>
      </c>
      <c r="F200" s="67">
        <f t="shared" si="8"/>
        <v>-0.24635620000000003</v>
      </c>
      <c r="G200" s="67">
        <f t="shared" si="8"/>
        <v>-0.38530640000000005</v>
      </c>
      <c r="H200" s="67">
        <f t="shared" si="8"/>
        <v>-0.56382520000000003</v>
      </c>
      <c r="I200" s="67">
        <f t="shared" si="8"/>
        <v>-0.77179039999999999</v>
      </c>
      <c r="J200" s="67">
        <f t="shared" si="8"/>
        <v>-1</v>
      </c>
    </row>
    <row r="201" spans="1:10" ht="20.100000000000001" customHeight="1" x14ac:dyDescent="0.25">
      <c r="A201" s="66">
        <f t="shared" si="6"/>
        <v>0.16</v>
      </c>
      <c r="B201" s="67">
        <f t="shared" si="8"/>
        <v>-9.2800000000000007E-2</v>
      </c>
      <c r="C201" s="67">
        <f t="shared" si="8"/>
        <v>-9.5703040000000017E-2</v>
      </c>
      <c r="D201" s="67">
        <f t="shared" si="8"/>
        <v>-0.11566144000000002</v>
      </c>
      <c r="E201" s="67">
        <f t="shared" si="8"/>
        <v>-0.16619248000000003</v>
      </c>
      <c r="F201" s="67">
        <f t="shared" si="8"/>
        <v>-0.25700319999999999</v>
      </c>
      <c r="G201" s="67">
        <f t="shared" si="8"/>
        <v>-0.39399040000000002</v>
      </c>
      <c r="H201" s="67">
        <f t="shared" si="8"/>
        <v>-0.56998720000000003</v>
      </c>
      <c r="I201" s="67">
        <f t="shared" si="8"/>
        <v>-0.77501439999999999</v>
      </c>
      <c r="J201" s="67">
        <f t="shared" si="8"/>
        <v>-1</v>
      </c>
    </row>
    <row r="202" spans="1:10" ht="20.100000000000001" customHeight="1" x14ac:dyDescent="0.25">
      <c r="A202" s="66">
        <f t="shared" si="6"/>
        <v>0.18</v>
      </c>
      <c r="B202" s="67">
        <f t="shared" si="8"/>
        <v>-0.10619999999999999</v>
      </c>
      <c r="C202" s="67">
        <f t="shared" si="8"/>
        <v>-0.10906015999999999</v>
      </c>
      <c r="D202" s="67">
        <f t="shared" si="8"/>
        <v>-0.12872375999999999</v>
      </c>
      <c r="E202" s="67">
        <f t="shared" si="8"/>
        <v>-0.17850842</v>
      </c>
      <c r="F202" s="67">
        <f t="shared" si="8"/>
        <v>-0.26797779999999993</v>
      </c>
      <c r="G202" s="67">
        <f t="shared" si="8"/>
        <v>-0.40294159999999996</v>
      </c>
      <c r="H202" s="67">
        <f t="shared" si="8"/>
        <v>-0.57633879999999993</v>
      </c>
      <c r="I202" s="67">
        <f t="shared" si="8"/>
        <v>-0.77833760000000007</v>
      </c>
      <c r="J202" s="67">
        <f t="shared" si="8"/>
        <v>-1</v>
      </c>
    </row>
    <row r="203" spans="1:10" ht="20.100000000000001" customHeight="1" x14ac:dyDescent="0.25">
      <c r="A203" s="66">
        <f t="shared" si="6"/>
        <v>0.19999999999999998</v>
      </c>
      <c r="B203" s="67">
        <f t="shared" si="8"/>
        <v>-0.12</v>
      </c>
      <c r="C203" s="67">
        <f t="shared" si="8"/>
        <v>-0.12281599999999999</v>
      </c>
      <c r="D203" s="67">
        <f t="shared" si="8"/>
        <v>-0.142176</v>
      </c>
      <c r="E203" s="67">
        <f t="shared" si="8"/>
        <v>-0.191192</v>
      </c>
      <c r="F203" s="67">
        <f t="shared" si="8"/>
        <v>-0.27928000000000003</v>
      </c>
      <c r="G203" s="67">
        <f t="shared" si="8"/>
        <v>-0.41216000000000008</v>
      </c>
      <c r="H203" s="67">
        <f t="shared" si="8"/>
        <v>-0.58288000000000006</v>
      </c>
      <c r="I203" s="67">
        <f t="shared" si="8"/>
        <v>-0.78176000000000001</v>
      </c>
      <c r="J203" s="67">
        <f t="shared" si="8"/>
        <v>-1</v>
      </c>
    </row>
    <row r="204" spans="1:10" ht="20.100000000000001" customHeight="1" x14ac:dyDescent="0.25">
      <c r="A204" s="66">
        <f t="shared" si="6"/>
        <v>0.21999999999999997</v>
      </c>
      <c r="B204" s="67">
        <f t="shared" si="8"/>
        <v>-0.13419999999999999</v>
      </c>
      <c r="C204" s="67">
        <f t="shared" si="8"/>
        <v>-0.13697055999999999</v>
      </c>
      <c r="D204" s="67">
        <f t="shared" si="8"/>
        <v>-0.15601815999999999</v>
      </c>
      <c r="E204" s="67">
        <f t="shared" si="8"/>
        <v>-0.20424321999999998</v>
      </c>
      <c r="F204" s="67">
        <f t="shared" si="8"/>
        <v>-0.2909098</v>
      </c>
      <c r="G204" s="67">
        <f t="shared" si="8"/>
        <v>-0.42164559999999995</v>
      </c>
      <c r="H204" s="67">
        <f t="shared" si="8"/>
        <v>-0.58961079999999999</v>
      </c>
      <c r="I204" s="67">
        <f t="shared" si="8"/>
        <v>-0.78528160000000002</v>
      </c>
      <c r="J204" s="67">
        <f t="shared" si="8"/>
        <v>-1</v>
      </c>
    </row>
    <row r="205" spans="1:10" ht="20.100000000000001" customHeight="1" x14ac:dyDescent="0.25">
      <c r="A205" s="66">
        <f t="shared" si="6"/>
        <v>0.23999999999999996</v>
      </c>
      <c r="B205" s="67">
        <f t="shared" si="8"/>
        <v>-0.14879999999999999</v>
      </c>
      <c r="C205" s="67">
        <f t="shared" si="8"/>
        <v>-0.15152383999999999</v>
      </c>
      <c r="D205" s="67">
        <f t="shared" si="8"/>
        <v>-0.17025024</v>
      </c>
      <c r="E205" s="67">
        <f t="shared" si="8"/>
        <v>-0.21766207999999998</v>
      </c>
      <c r="F205" s="67">
        <f t="shared" si="8"/>
        <v>-0.3028672</v>
      </c>
      <c r="G205" s="67">
        <f t="shared" si="8"/>
        <v>-0.43139840000000007</v>
      </c>
      <c r="H205" s="67">
        <f t="shared" si="8"/>
        <v>-0.59653120000000004</v>
      </c>
      <c r="I205" s="67">
        <f t="shared" si="8"/>
        <v>-0.7889024</v>
      </c>
      <c r="J205" s="67">
        <f t="shared" si="8"/>
        <v>-1</v>
      </c>
    </row>
    <row r="206" spans="1:10" ht="20.100000000000001" customHeight="1" x14ac:dyDescent="0.25">
      <c r="A206" s="66">
        <f t="shared" ref="A206:A209" si="9">A135</f>
        <v>0.25999999999999995</v>
      </c>
      <c r="B206" s="67">
        <f t="shared" si="8"/>
        <v>-0.1638</v>
      </c>
      <c r="C206" s="67">
        <f t="shared" si="8"/>
        <v>-0.16647583999999999</v>
      </c>
      <c r="D206" s="67">
        <f t="shared" si="8"/>
        <v>-0.18487223999999997</v>
      </c>
      <c r="E206" s="67">
        <f t="shared" si="8"/>
        <v>-0.23144857999999999</v>
      </c>
      <c r="F206" s="67">
        <f t="shared" si="8"/>
        <v>-0.31515219999999999</v>
      </c>
      <c r="G206" s="67">
        <f t="shared" si="8"/>
        <v>-0.44141840000000004</v>
      </c>
      <c r="H206" s="67">
        <f t="shared" si="8"/>
        <v>-0.60364119999999999</v>
      </c>
      <c r="I206" s="67">
        <f t="shared" si="8"/>
        <v>-0.79262240000000006</v>
      </c>
      <c r="J206" s="67">
        <f t="shared" si="8"/>
        <v>-1</v>
      </c>
    </row>
    <row r="207" spans="1:10" ht="20.100000000000001" customHeight="1" x14ac:dyDescent="0.25">
      <c r="A207" s="66">
        <f t="shared" si="9"/>
        <v>0.27999999999999997</v>
      </c>
      <c r="B207" s="67">
        <f t="shared" si="8"/>
        <v>-0.17919999999999997</v>
      </c>
      <c r="C207" s="67">
        <f t="shared" si="8"/>
        <v>-0.18182655999999997</v>
      </c>
      <c r="D207" s="67">
        <f t="shared" si="8"/>
        <v>-0.19988415999999998</v>
      </c>
      <c r="E207" s="67">
        <f t="shared" si="8"/>
        <v>-0.24560271999999997</v>
      </c>
      <c r="F207" s="67">
        <f t="shared" si="8"/>
        <v>-0.32776479999999997</v>
      </c>
      <c r="G207" s="67">
        <f t="shared" si="8"/>
        <v>-0.45170559999999993</v>
      </c>
      <c r="H207" s="67">
        <f t="shared" si="8"/>
        <v>-0.61094080000000006</v>
      </c>
      <c r="I207" s="67">
        <f t="shared" si="8"/>
        <v>-0.79644159999999997</v>
      </c>
      <c r="J207" s="67">
        <f t="shared" si="8"/>
        <v>-1</v>
      </c>
    </row>
    <row r="208" spans="1:10" ht="20.100000000000001" customHeight="1" x14ac:dyDescent="0.25">
      <c r="A208" s="66">
        <f t="shared" si="9"/>
        <v>0.3</v>
      </c>
      <c r="B208" s="67">
        <f t="shared" si="8"/>
        <v>-0.19500000000000001</v>
      </c>
      <c r="C208" s="67">
        <f t="shared" si="8"/>
        <v>-0.197576</v>
      </c>
      <c r="D208" s="67">
        <f t="shared" si="8"/>
        <v>-0.21528600000000001</v>
      </c>
      <c r="E208" s="67">
        <f t="shared" si="8"/>
        <v>-0.26012450000000004</v>
      </c>
      <c r="F208" s="67">
        <f t="shared" si="8"/>
        <v>-0.34070500000000004</v>
      </c>
      <c r="G208" s="67">
        <f t="shared" si="8"/>
        <v>-0.46226</v>
      </c>
      <c r="H208" s="67">
        <f t="shared" si="8"/>
        <v>-0.61843000000000004</v>
      </c>
      <c r="I208" s="67">
        <f t="shared" si="8"/>
        <v>-0.80035999999999996</v>
      </c>
      <c r="J208" s="67">
        <f t="shared" si="8"/>
        <v>-1</v>
      </c>
    </row>
    <row r="209" spans="1:10" ht="20.100000000000001" customHeight="1" x14ac:dyDescent="0.25">
      <c r="A209" s="66">
        <f t="shared" si="9"/>
        <v>0.32</v>
      </c>
      <c r="B209" s="67">
        <f t="shared" si="8"/>
        <v>-0.2112</v>
      </c>
      <c r="C209" s="67">
        <f t="shared" si="8"/>
        <v>-0.21372416000000002</v>
      </c>
      <c r="D209" s="67">
        <f t="shared" si="8"/>
        <v>-0.23107776000000002</v>
      </c>
      <c r="E209" s="67">
        <f t="shared" si="8"/>
        <v>-0.27501392000000002</v>
      </c>
      <c r="F209" s="67">
        <f t="shared" si="8"/>
        <v>-0.35397280000000003</v>
      </c>
      <c r="G209" s="67">
        <f t="shared" si="8"/>
        <v>-0.47308159999999999</v>
      </c>
      <c r="H209" s="67">
        <f t="shared" si="8"/>
        <v>-0.62610879999999991</v>
      </c>
      <c r="I209" s="67">
        <f t="shared" si="8"/>
        <v>-0.80437760000000003</v>
      </c>
      <c r="J209" s="67">
        <f t="shared" si="8"/>
        <v>-1</v>
      </c>
    </row>
    <row r="210" spans="1:10" ht="20.100000000000001" customHeight="1" x14ac:dyDescent="0.25">
      <c r="A210" s="66">
        <f>A139</f>
        <v>0.34</v>
      </c>
      <c r="B210" s="67">
        <f t="shared" ref="B210:J225" si="10">-(B139/100)</f>
        <v>-0.22780000000000006</v>
      </c>
      <c r="C210" s="67">
        <f t="shared" si="10"/>
        <v>-0.23027104000000004</v>
      </c>
      <c r="D210" s="67">
        <f t="shared" si="10"/>
        <v>-0.24725944000000005</v>
      </c>
      <c r="E210" s="67">
        <f t="shared" si="10"/>
        <v>-0.29027098000000001</v>
      </c>
      <c r="F210" s="67">
        <f t="shared" si="10"/>
        <v>-0.36756820000000007</v>
      </c>
      <c r="G210" s="67">
        <f t="shared" si="10"/>
        <v>-0.48417040000000006</v>
      </c>
      <c r="H210" s="67">
        <f t="shared" si="10"/>
        <v>-0.63397720000000002</v>
      </c>
      <c r="I210" s="67">
        <f t="shared" si="10"/>
        <v>-0.80849440000000017</v>
      </c>
      <c r="J210" s="67">
        <f t="shared" si="10"/>
        <v>-1</v>
      </c>
    </row>
    <row r="211" spans="1:10" ht="20.100000000000001" customHeight="1" x14ac:dyDescent="0.25">
      <c r="A211" s="66">
        <f t="shared" ref="A211:A225" si="11">A140</f>
        <v>0.36000000000000004</v>
      </c>
      <c r="B211" s="67">
        <f t="shared" si="10"/>
        <v>-0.24480000000000002</v>
      </c>
      <c r="C211" s="67">
        <f t="shared" si="10"/>
        <v>-0.24721664000000002</v>
      </c>
      <c r="D211" s="67">
        <f t="shared" si="10"/>
        <v>-0.26383104000000002</v>
      </c>
      <c r="E211" s="67">
        <f t="shared" si="10"/>
        <v>-0.30589568</v>
      </c>
      <c r="F211" s="67">
        <f t="shared" si="10"/>
        <v>-0.38149119999999997</v>
      </c>
      <c r="G211" s="67">
        <f t="shared" si="10"/>
        <v>-0.49552639999999998</v>
      </c>
      <c r="H211" s="67">
        <f t="shared" si="10"/>
        <v>-0.64203520000000003</v>
      </c>
      <c r="I211" s="67">
        <f t="shared" si="10"/>
        <v>-0.81271039999999994</v>
      </c>
      <c r="J211" s="67">
        <f t="shared" si="10"/>
        <v>-1</v>
      </c>
    </row>
    <row r="212" spans="1:10" ht="20.100000000000001" customHeight="1" x14ac:dyDescent="0.25">
      <c r="A212" s="66">
        <f t="shared" si="11"/>
        <v>0.38000000000000006</v>
      </c>
      <c r="B212" s="67">
        <f t="shared" si="10"/>
        <v>-0.26220000000000004</v>
      </c>
      <c r="C212" s="67">
        <f t="shared" si="10"/>
        <v>-0.26456096000000007</v>
      </c>
      <c r="D212" s="67">
        <f t="shared" si="10"/>
        <v>-0.28079256000000002</v>
      </c>
      <c r="E212" s="67">
        <f t="shared" si="10"/>
        <v>-0.32188802000000005</v>
      </c>
      <c r="F212" s="67">
        <f t="shared" si="10"/>
        <v>-0.39574180000000003</v>
      </c>
      <c r="G212" s="67">
        <f t="shared" si="10"/>
        <v>-0.50714960000000009</v>
      </c>
      <c r="H212" s="67">
        <f t="shared" si="10"/>
        <v>-0.65028279999999994</v>
      </c>
      <c r="I212" s="67">
        <f t="shared" si="10"/>
        <v>-0.81702560000000002</v>
      </c>
      <c r="J212" s="67">
        <f t="shared" si="10"/>
        <v>-1</v>
      </c>
    </row>
    <row r="213" spans="1:10" ht="20.100000000000001" customHeight="1" x14ac:dyDescent="0.25">
      <c r="A213" s="66">
        <f t="shared" si="11"/>
        <v>0.40000000000000008</v>
      </c>
      <c r="B213" s="67">
        <f t="shared" si="10"/>
        <v>-0.28000000000000008</v>
      </c>
      <c r="C213" s="67">
        <f t="shared" si="10"/>
        <v>-0.28230400000000005</v>
      </c>
      <c r="D213" s="67">
        <f t="shared" si="10"/>
        <v>-0.29814400000000008</v>
      </c>
      <c r="E213" s="67">
        <f t="shared" si="10"/>
        <v>-0.3382480000000001</v>
      </c>
      <c r="F213" s="67">
        <f t="shared" si="10"/>
        <v>-0.41032000000000013</v>
      </c>
      <c r="G213" s="67">
        <f t="shared" si="10"/>
        <v>-0.51904000000000006</v>
      </c>
      <c r="H213" s="67">
        <f t="shared" si="10"/>
        <v>-0.65872000000000019</v>
      </c>
      <c r="I213" s="67">
        <f t="shared" si="10"/>
        <v>-0.82144000000000006</v>
      </c>
      <c r="J213" s="67">
        <f t="shared" si="10"/>
        <v>-1</v>
      </c>
    </row>
    <row r="214" spans="1:10" ht="20.100000000000001" customHeight="1" x14ac:dyDescent="0.25">
      <c r="A214" s="66">
        <f t="shared" si="11"/>
        <v>0.4200000000000001</v>
      </c>
      <c r="B214" s="67">
        <f t="shared" si="10"/>
        <v>-0.29820000000000008</v>
      </c>
      <c r="C214" s="67">
        <f t="shared" si="10"/>
        <v>-0.30044576000000006</v>
      </c>
      <c r="D214" s="67">
        <f t="shared" si="10"/>
        <v>-0.31588536000000006</v>
      </c>
      <c r="E214" s="67">
        <f t="shared" si="10"/>
        <v>-0.3549756200000001</v>
      </c>
      <c r="F214" s="67">
        <f t="shared" si="10"/>
        <v>-0.42522580000000004</v>
      </c>
      <c r="G214" s="67">
        <f t="shared" si="10"/>
        <v>-0.53119760000000016</v>
      </c>
      <c r="H214" s="67">
        <f t="shared" si="10"/>
        <v>-0.66734680000000002</v>
      </c>
      <c r="I214" s="67">
        <f t="shared" si="10"/>
        <v>-0.82595359999999995</v>
      </c>
      <c r="J214" s="67">
        <f t="shared" si="10"/>
        <v>-1</v>
      </c>
    </row>
    <row r="215" spans="1:10" ht="20.100000000000001" customHeight="1" x14ac:dyDescent="0.25">
      <c r="A215" s="66">
        <f t="shared" si="11"/>
        <v>0.44000000000000011</v>
      </c>
      <c r="B215" s="67">
        <f t="shared" si="10"/>
        <v>-0.31680000000000008</v>
      </c>
      <c r="C215" s="67">
        <f t="shared" si="10"/>
        <v>-0.31898624000000003</v>
      </c>
      <c r="D215" s="67">
        <f t="shared" si="10"/>
        <v>-0.33401664000000003</v>
      </c>
      <c r="E215" s="67">
        <f t="shared" si="10"/>
        <v>-0.37207088000000005</v>
      </c>
      <c r="F215" s="67">
        <f t="shared" si="10"/>
        <v>-0.44045920000000011</v>
      </c>
      <c r="G215" s="67">
        <f t="shared" si="10"/>
        <v>-0.54362240000000006</v>
      </c>
      <c r="H215" s="67">
        <f t="shared" si="10"/>
        <v>-0.67616319999999996</v>
      </c>
      <c r="I215" s="67">
        <f t="shared" si="10"/>
        <v>-0.83056640000000004</v>
      </c>
      <c r="J215" s="67">
        <f t="shared" si="10"/>
        <v>-1</v>
      </c>
    </row>
    <row r="216" spans="1:10" ht="20.100000000000001" customHeight="1" x14ac:dyDescent="0.25">
      <c r="A216" s="66">
        <f t="shared" si="11"/>
        <v>0.46000000000000013</v>
      </c>
      <c r="B216" s="67">
        <f t="shared" si="10"/>
        <v>-0.3358000000000001</v>
      </c>
      <c r="C216" s="67">
        <f t="shared" si="10"/>
        <v>-0.33792544000000013</v>
      </c>
      <c r="D216" s="67">
        <f t="shared" si="10"/>
        <v>-0.3525378400000001</v>
      </c>
      <c r="E216" s="67">
        <f t="shared" si="10"/>
        <v>-0.38953378000000016</v>
      </c>
      <c r="F216" s="67">
        <f t="shared" si="10"/>
        <v>-0.4560202000000001</v>
      </c>
      <c r="G216" s="67">
        <f t="shared" si="10"/>
        <v>-0.5563144000000001</v>
      </c>
      <c r="H216" s="67">
        <f t="shared" si="10"/>
        <v>-0.68516920000000003</v>
      </c>
      <c r="I216" s="67">
        <f t="shared" si="10"/>
        <v>-0.83527840000000009</v>
      </c>
      <c r="J216" s="67">
        <f t="shared" si="10"/>
        <v>-1</v>
      </c>
    </row>
    <row r="217" spans="1:10" ht="20.100000000000001" customHeight="1" x14ac:dyDescent="0.25">
      <c r="A217" s="66">
        <f t="shared" si="11"/>
        <v>0.48000000000000015</v>
      </c>
      <c r="B217" s="67">
        <f t="shared" si="10"/>
        <v>-0.35520000000000013</v>
      </c>
      <c r="C217" s="67">
        <f t="shared" si="10"/>
        <v>-0.35726336000000009</v>
      </c>
      <c r="D217" s="67">
        <f t="shared" si="10"/>
        <v>-0.37144896000000011</v>
      </c>
      <c r="E217" s="67">
        <f t="shared" si="10"/>
        <v>-0.40736432000000006</v>
      </c>
      <c r="F217" s="67">
        <f t="shared" si="10"/>
        <v>-0.47190880000000007</v>
      </c>
      <c r="G217" s="67">
        <f t="shared" si="10"/>
        <v>-0.56927360000000005</v>
      </c>
      <c r="H217" s="67">
        <f t="shared" si="10"/>
        <v>-0.69436480000000023</v>
      </c>
      <c r="I217" s="67">
        <f t="shared" si="10"/>
        <v>-0.84008959999999999</v>
      </c>
      <c r="J217" s="67">
        <f t="shared" si="10"/>
        <v>-1</v>
      </c>
    </row>
    <row r="218" spans="1:10" ht="20.100000000000001" customHeight="1" x14ac:dyDescent="0.25">
      <c r="A218" s="66">
        <f t="shared" si="11"/>
        <v>0.50000000000000011</v>
      </c>
      <c r="B218" s="67">
        <f t="shared" si="10"/>
        <v>-0.37500000000000017</v>
      </c>
      <c r="C218" s="67">
        <f t="shared" si="10"/>
        <v>-0.37700000000000017</v>
      </c>
      <c r="D218" s="67">
        <f t="shared" si="10"/>
        <v>-0.39075000000000015</v>
      </c>
      <c r="E218" s="67">
        <f t="shared" si="10"/>
        <v>-0.42556250000000012</v>
      </c>
      <c r="F218" s="67">
        <f t="shared" si="10"/>
        <v>-0.48812500000000014</v>
      </c>
      <c r="G218" s="67">
        <f t="shared" si="10"/>
        <v>-0.58250000000000013</v>
      </c>
      <c r="H218" s="67">
        <f t="shared" si="10"/>
        <v>-0.70374999999999999</v>
      </c>
      <c r="I218" s="67">
        <f t="shared" si="10"/>
        <v>-0.84499999999999997</v>
      </c>
      <c r="J218" s="67">
        <f t="shared" si="10"/>
        <v>-1</v>
      </c>
    </row>
    <row r="219" spans="1:10" ht="20.100000000000001" customHeight="1" x14ac:dyDescent="0.25">
      <c r="A219" s="66">
        <f t="shared" si="11"/>
        <v>0.52000000000000013</v>
      </c>
      <c r="B219" s="67">
        <f t="shared" si="10"/>
        <v>-0.39520000000000011</v>
      </c>
      <c r="C219" s="67">
        <f t="shared" si="10"/>
        <v>-0.3971353600000001</v>
      </c>
      <c r="D219" s="67">
        <f t="shared" si="10"/>
        <v>-0.41044096000000008</v>
      </c>
      <c r="E219" s="67">
        <f t="shared" si="10"/>
        <v>-0.44412832000000008</v>
      </c>
      <c r="F219" s="67">
        <f t="shared" si="10"/>
        <v>-0.50466880000000014</v>
      </c>
      <c r="G219" s="67">
        <f t="shared" si="10"/>
        <v>-0.59599360000000001</v>
      </c>
      <c r="H219" s="67">
        <f t="shared" si="10"/>
        <v>-0.71332480000000009</v>
      </c>
      <c r="I219" s="67">
        <f t="shared" si="10"/>
        <v>-0.85000960000000003</v>
      </c>
      <c r="J219" s="67">
        <f t="shared" si="10"/>
        <v>-1</v>
      </c>
    </row>
    <row r="220" spans="1:10" ht="20.100000000000001" customHeight="1" x14ac:dyDescent="0.25">
      <c r="A220" s="66">
        <f t="shared" si="11"/>
        <v>0.54000000000000015</v>
      </c>
      <c r="B220" s="67">
        <f t="shared" si="10"/>
        <v>-0.41580000000000017</v>
      </c>
      <c r="C220" s="67">
        <f t="shared" si="10"/>
        <v>-0.41766944000000017</v>
      </c>
      <c r="D220" s="67">
        <f t="shared" si="10"/>
        <v>-0.43052184000000016</v>
      </c>
      <c r="E220" s="67">
        <f t="shared" si="10"/>
        <v>-0.46306178000000014</v>
      </c>
      <c r="F220" s="67">
        <f t="shared" si="10"/>
        <v>-0.52154020000000012</v>
      </c>
      <c r="G220" s="67">
        <f t="shared" si="10"/>
        <v>-0.60975440000000014</v>
      </c>
      <c r="H220" s="67">
        <f t="shared" si="10"/>
        <v>-0.72308919999999999</v>
      </c>
      <c r="I220" s="67">
        <f t="shared" si="10"/>
        <v>-0.85511840000000006</v>
      </c>
      <c r="J220" s="67">
        <f t="shared" si="10"/>
        <v>-1</v>
      </c>
    </row>
    <row r="221" spans="1:10" ht="20.100000000000001" customHeight="1" x14ac:dyDescent="0.25">
      <c r="A221" s="66">
        <f t="shared" si="11"/>
        <v>0.56000000000000016</v>
      </c>
      <c r="B221" s="67">
        <f t="shared" si="10"/>
        <v>-0.43680000000000019</v>
      </c>
      <c r="C221" s="67">
        <f t="shared" si="10"/>
        <v>-0.43860224000000025</v>
      </c>
      <c r="D221" s="67">
        <f t="shared" si="10"/>
        <v>-0.45099264000000017</v>
      </c>
      <c r="E221" s="67">
        <f t="shared" si="10"/>
        <v>-0.48236288000000016</v>
      </c>
      <c r="F221" s="67">
        <f t="shared" si="10"/>
        <v>-0.5387392000000002</v>
      </c>
      <c r="G221" s="67">
        <f t="shared" si="10"/>
        <v>-0.62378240000000018</v>
      </c>
      <c r="H221" s="67">
        <f t="shared" si="10"/>
        <v>-0.73304320000000023</v>
      </c>
      <c r="I221" s="67">
        <f t="shared" si="10"/>
        <v>-0.86032640000000005</v>
      </c>
      <c r="J221" s="67">
        <f t="shared" si="10"/>
        <v>-1</v>
      </c>
    </row>
    <row r="222" spans="1:10" ht="20.100000000000001" customHeight="1" x14ac:dyDescent="0.25">
      <c r="A222" s="66">
        <f t="shared" si="11"/>
        <v>0.58000000000000018</v>
      </c>
      <c r="B222" s="67">
        <f t="shared" si="10"/>
        <v>-0.45820000000000016</v>
      </c>
      <c r="C222" s="67">
        <f t="shared" si="10"/>
        <v>-0.45993376000000014</v>
      </c>
      <c r="D222" s="67">
        <f t="shared" si="10"/>
        <v>-0.47185336000000011</v>
      </c>
      <c r="E222" s="67">
        <f t="shared" si="10"/>
        <v>-0.50203162000000012</v>
      </c>
      <c r="F222" s="67">
        <f t="shared" si="10"/>
        <v>-0.55626580000000014</v>
      </c>
      <c r="G222" s="67">
        <f t="shared" si="10"/>
        <v>-0.63807760000000013</v>
      </c>
      <c r="H222" s="67">
        <f t="shared" si="10"/>
        <v>-0.74318680000000004</v>
      </c>
      <c r="I222" s="67">
        <f t="shared" si="10"/>
        <v>-0.8656336</v>
      </c>
      <c r="J222" s="67">
        <f t="shared" si="10"/>
        <v>-1</v>
      </c>
    </row>
    <row r="223" spans="1:10" ht="20.100000000000001" customHeight="1" x14ac:dyDescent="0.25">
      <c r="A223" s="66">
        <f t="shared" si="11"/>
        <v>0.6000000000000002</v>
      </c>
      <c r="B223" s="67">
        <f t="shared" si="10"/>
        <v>-0.4800000000000002</v>
      </c>
      <c r="C223" s="67">
        <f t="shared" si="10"/>
        <v>-0.48166400000000026</v>
      </c>
      <c r="D223" s="67">
        <f t="shared" si="10"/>
        <v>-0.49310400000000021</v>
      </c>
      <c r="E223" s="67">
        <f t="shared" si="10"/>
        <v>-0.5220680000000002</v>
      </c>
      <c r="F223" s="67">
        <f t="shared" si="10"/>
        <v>-0.57412000000000019</v>
      </c>
      <c r="G223" s="67">
        <f t="shared" si="10"/>
        <v>-0.65264000000000011</v>
      </c>
      <c r="H223" s="67">
        <f t="shared" si="10"/>
        <v>-0.75352000000000008</v>
      </c>
      <c r="I223" s="67">
        <f t="shared" si="10"/>
        <v>-0.87104000000000015</v>
      </c>
      <c r="J223" s="67">
        <f t="shared" si="10"/>
        <v>-1</v>
      </c>
    </row>
    <row r="224" spans="1:10" ht="20.100000000000001" customHeight="1" x14ac:dyDescent="0.25">
      <c r="A224" s="66">
        <f t="shared" si="11"/>
        <v>0.62000000000000022</v>
      </c>
      <c r="B224" s="67">
        <f t="shared" si="10"/>
        <v>-0.5022000000000002</v>
      </c>
      <c r="C224" s="67">
        <f t="shared" si="10"/>
        <v>-0.50379296000000018</v>
      </c>
      <c r="D224" s="67">
        <f t="shared" si="10"/>
        <v>-0.51474456000000013</v>
      </c>
      <c r="E224" s="67">
        <f t="shared" si="10"/>
        <v>-0.54247202000000017</v>
      </c>
      <c r="F224" s="67">
        <f t="shared" si="10"/>
        <v>-0.59230180000000021</v>
      </c>
      <c r="G224" s="67">
        <f t="shared" si="10"/>
        <v>-0.66746960000000011</v>
      </c>
      <c r="H224" s="67">
        <f t="shared" si="10"/>
        <v>-0.76404280000000013</v>
      </c>
      <c r="I224" s="67">
        <f t="shared" si="10"/>
        <v>-0.87654560000000004</v>
      </c>
      <c r="J224" s="67">
        <f t="shared" si="10"/>
        <v>-1</v>
      </c>
    </row>
    <row r="225" spans="1:10" ht="20.100000000000001" customHeight="1" x14ac:dyDescent="0.25">
      <c r="A225" s="66">
        <f t="shared" si="11"/>
        <v>0.64000000000000024</v>
      </c>
      <c r="B225" s="67">
        <f t="shared" si="10"/>
        <v>-0.52480000000000027</v>
      </c>
      <c r="C225" s="67">
        <f t="shared" si="10"/>
        <v>-0.52632064000000023</v>
      </c>
      <c r="D225" s="67">
        <f t="shared" si="10"/>
        <v>-0.53677504000000031</v>
      </c>
      <c r="E225" s="67">
        <f t="shared" si="10"/>
        <v>-0.56324368000000025</v>
      </c>
      <c r="F225" s="67">
        <f t="shared" si="10"/>
        <v>-0.61081120000000022</v>
      </c>
      <c r="G225" s="67">
        <f t="shared" si="10"/>
        <v>-0.68256640000000024</v>
      </c>
      <c r="H225" s="67">
        <f t="shared" si="10"/>
        <v>-0.7747552000000002</v>
      </c>
      <c r="I225" s="67">
        <f t="shared" si="10"/>
        <v>-0.88215040000000011</v>
      </c>
      <c r="J225" s="67">
        <f t="shared" si="10"/>
        <v>-1</v>
      </c>
    </row>
    <row r="226" spans="1:10" ht="20.100000000000001" customHeight="1" x14ac:dyDescent="0.25">
      <c r="A226" s="66">
        <f>A155</f>
        <v>0.66000000000000025</v>
      </c>
      <c r="B226" s="67">
        <f t="shared" ref="B226:J241" si="12">-(B155/100)</f>
        <v>-0.54780000000000029</v>
      </c>
      <c r="C226" s="67">
        <f t="shared" si="12"/>
        <v>-0.54924704000000024</v>
      </c>
      <c r="D226" s="67">
        <f t="shared" si="12"/>
        <v>-0.55919544000000032</v>
      </c>
      <c r="E226" s="67">
        <f t="shared" si="12"/>
        <v>-0.58438298000000022</v>
      </c>
      <c r="F226" s="67">
        <f t="shared" si="12"/>
        <v>-0.62964820000000021</v>
      </c>
      <c r="G226" s="67">
        <f t="shared" si="12"/>
        <v>-0.69793040000000017</v>
      </c>
      <c r="H226" s="67">
        <f t="shared" si="12"/>
        <v>-0.78565720000000017</v>
      </c>
      <c r="I226" s="67">
        <f t="shared" si="12"/>
        <v>-0.88785440000000004</v>
      </c>
      <c r="J226" s="67">
        <f t="shared" si="12"/>
        <v>-1</v>
      </c>
    </row>
    <row r="227" spans="1:10" ht="20.100000000000001" customHeight="1" x14ac:dyDescent="0.25">
      <c r="A227" s="66">
        <f t="shared" ref="A227:A243" si="13">A156</f>
        <v>0.68000000000000027</v>
      </c>
      <c r="B227" s="67">
        <f t="shared" si="12"/>
        <v>-0.57120000000000037</v>
      </c>
      <c r="C227" s="67">
        <f t="shared" si="12"/>
        <v>-0.57257216000000044</v>
      </c>
      <c r="D227" s="67">
        <f t="shared" si="12"/>
        <v>-0.58200576000000037</v>
      </c>
      <c r="E227" s="67">
        <f t="shared" si="12"/>
        <v>-0.6058899200000003</v>
      </c>
      <c r="F227" s="67">
        <f t="shared" si="12"/>
        <v>-0.6488128000000003</v>
      </c>
      <c r="G227" s="67">
        <f t="shared" si="12"/>
        <v>-0.71356160000000035</v>
      </c>
      <c r="H227" s="67">
        <f t="shared" si="12"/>
        <v>-0.79674880000000015</v>
      </c>
      <c r="I227" s="67">
        <f t="shared" si="12"/>
        <v>-0.89365760000000027</v>
      </c>
      <c r="J227" s="67">
        <f t="shared" si="12"/>
        <v>-1</v>
      </c>
    </row>
    <row r="228" spans="1:10" ht="20.100000000000001" customHeight="1" x14ac:dyDescent="0.25">
      <c r="A228" s="66">
        <f t="shared" si="13"/>
        <v>0.70000000000000029</v>
      </c>
      <c r="B228" s="67">
        <f t="shared" si="12"/>
        <v>-0.59500000000000031</v>
      </c>
      <c r="C228" s="67">
        <f t="shared" si="12"/>
        <v>-0.59629600000000027</v>
      </c>
      <c r="D228" s="67">
        <f t="shared" si="12"/>
        <v>-0.60520600000000035</v>
      </c>
      <c r="E228" s="67">
        <f t="shared" si="12"/>
        <v>-0.62776450000000028</v>
      </c>
      <c r="F228" s="67">
        <f t="shared" si="12"/>
        <v>-0.66830500000000026</v>
      </c>
      <c r="G228" s="67">
        <f t="shared" si="12"/>
        <v>-0.72946000000000022</v>
      </c>
      <c r="H228" s="67">
        <f t="shared" si="12"/>
        <v>-0.80803000000000014</v>
      </c>
      <c r="I228" s="67">
        <f t="shared" si="12"/>
        <v>-0.89956000000000014</v>
      </c>
      <c r="J228" s="67">
        <f t="shared" si="12"/>
        <v>-1</v>
      </c>
    </row>
    <row r="229" spans="1:10" ht="20.100000000000001" customHeight="1" x14ac:dyDescent="0.25">
      <c r="A229" s="66">
        <f t="shared" si="13"/>
        <v>0.72000000000000031</v>
      </c>
      <c r="B229" s="67">
        <f t="shared" si="12"/>
        <v>-0.61920000000000042</v>
      </c>
      <c r="C229" s="67">
        <f t="shared" si="12"/>
        <v>-0.62041856000000051</v>
      </c>
      <c r="D229" s="67">
        <f t="shared" si="12"/>
        <v>-0.62879616000000038</v>
      </c>
      <c r="E229" s="67">
        <f t="shared" si="12"/>
        <v>-0.65000672000000037</v>
      </c>
      <c r="F229" s="67">
        <f t="shared" si="12"/>
        <v>-0.68812480000000031</v>
      </c>
      <c r="G229" s="67">
        <f t="shared" si="12"/>
        <v>-0.74562560000000033</v>
      </c>
      <c r="H229" s="67">
        <f t="shared" si="12"/>
        <v>-0.81950080000000014</v>
      </c>
      <c r="I229" s="67">
        <f t="shared" si="12"/>
        <v>-0.90556160000000008</v>
      </c>
      <c r="J229" s="67">
        <f t="shared" si="12"/>
        <v>-1</v>
      </c>
    </row>
    <row r="230" spans="1:10" ht="20.100000000000001" customHeight="1" x14ac:dyDescent="0.25">
      <c r="A230" s="66">
        <f t="shared" si="13"/>
        <v>0.74000000000000032</v>
      </c>
      <c r="B230" s="67">
        <f t="shared" si="12"/>
        <v>-0.64380000000000037</v>
      </c>
      <c r="C230" s="67">
        <f t="shared" si="12"/>
        <v>-0.64493984000000038</v>
      </c>
      <c r="D230" s="67">
        <f t="shared" si="12"/>
        <v>-0.65277624000000034</v>
      </c>
      <c r="E230" s="67">
        <f t="shared" si="12"/>
        <v>-0.67261658000000035</v>
      </c>
      <c r="F230" s="67">
        <f t="shared" si="12"/>
        <v>-0.70827220000000035</v>
      </c>
      <c r="G230" s="67">
        <f t="shared" si="12"/>
        <v>-0.76205840000000025</v>
      </c>
      <c r="H230" s="67">
        <f t="shared" si="12"/>
        <v>-0.83116120000000027</v>
      </c>
      <c r="I230" s="67">
        <f t="shared" si="12"/>
        <v>-0.91166240000000021</v>
      </c>
      <c r="J230" s="67">
        <f t="shared" si="12"/>
        <v>-1</v>
      </c>
    </row>
    <row r="231" spans="1:10" ht="20.100000000000001" customHeight="1" x14ac:dyDescent="0.25">
      <c r="A231" s="66">
        <f t="shared" si="13"/>
        <v>0.76000000000000034</v>
      </c>
      <c r="B231" s="67">
        <f t="shared" si="12"/>
        <v>-0.66880000000000051</v>
      </c>
      <c r="C231" s="67">
        <f t="shared" si="12"/>
        <v>-0.66985984000000054</v>
      </c>
      <c r="D231" s="67">
        <f t="shared" si="12"/>
        <v>-0.67714624000000057</v>
      </c>
      <c r="E231" s="67">
        <f t="shared" si="12"/>
        <v>-0.69559408000000045</v>
      </c>
      <c r="F231" s="67">
        <f t="shared" si="12"/>
        <v>-0.72874720000000037</v>
      </c>
      <c r="G231" s="67">
        <f t="shared" si="12"/>
        <v>-0.77875840000000041</v>
      </c>
      <c r="H231" s="67">
        <f t="shared" si="12"/>
        <v>-0.84301120000000029</v>
      </c>
      <c r="I231" s="67">
        <f t="shared" si="12"/>
        <v>-0.91786240000000019</v>
      </c>
      <c r="J231" s="67">
        <f t="shared" si="12"/>
        <v>-1</v>
      </c>
    </row>
    <row r="232" spans="1:10" ht="20.100000000000001" customHeight="1" x14ac:dyDescent="0.25">
      <c r="A232" s="66">
        <f t="shared" si="13"/>
        <v>0.78000000000000036</v>
      </c>
      <c r="B232" s="67">
        <f t="shared" si="12"/>
        <v>-0.69420000000000048</v>
      </c>
      <c r="C232" s="67">
        <f t="shared" si="12"/>
        <v>-0.69517856000000033</v>
      </c>
      <c r="D232" s="67">
        <f t="shared" si="12"/>
        <v>-0.7019061600000005</v>
      </c>
      <c r="E232" s="67">
        <f t="shared" si="12"/>
        <v>-0.71893922000000043</v>
      </c>
      <c r="F232" s="67">
        <f t="shared" si="12"/>
        <v>-0.74954980000000038</v>
      </c>
      <c r="G232" s="67">
        <f t="shared" si="12"/>
        <v>-0.79572560000000037</v>
      </c>
      <c r="H232" s="67">
        <f t="shared" si="12"/>
        <v>-0.85505080000000022</v>
      </c>
      <c r="I232" s="67">
        <f t="shared" si="12"/>
        <v>-0.92416160000000014</v>
      </c>
      <c r="J232" s="67">
        <f t="shared" si="12"/>
        <v>-1</v>
      </c>
    </row>
    <row r="233" spans="1:10" ht="20.100000000000001" customHeight="1" x14ac:dyDescent="0.25">
      <c r="A233" s="66">
        <f t="shared" si="13"/>
        <v>0.80000000000000038</v>
      </c>
      <c r="B233" s="67">
        <f t="shared" si="12"/>
        <v>-0.72000000000000042</v>
      </c>
      <c r="C233" s="67">
        <f t="shared" si="12"/>
        <v>-0.72089600000000043</v>
      </c>
      <c r="D233" s="67">
        <f t="shared" si="12"/>
        <v>-0.72705600000000048</v>
      </c>
      <c r="E233" s="67">
        <f t="shared" si="12"/>
        <v>-0.74265200000000031</v>
      </c>
      <c r="F233" s="67">
        <f t="shared" si="12"/>
        <v>-0.77068000000000036</v>
      </c>
      <c r="G233" s="67">
        <f t="shared" si="12"/>
        <v>-0.81296000000000035</v>
      </c>
      <c r="H233" s="67">
        <f t="shared" si="12"/>
        <v>-0.86728000000000027</v>
      </c>
      <c r="I233" s="67">
        <f t="shared" si="12"/>
        <v>-0.93056000000000016</v>
      </c>
      <c r="J233" s="67">
        <f t="shared" si="12"/>
        <v>-1</v>
      </c>
    </row>
    <row r="234" spans="1:10" ht="20.100000000000001" customHeight="1" x14ac:dyDescent="0.25">
      <c r="A234" s="66">
        <f t="shared" si="13"/>
        <v>0.8200000000000004</v>
      </c>
      <c r="B234" s="67">
        <f t="shared" si="12"/>
        <v>-0.74620000000000042</v>
      </c>
      <c r="C234" s="67">
        <f t="shared" si="12"/>
        <v>-0.74701216000000048</v>
      </c>
      <c r="D234" s="67">
        <f t="shared" si="12"/>
        <v>-0.7525957600000005</v>
      </c>
      <c r="E234" s="67">
        <f t="shared" si="12"/>
        <v>-0.76673242000000041</v>
      </c>
      <c r="F234" s="67">
        <f t="shared" si="12"/>
        <v>-0.79213780000000045</v>
      </c>
      <c r="G234" s="67">
        <f t="shared" si="12"/>
        <v>-0.83046160000000024</v>
      </c>
      <c r="H234" s="67">
        <f t="shared" si="12"/>
        <v>-0.87969880000000023</v>
      </c>
      <c r="I234" s="67">
        <f t="shared" si="12"/>
        <v>-0.93705760000000016</v>
      </c>
      <c r="J234" s="67">
        <f t="shared" si="12"/>
        <v>-1</v>
      </c>
    </row>
    <row r="235" spans="1:10" ht="20.100000000000001" customHeight="1" x14ac:dyDescent="0.25">
      <c r="A235" s="66">
        <f t="shared" si="13"/>
        <v>0.84000000000000041</v>
      </c>
      <c r="B235" s="67">
        <f t="shared" si="12"/>
        <v>-0.7728000000000006</v>
      </c>
      <c r="C235" s="67">
        <f t="shared" si="12"/>
        <v>-0.77352704000000061</v>
      </c>
      <c r="D235" s="67">
        <f t="shared" si="12"/>
        <v>-0.77852544000000057</v>
      </c>
      <c r="E235" s="67">
        <f t="shared" si="12"/>
        <v>-0.79118048000000063</v>
      </c>
      <c r="F235" s="67">
        <f t="shared" si="12"/>
        <v>-0.8139232000000004</v>
      </c>
      <c r="G235" s="67">
        <f t="shared" si="12"/>
        <v>-0.84823040000000038</v>
      </c>
      <c r="H235" s="67">
        <f t="shared" si="12"/>
        <v>-0.89230720000000019</v>
      </c>
      <c r="I235" s="67">
        <f t="shared" si="12"/>
        <v>-0.94365440000000023</v>
      </c>
      <c r="J235" s="67">
        <f t="shared" si="12"/>
        <v>-1</v>
      </c>
    </row>
    <row r="236" spans="1:10" ht="20.100000000000001" customHeight="1" x14ac:dyDescent="0.25">
      <c r="A236" s="66">
        <f t="shared" si="13"/>
        <v>0.86000000000000043</v>
      </c>
      <c r="B236" s="67">
        <f t="shared" si="12"/>
        <v>-0.79980000000000051</v>
      </c>
      <c r="C236" s="67">
        <f t="shared" si="12"/>
        <v>-0.80044064000000048</v>
      </c>
      <c r="D236" s="67">
        <f t="shared" si="12"/>
        <v>-0.80484504000000046</v>
      </c>
      <c r="E236" s="67">
        <f t="shared" si="12"/>
        <v>-0.81599618000000051</v>
      </c>
      <c r="F236" s="67">
        <f t="shared" si="12"/>
        <v>-0.83603620000000034</v>
      </c>
      <c r="G236" s="67">
        <f t="shared" si="12"/>
        <v>-0.86626640000000033</v>
      </c>
      <c r="H236" s="67">
        <f t="shared" si="12"/>
        <v>-0.90510520000000028</v>
      </c>
      <c r="I236" s="67">
        <f t="shared" si="12"/>
        <v>-0.95035040000000004</v>
      </c>
      <c r="J236" s="67">
        <f t="shared" si="12"/>
        <v>-1</v>
      </c>
    </row>
    <row r="237" spans="1:10" ht="20.100000000000001" customHeight="1" x14ac:dyDescent="0.25">
      <c r="A237" s="66">
        <f t="shared" si="13"/>
        <v>0.88000000000000045</v>
      </c>
      <c r="B237" s="67">
        <f t="shared" si="12"/>
        <v>-0.8272000000000006</v>
      </c>
      <c r="C237" s="67">
        <f t="shared" si="12"/>
        <v>-0.82775296000000054</v>
      </c>
      <c r="D237" s="67">
        <f t="shared" si="12"/>
        <v>-0.83155456000000061</v>
      </c>
      <c r="E237" s="67">
        <f t="shared" si="12"/>
        <v>-0.8411795200000004</v>
      </c>
      <c r="F237" s="67">
        <f t="shared" si="12"/>
        <v>-0.85847680000000037</v>
      </c>
      <c r="G237" s="67">
        <f t="shared" si="12"/>
        <v>-0.8845696000000004</v>
      </c>
      <c r="H237" s="67">
        <f t="shared" si="12"/>
        <v>-0.91809280000000026</v>
      </c>
      <c r="I237" s="67">
        <f t="shared" si="12"/>
        <v>-0.95714560000000004</v>
      </c>
      <c r="J237" s="67">
        <f t="shared" si="12"/>
        <v>-1</v>
      </c>
    </row>
    <row r="238" spans="1:10" ht="20.100000000000001" customHeight="1" x14ac:dyDescent="0.25">
      <c r="A238" s="66">
        <f t="shared" si="13"/>
        <v>0.90000000000000047</v>
      </c>
      <c r="B238" s="67">
        <f t="shared" si="12"/>
        <v>-0.85500000000000076</v>
      </c>
      <c r="C238" s="67">
        <f t="shared" si="12"/>
        <v>-0.85546400000000078</v>
      </c>
      <c r="D238" s="67">
        <f t="shared" si="12"/>
        <v>-0.85865400000000069</v>
      </c>
      <c r="E238" s="67">
        <f t="shared" si="12"/>
        <v>-0.86673050000000063</v>
      </c>
      <c r="F238" s="67">
        <f t="shared" si="12"/>
        <v>-0.8812450000000005</v>
      </c>
      <c r="G238" s="67">
        <f t="shared" si="12"/>
        <v>-0.9031400000000005</v>
      </c>
      <c r="H238" s="67">
        <f t="shared" si="12"/>
        <v>-0.93127000000000038</v>
      </c>
      <c r="I238" s="67">
        <f t="shared" si="12"/>
        <v>-0.96404000000000023</v>
      </c>
      <c r="J238" s="67">
        <f t="shared" si="12"/>
        <v>-1</v>
      </c>
    </row>
    <row r="239" spans="1:10" ht="20.100000000000001" customHeight="1" x14ac:dyDescent="0.25">
      <c r="A239" s="66">
        <f t="shared" si="13"/>
        <v>0.92000000000000048</v>
      </c>
      <c r="B239" s="67">
        <f t="shared" si="12"/>
        <v>-0.88320000000000065</v>
      </c>
      <c r="C239" s="67">
        <f t="shared" si="12"/>
        <v>-0.88357376000000054</v>
      </c>
      <c r="D239" s="67">
        <f t="shared" si="12"/>
        <v>-0.8861433600000006</v>
      </c>
      <c r="E239" s="67">
        <f t="shared" si="12"/>
        <v>-0.89264912000000052</v>
      </c>
      <c r="F239" s="67">
        <f t="shared" si="12"/>
        <v>-0.9043408000000005</v>
      </c>
      <c r="G239" s="67">
        <f t="shared" si="12"/>
        <v>-0.9219776000000004</v>
      </c>
      <c r="H239" s="67">
        <f t="shared" si="12"/>
        <v>-0.94463680000000028</v>
      </c>
      <c r="I239" s="67">
        <f t="shared" si="12"/>
        <v>-0.97103360000000005</v>
      </c>
      <c r="J239" s="67">
        <f t="shared" si="12"/>
        <v>-1</v>
      </c>
    </row>
    <row r="240" spans="1:10" ht="20.100000000000001" customHeight="1" x14ac:dyDescent="0.25">
      <c r="A240" s="66">
        <f t="shared" si="13"/>
        <v>0.9400000000000005</v>
      </c>
      <c r="B240" s="67">
        <f t="shared" si="12"/>
        <v>-0.91180000000000083</v>
      </c>
      <c r="C240" s="67">
        <f t="shared" si="12"/>
        <v>-0.91208224000000071</v>
      </c>
      <c r="D240" s="67">
        <f t="shared" si="12"/>
        <v>-0.91402264000000077</v>
      </c>
      <c r="E240" s="67">
        <f t="shared" si="12"/>
        <v>-0.91893538000000075</v>
      </c>
      <c r="F240" s="67">
        <f t="shared" si="12"/>
        <v>-0.92776420000000059</v>
      </c>
      <c r="G240" s="67">
        <f t="shared" si="12"/>
        <v>-0.94108240000000054</v>
      </c>
      <c r="H240" s="67">
        <f t="shared" si="12"/>
        <v>-0.9581932000000003</v>
      </c>
      <c r="I240" s="67">
        <f t="shared" si="12"/>
        <v>-0.97812640000000017</v>
      </c>
      <c r="J240" s="67">
        <f t="shared" si="12"/>
        <v>-1</v>
      </c>
    </row>
    <row r="241" spans="1:10" ht="20.100000000000001" customHeight="1" x14ac:dyDescent="0.25">
      <c r="A241" s="66">
        <f t="shared" si="13"/>
        <v>0.96000000000000052</v>
      </c>
      <c r="B241" s="67">
        <f t="shared" si="12"/>
        <v>-0.94080000000000075</v>
      </c>
      <c r="C241" s="67">
        <f t="shared" si="12"/>
        <v>-0.94098944000000073</v>
      </c>
      <c r="D241" s="67">
        <f t="shared" si="12"/>
        <v>-0.94229184000000077</v>
      </c>
      <c r="E241" s="67">
        <f t="shared" si="12"/>
        <v>-0.94558928000000064</v>
      </c>
      <c r="F241" s="67">
        <f t="shared" si="12"/>
        <v>-0.95151520000000067</v>
      </c>
      <c r="G241" s="67">
        <f t="shared" si="12"/>
        <v>-0.96045440000000037</v>
      </c>
      <c r="H241" s="67">
        <f t="shared" si="12"/>
        <v>-0.97193920000000034</v>
      </c>
      <c r="I241" s="67">
        <f t="shared" si="12"/>
        <v>-0.98531840000000015</v>
      </c>
      <c r="J241" s="67">
        <f t="shared" si="12"/>
        <v>-1</v>
      </c>
    </row>
    <row r="242" spans="1:10" ht="20.100000000000001" customHeight="1" x14ac:dyDescent="0.25">
      <c r="A242" s="66">
        <f t="shared" si="13"/>
        <v>0.98000000000000054</v>
      </c>
      <c r="B242" s="67">
        <f t="shared" ref="B242:J243" si="14">-(B171/100)</f>
        <v>-0.97020000000000084</v>
      </c>
      <c r="C242" s="67">
        <f t="shared" si="14"/>
        <v>-0.97029536000000083</v>
      </c>
      <c r="D242" s="67">
        <f t="shared" si="14"/>
        <v>-0.97095096000000081</v>
      </c>
      <c r="E242" s="67">
        <f t="shared" si="14"/>
        <v>-0.97261082000000076</v>
      </c>
      <c r="F242" s="67">
        <f t="shared" si="14"/>
        <v>-0.97559380000000062</v>
      </c>
      <c r="G242" s="67">
        <f t="shared" si="14"/>
        <v>-0.98009360000000056</v>
      </c>
      <c r="H242" s="67">
        <f t="shared" si="14"/>
        <v>-0.98587480000000038</v>
      </c>
      <c r="I242" s="67">
        <f t="shared" si="14"/>
        <v>-0.9926096000000002</v>
      </c>
      <c r="J242" s="67">
        <f t="shared" si="14"/>
        <v>-1</v>
      </c>
    </row>
    <row r="243" spans="1:10" ht="20.100000000000001" customHeight="1" x14ac:dyDescent="0.25">
      <c r="A243" s="66">
        <f t="shared" si="13"/>
        <v>1.0000000000000004</v>
      </c>
      <c r="B243" s="67">
        <f t="shared" si="14"/>
        <v>-1.0000000000000007</v>
      </c>
      <c r="C243" s="67">
        <f t="shared" si="14"/>
        <v>-1.0000000000000007</v>
      </c>
      <c r="D243" s="67">
        <f t="shared" si="14"/>
        <v>-1.0000000000000007</v>
      </c>
      <c r="E243" s="67">
        <f t="shared" si="14"/>
        <v>-1.0000000000000007</v>
      </c>
      <c r="F243" s="67">
        <f t="shared" si="14"/>
        <v>-1.0000000000000007</v>
      </c>
      <c r="G243" s="67">
        <f t="shared" si="14"/>
        <v>-1.0000000000000004</v>
      </c>
      <c r="H243" s="67">
        <f t="shared" si="14"/>
        <v>-1.0000000000000002</v>
      </c>
      <c r="I243" s="67">
        <f t="shared" si="14"/>
        <v>-1.0000000000000002</v>
      </c>
      <c r="J243" s="67">
        <f t="shared" si="14"/>
        <v>-1</v>
      </c>
    </row>
    <row r="244" spans="1:10" ht="20.100000000000001" customHeight="1" x14ac:dyDescent="0.25">
      <c r="A244" s="1"/>
      <c r="B244" s="1"/>
      <c r="C244" s="1"/>
      <c r="D244" s="1"/>
      <c r="E244" s="1"/>
      <c r="F244" s="1"/>
      <c r="G244" s="1"/>
      <c r="H244" s="1"/>
      <c r="I244" s="1"/>
      <c r="J244" s="1"/>
    </row>
    <row r="245" spans="1:10" ht="20.100000000000001" customHeight="1" x14ac:dyDescent="0.25">
      <c r="A245" s="119" t="s">
        <v>361</v>
      </c>
      <c r="B245" s="119"/>
      <c r="C245" s="119"/>
      <c r="D245" s="119"/>
      <c r="E245" s="119"/>
      <c r="F245" s="119"/>
      <c r="G245" s="119"/>
      <c r="H245" s="119"/>
      <c r="I245" s="119"/>
      <c r="J245" s="119"/>
    </row>
    <row r="246" spans="1:10" ht="20.100000000000001" customHeight="1" x14ac:dyDescent="0.25">
      <c r="A246" s="119"/>
      <c r="B246" s="119"/>
      <c r="C246" s="119"/>
      <c r="D246" s="119"/>
      <c r="E246" s="119"/>
      <c r="F246" s="119"/>
      <c r="G246" s="119"/>
      <c r="H246" s="119"/>
      <c r="I246" s="119"/>
      <c r="J246" s="119"/>
    </row>
    <row r="247" spans="1:10" ht="20.100000000000001" customHeight="1" x14ac:dyDescent="0.25">
      <c r="A247" s="119"/>
      <c r="B247" s="119"/>
      <c r="C247" s="119"/>
      <c r="D247" s="119"/>
      <c r="E247" s="119"/>
      <c r="F247" s="119"/>
      <c r="G247" s="119"/>
      <c r="H247" s="119"/>
      <c r="I247" s="119"/>
      <c r="J247" s="119"/>
    </row>
    <row r="248" spans="1:10" ht="20.100000000000001" customHeight="1" x14ac:dyDescent="0.25">
      <c r="A248" s="1"/>
      <c r="B248" s="1"/>
      <c r="C248" s="1"/>
      <c r="D248" s="1"/>
      <c r="E248" s="1"/>
      <c r="F248" s="1"/>
      <c r="G248" s="1"/>
      <c r="H248" s="1"/>
      <c r="I248" s="1"/>
      <c r="J248" s="1"/>
    </row>
    <row r="249" spans="1:10" ht="20.100000000000001" customHeight="1" x14ac:dyDescent="0.25">
      <c r="A249" s="1"/>
      <c r="B249" s="1"/>
      <c r="C249" s="68"/>
      <c r="D249" s="1"/>
      <c r="E249" s="1"/>
      <c r="F249" s="1"/>
      <c r="G249" s="1"/>
      <c r="H249" s="1"/>
      <c r="I249" s="1"/>
      <c r="J249" s="1"/>
    </row>
    <row r="250" spans="1:10" ht="20.100000000000001" customHeight="1" x14ac:dyDescent="0.25">
      <c r="A250" s="1"/>
      <c r="B250" s="1"/>
      <c r="C250" s="1"/>
      <c r="D250" s="1"/>
      <c r="E250" s="1"/>
      <c r="F250" s="1"/>
      <c r="G250" s="1"/>
      <c r="H250" s="1"/>
      <c r="I250" s="1"/>
      <c r="J250" s="1"/>
    </row>
    <row r="251" spans="1:10" ht="20.100000000000001" customHeight="1" x14ac:dyDescent="0.25">
      <c r="A251" s="1"/>
      <c r="B251" s="1"/>
      <c r="C251" s="1"/>
      <c r="D251" s="1"/>
      <c r="E251" s="1"/>
      <c r="F251" s="1"/>
      <c r="G251" s="1"/>
      <c r="H251" s="1"/>
      <c r="I251" s="1"/>
      <c r="J251" s="1"/>
    </row>
    <row r="252" spans="1:10" ht="20.100000000000001" customHeight="1" x14ac:dyDescent="0.25">
      <c r="A252" s="1"/>
      <c r="B252" s="1"/>
      <c r="C252" s="1"/>
      <c r="D252" s="1"/>
      <c r="E252" s="1"/>
      <c r="F252" s="1"/>
      <c r="G252" s="1"/>
      <c r="H252" s="1"/>
      <c r="I252" s="1"/>
      <c r="J252" s="1"/>
    </row>
    <row r="253" spans="1:10" ht="20.100000000000001" customHeight="1" x14ac:dyDescent="0.25">
      <c r="A253" s="1"/>
      <c r="B253" s="1"/>
      <c r="C253" s="1"/>
      <c r="D253" s="1"/>
      <c r="E253" s="1"/>
      <c r="F253" s="1"/>
      <c r="G253" s="1"/>
      <c r="H253" s="1"/>
      <c r="I253" s="1"/>
      <c r="J253" s="1"/>
    </row>
    <row r="254" spans="1:10" ht="20.100000000000001" customHeight="1" x14ac:dyDescent="0.25">
      <c r="A254" s="1"/>
      <c r="B254" s="1"/>
      <c r="C254" s="1"/>
      <c r="D254" s="1"/>
      <c r="E254" s="1"/>
      <c r="F254" s="1"/>
      <c r="G254" s="1"/>
      <c r="H254" s="1"/>
      <c r="I254" s="1"/>
      <c r="J254" s="1"/>
    </row>
    <row r="255" spans="1:10" ht="20.100000000000001" customHeight="1" x14ac:dyDescent="0.25">
      <c r="A255" s="1"/>
      <c r="B255" s="1"/>
      <c r="C255" s="1"/>
      <c r="D255" s="1"/>
      <c r="E255" s="1"/>
      <c r="F255" s="1"/>
      <c r="G255" s="1"/>
      <c r="H255" s="1"/>
      <c r="I255" s="1"/>
      <c r="J255" s="1"/>
    </row>
    <row r="256" spans="1:10" ht="20.100000000000001" customHeight="1" x14ac:dyDescent="0.25">
      <c r="A256" s="259" t="s">
        <v>356</v>
      </c>
      <c r="B256" s="262" t="s">
        <v>357</v>
      </c>
      <c r="C256" s="262"/>
      <c r="D256" s="262"/>
      <c r="E256" s="262"/>
      <c r="F256" s="262"/>
      <c r="G256" s="262"/>
      <c r="H256" s="262"/>
      <c r="I256" s="262"/>
      <c r="J256" s="262"/>
    </row>
    <row r="257" spans="1:10" ht="20.100000000000001" customHeight="1" x14ac:dyDescent="0.25">
      <c r="A257" s="260"/>
      <c r="B257" s="263" t="s">
        <v>479</v>
      </c>
      <c r="C257" s="263"/>
      <c r="D257" s="263"/>
      <c r="E257" s="263"/>
      <c r="F257" s="263"/>
      <c r="G257" s="263"/>
      <c r="H257" s="263"/>
      <c r="I257" s="263"/>
      <c r="J257" s="263"/>
    </row>
    <row r="258" spans="1:10" ht="20.100000000000001" customHeight="1" x14ac:dyDescent="0.25">
      <c r="A258" s="260"/>
      <c r="B258" s="262" t="s">
        <v>358</v>
      </c>
      <c r="C258" s="262"/>
      <c r="D258" s="262"/>
      <c r="E258" s="262"/>
      <c r="F258" s="262"/>
      <c r="G258" s="262"/>
      <c r="H258" s="262"/>
      <c r="I258" s="262"/>
      <c r="J258" s="262"/>
    </row>
    <row r="259" spans="1:10" ht="20.100000000000001" customHeight="1" x14ac:dyDescent="0.25">
      <c r="A259" s="261"/>
      <c r="B259" s="62" t="str">
        <f t="shared" ref="B259:J259" si="15">B121</f>
        <v>A</v>
      </c>
      <c r="C259" s="62" t="str">
        <f t="shared" si="15"/>
        <v>B</v>
      </c>
      <c r="D259" s="62" t="str">
        <f t="shared" si="15"/>
        <v>C</v>
      </c>
      <c r="E259" s="62" t="str">
        <f t="shared" si="15"/>
        <v>D</v>
      </c>
      <c r="F259" s="62" t="str">
        <f t="shared" si="15"/>
        <v>E</v>
      </c>
      <c r="G259" s="62" t="str">
        <f t="shared" si="15"/>
        <v>F</v>
      </c>
      <c r="H259" s="62" t="str">
        <f t="shared" si="15"/>
        <v>G</v>
      </c>
      <c r="I259" s="62" t="str">
        <f t="shared" si="15"/>
        <v>H</v>
      </c>
      <c r="J259" s="62" t="str">
        <f t="shared" si="15"/>
        <v>I</v>
      </c>
    </row>
    <row r="260" spans="1:10" ht="20.100000000000001" customHeight="1" x14ac:dyDescent="0.25">
      <c r="A260" s="63">
        <v>0</v>
      </c>
      <c r="B260" s="69">
        <f t="shared" ref="B260:B276" si="16">1+B193</f>
        <v>1</v>
      </c>
      <c r="C260" s="69">
        <f t="shared" ref="C260:J260" si="17">1+C193</f>
        <v>0.99680000000000002</v>
      </c>
      <c r="D260" s="69">
        <f t="shared" si="17"/>
        <v>0.9748</v>
      </c>
      <c r="E260" s="69">
        <f t="shared" si="17"/>
        <v>0.91910000000000003</v>
      </c>
      <c r="F260" s="69">
        <f t="shared" si="17"/>
        <v>0.81899999999999995</v>
      </c>
      <c r="G260" s="69">
        <f t="shared" si="17"/>
        <v>0.66799999999999993</v>
      </c>
      <c r="H260" s="69">
        <f t="shared" si="17"/>
        <v>0.47399999999999998</v>
      </c>
      <c r="I260" s="69">
        <f t="shared" si="17"/>
        <v>0.248</v>
      </c>
      <c r="J260" s="69">
        <f t="shared" si="17"/>
        <v>0</v>
      </c>
    </row>
    <row r="261" spans="1:10" ht="20.100000000000001" customHeight="1" x14ac:dyDescent="0.25">
      <c r="A261" s="63">
        <f>A260+0.02</f>
        <v>0.02</v>
      </c>
      <c r="B261" s="69">
        <f t="shared" si="16"/>
        <v>0.98980000000000001</v>
      </c>
      <c r="C261" s="69">
        <f t="shared" ref="C261:J270" si="18">1+C194</f>
        <v>0.98663263999999995</v>
      </c>
      <c r="D261" s="69">
        <f t="shared" si="18"/>
        <v>0.96485704000000005</v>
      </c>
      <c r="E261" s="69">
        <f t="shared" si="18"/>
        <v>0.90972518000000002</v>
      </c>
      <c r="F261" s="69">
        <f t="shared" si="18"/>
        <v>0.81064619999999998</v>
      </c>
      <c r="G261" s="69">
        <f t="shared" si="18"/>
        <v>0.66118639999999984</v>
      </c>
      <c r="H261" s="69">
        <f t="shared" si="18"/>
        <v>0.46916519999999995</v>
      </c>
      <c r="I261" s="69">
        <f t="shared" si="18"/>
        <v>0.24547039999999998</v>
      </c>
      <c r="J261" s="69">
        <f t="shared" si="18"/>
        <v>0</v>
      </c>
    </row>
    <row r="262" spans="1:10" ht="20.100000000000001" customHeight="1" x14ac:dyDescent="0.25">
      <c r="A262" s="63">
        <f t="shared" ref="A262:A310" si="19">A261+0.02</f>
        <v>0.04</v>
      </c>
      <c r="B262" s="69">
        <f t="shared" si="16"/>
        <v>0.97919999999999996</v>
      </c>
      <c r="C262" s="69">
        <f t="shared" si="18"/>
        <v>0.97606656000000003</v>
      </c>
      <c r="D262" s="69">
        <f t="shared" si="18"/>
        <v>0.95452415999999995</v>
      </c>
      <c r="E262" s="69">
        <f t="shared" si="18"/>
        <v>0.89998272000000001</v>
      </c>
      <c r="F262" s="69">
        <f t="shared" si="18"/>
        <v>0.80196480000000003</v>
      </c>
      <c r="G262" s="69">
        <f t="shared" si="18"/>
        <v>0.65410559999999995</v>
      </c>
      <c r="H262" s="69">
        <f t="shared" si="18"/>
        <v>0.46414080000000002</v>
      </c>
      <c r="I262" s="69">
        <f t="shared" si="18"/>
        <v>0.24284159999999999</v>
      </c>
      <c r="J262" s="69">
        <f t="shared" si="18"/>
        <v>0</v>
      </c>
    </row>
    <row r="263" spans="1:10" ht="20.100000000000001" customHeight="1" x14ac:dyDescent="0.25">
      <c r="A263" s="63">
        <f t="shared" si="19"/>
        <v>0.06</v>
      </c>
      <c r="B263" s="69">
        <f t="shared" si="16"/>
        <v>0.96819999999999995</v>
      </c>
      <c r="C263" s="69">
        <f t="shared" si="18"/>
        <v>0.96510176000000003</v>
      </c>
      <c r="D263" s="69">
        <f t="shared" si="18"/>
        <v>0.94380136000000003</v>
      </c>
      <c r="E263" s="69">
        <f t="shared" si="18"/>
        <v>0.88987262</v>
      </c>
      <c r="F263" s="69">
        <f t="shared" si="18"/>
        <v>0.79295579999999999</v>
      </c>
      <c r="G263" s="69">
        <f t="shared" si="18"/>
        <v>0.64675760000000004</v>
      </c>
      <c r="H263" s="69">
        <f t="shared" si="18"/>
        <v>0.45892679999999997</v>
      </c>
      <c r="I263" s="69">
        <f t="shared" si="18"/>
        <v>0.24011359999999993</v>
      </c>
      <c r="J263" s="69">
        <f t="shared" si="18"/>
        <v>0</v>
      </c>
    </row>
    <row r="264" spans="1:10" ht="20.100000000000001" customHeight="1" x14ac:dyDescent="0.25">
      <c r="A264" s="63">
        <f t="shared" si="19"/>
        <v>0.08</v>
      </c>
      <c r="B264" s="69">
        <f t="shared" si="16"/>
        <v>0.95679999999999998</v>
      </c>
      <c r="C264" s="69">
        <f t="shared" si="18"/>
        <v>0.95373823999999996</v>
      </c>
      <c r="D264" s="69">
        <f t="shared" si="18"/>
        <v>0.93268863999999996</v>
      </c>
      <c r="E264" s="69">
        <f t="shared" si="18"/>
        <v>0.87939487999999999</v>
      </c>
      <c r="F264" s="69">
        <f t="shared" si="18"/>
        <v>0.78361919999999996</v>
      </c>
      <c r="G264" s="69">
        <f t="shared" si="18"/>
        <v>0.63914239999999989</v>
      </c>
      <c r="H264" s="69">
        <f t="shared" si="18"/>
        <v>0.4535231999999999</v>
      </c>
      <c r="I264" s="69">
        <f t="shared" si="18"/>
        <v>0.2372863999999999</v>
      </c>
      <c r="J264" s="69">
        <f t="shared" si="18"/>
        <v>0</v>
      </c>
    </row>
    <row r="265" spans="1:10" ht="20.100000000000001" customHeight="1" x14ac:dyDescent="0.25">
      <c r="A265" s="63">
        <f t="shared" si="19"/>
        <v>0.1</v>
      </c>
      <c r="B265" s="69">
        <f t="shared" si="16"/>
        <v>0.94499999999999995</v>
      </c>
      <c r="C265" s="69">
        <f t="shared" si="18"/>
        <v>0.94197600000000004</v>
      </c>
      <c r="D265" s="69">
        <f t="shared" si="18"/>
        <v>0.92118599999999995</v>
      </c>
      <c r="E265" s="69">
        <f t="shared" si="18"/>
        <v>0.86854949999999997</v>
      </c>
      <c r="F265" s="69">
        <f t="shared" si="18"/>
        <v>0.77395499999999995</v>
      </c>
      <c r="G265" s="69">
        <f t="shared" si="18"/>
        <v>0.63125999999999993</v>
      </c>
      <c r="H265" s="69">
        <f t="shared" si="18"/>
        <v>0.44792999999999994</v>
      </c>
      <c r="I265" s="69">
        <f t="shared" si="18"/>
        <v>0.2343599999999999</v>
      </c>
      <c r="J265" s="69">
        <f t="shared" si="18"/>
        <v>0</v>
      </c>
    </row>
    <row r="266" spans="1:10" ht="20.100000000000001" customHeight="1" x14ac:dyDescent="0.25">
      <c r="A266" s="63">
        <f t="shared" si="19"/>
        <v>0.12000000000000001</v>
      </c>
      <c r="B266" s="69">
        <f t="shared" si="16"/>
        <v>0.93279999999999996</v>
      </c>
      <c r="C266" s="69">
        <f t="shared" si="18"/>
        <v>0.92981504000000004</v>
      </c>
      <c r="D266" s="69">
        <f t="shared" si="18"/>
        <v>0.90929344000000001</v>
      </c>
      <c r="E266" s="69">
        <f t="shared" si="18"/>
        <v>0.85733647999999996</v>
      </c>
      <c r="F266" s="69">
        <f t="shared" si="18"/>
        <v>0.76396319999999995</v>
      </c>
      <c r="G266" s="69">
        <f t="shared" si="18"/>
        <v>0.62311040000000006</v>
      </c>
      <c r="H266" s="69">
        <f t="shared" si="18"/>
        <v>0.44214719999999996</v>
      </c>
      <c r="I266" s="69">
        <f t="shared" si="18"/>
        <v>0.23133440000000005</v>
      </c>
      <c r="J266" s="69">
        <f t="shared" si="18"/>
        <v>0</v>
      </c>
    </row>
    <row r="267" spans="1:10" ht="20.100000000000001" customHeight="1" x14ac:dyDescent="0.25">
      <c r="A267" s="63">
        <f t="shared" si="19"/>
        <v>0.14000000000000001</v>
      </c>
      <c r="B267" s="69">
        <f t="shared" si="16"/>
        <v>0.92020000000000002</v>
      </c>
      <c r="C267" s="69">
        <f t="shared" si="18"/>
        <v>0.91725535999999996</v>
      </c>
      <c r="D267" s="69">
        <f t="shared" si="18"/>
        <v>0.89701096000000002</v>
      </c>
      <c r="E267" s="69">
        <f t="shared" si="18"/>
        <v>0.84575581999999994</v>
      </c>
      <c r="F267" s="69">
        <f t="shared" si="18"/>
        <v>0.75364379999999997</v>
      </c>
      <c r="G267" s="69">
        <f t="shared" si="18"/>
        <v>0.61469359999999995</v>
      </c>
      <c r="H267" s="69">
        <f t="shared" si="18"/>
        <v>0.43617479999999997</v>
      </c>
      <c r="I267" s="69">
        <f t="shared" si="18"/>
        <v>0.22820960000000001</v>
      </c>
      <c r="J267" s="69">
        <f t="shared" si="18"/>
        <v>0</v>
      </c>
    </row>
    <row r="268" spans="1:10" ht="20.100000000000001" customHeight="1" x14ac:dyDescent="0.25">
      <c r="A268" s="63">
        <f t="shared" si="19"/>
        <v>0.16</v>
      </c>
      <c r="B268" s="69">
        <f t="shared" si="16"/>
        <v>0.90720000000000001</v>
      </c>
      <c r="C268" s="69">
        <f t="shared" si="18"/>
        <v>0.90429695999999993</v>
      </c>
      <c r="D268" s="69">
        <f t="shared" si="18"/>
        <v>0.88433856</v>
      </c>
      <c r="E268" s="69">
        <f t="shared" si="18"/>
        <v>0.83380751999999991</v>
      </c>
      <c r="F268" s="69">
        <f t="shared" si="18"/>
        <v>0.74299680000000001</v>
      </c>
      <c r="G268" s="69">
        <f t="shared" si="18"/>
        <v>0.60600959999999993</v>
      </c>
      <c r="H268" s="69">
        <f t="shared" si="18"/>
        <v>0.43001279999999997</v>
      </c>
      <c r="I268" s="69">
        <f t="shared" si="18"/>
        <v>0.22498560000000001</v>
      </c>
      <c r="J268" s="69">
        <f t="shared" si="18"/>
        <v>0</v>
      </c>
    </row>
    <row r="269" spans="1:10" ht="20.100000000000001" customHeight="1" x14ac:dyDescent="0.25">
      <c r="A269" s="63">
        <f t="shared" si="19"/>
        <v>0.18</v>
      </c>
      <c r="B269" s="69">
        <f t="shared" si="16"/>
        <v>0.89380000000000004</v>
      </c>
      <c r="C269" s="69">
        <f t="shared" si="18"/>
        <v>0.89093984000000004</v>
      </c>
      <c r="D269" s="69">
        <f t="shared" si="18"/>
        <v>0.87127624000000004</v>
      </c>
      <c r="E269" s="69">
        <f t="shared" si="18"/>
        <v>0.82149158</v>
      </c>
      <c r="F269" s="69">
        <f t="shared" si="18"/>
        <v>0.73202220000000007</v>
      </c>
      <c r="G269" s="69">
        <f t="shared" si="18"/>
        <v>0.5970584000000001</v>
      </c>
      <c r="H269" s="69">
        <f t="shared" si="18"/>
        <v>0.42366120000000007</v>
      </c>
      <c r="I269" s="69">
        <f t="shared" si="18"/>
        <v>0.22166239999999993</v>
      </c>
      <c r="J269" s="69">
        <f t="shared" si="18"/>
        <v>0</v>
      </c>
    </row>
    <row r="270" spans="1:10" ht="20.100000000000001" customHeight="1" x14ac:dyDescent="0.25">
      <c r="A270" s="63">
        <f t="shared" si="19"/>
        <v>0.19999999999999998</v>
      </c>
      <c r="B270" s="69">
        <f t="shared" si="16"/>
        <v>0.88</v>
      </c>
      <c r="C270" s="69">
        <f t="shared" si="18"/>
        <v>0.87718399999999996</v>
      </c>
      <c r="D270" s="69">
        <f t="shared" si="18"/>
        <v>0.85782400000000003</v>
      </c>
      <c r="E270" s="69">
        <f t="shared" si="18"/>
        <v>0.80880799999999997</v>
      </c>
      <c r="F270" s="69">
        <f t="shared" si="18"/>
        <v>0.72072000000000003</v>
      </c>
      <c r="G270" s="69">
        <f t="shared" si="18"/>
        <v>0.58783999999999992</v>
      </c>
      <c r="H270" s="69">
        <f t="shared" si="18"/>
        <v>0.41711999999999994</v>
      </c>
      <c r="I270" s="69">
        <f t="shared" si="18"/>
        <v>0.21823999999999999</v>
      </c>
      <c r="J270" s="69">
        <f t="shared" si="18"/>
        <v>0</v>
      </c>
    </row>
    <row r="271" spans="1:10" ht="20.100000000000001" customHeight="1" x14ac:dyDescent="0.25">
      <c r="A271" s="63">
        <f t="shared" si="19"/>
        <v>0.21999999999999997</v>
      </c>
      <c r="B271" s="69">
        <f t="shared" si="16"/>
        <v>0.86580000000000001</v>
      </c>
      <c r="C271" s="69">
        <f t="shared" ref="C271:J276" si="20">1+C204</f>
        <v>0.86302944000000004</v>
      </c>
      <c r="D271" s="69">
        <f t="shared" si="20"/>
        <v>0.84398183999999998</v>
      </c>
      <c r="E271" s="69">
        <f t="shared" si="20"/>
        <v>0.79575678000000005</v>
      </c>
      <c r="F271" s="69">
        <f t="shared" si="20"/>
        <v>0.7090902</v>
      </c>
      <c r="G271" s="69">
        <f t="shared" si="20"/>
        <v>0.57835440000000005</v>
      </c>
      <c r="H271" s="69">
        <f t="shared" si="20"/>
        <v>0.41038920000000001</v>
      </c>
      <c r="I271" s="69">
        <f t="shared" si="20"/>
        <v>0.21471839999999998</v>
      </c>
      <c r="J271" s="69">
        <f t="shared" si="20"/>
        <v>0</v>
      </c>
    </row>
    <row r="272" spans="1:10" ht="20.100000000000001" customHeight="1" x14ac:dyDescent="0.25">
      <c r="A272" s="63">
        <f t="shared" si="19"/>
        <v>0.23999999999999996</v>
      </c>
      <c r="B272" s="69">
        <f t="shared" si="16"/>
        <v>0.85119999999999996</v>
      </c>
      <c r="C272" s="69">
        <f t="shared" si="20"/>
        <v>0.84847616000000003</v>
      </c>
      <c r="D272" s="69">
        <f t="shared" si="20"/>
        <v>0.82974976</v>
      </c>
      <c r="E272" s="69">
        <f t="shared" si="20"/>
        <v>0.78233792000000002</v>
      </c>
      <c r="F272" s="69">
        <f t="shared" si="20"/>
        <v>0.6971328</v>
      </c>
      <c r="G272" s="69">
        <f t="shared" si="20"/>
        <v>0.56860159999999993</v>
      </c>
      <c r="H272" s="69">
        <f t="shared" si="20"/>
        <v>0.40346879999999996</v>
      </c>
      <c r="I272" s="69">
        <f t="shared" si="20"/>
        <v>0.2110976</v>
      </c>
      <c r="J272" s="69">
        <f t="shared" si="20"/>
        <v>0</v>
      </c>
    </row>
    <row r="273" spans="1:10" ht="20.100000000000001" customHeight="1" x14ac:dyDescent="0.25">
      <c r="A273" s="63">
        <f t="shared" si="19"/>
        <v>0.25999999999999995</v>
      </c>
      <c r="B273" s="69">
        <f t="shared" si="16"/>
        <v>0.83620000000000005</v>
      </c>
      <c r="C273" s="69">
        <f t="shared" si="20"/>
        <v>0.83352416000000007</v>
      </c>
      <c r="D273" s="69">
        <f t="shared" si="20"/>
        <v>0.81512775999999998</v>
      </c>
      <c r="E273" s="69">
        <f t="shared" si="20"/>
        <v>0.76855141999999999</v>
      </c>
      <c r="F273" s="69">
        <f t="shared" si="20"/>
        <v>0.68484780000000001</v>
      </c>
      <c r="G273" s="69">
        <f t="shared" si="20"/>
        <v>0.5585815999999999</v>
      </c>
      <c r="H273" s="69">
        <f t="shared" si="20"/>
        <v>0.39635880000000001</v>
      </c>
      <c r="I273" s="69">
        <f t="shared" si="20"/>
        <v>0.20737759999999994</v>
      </c>
      <c r="J273" s="69">
        <f t="shared" si="20"/>
        <v>0</v>
      </c>
    </row>
    <row r="274" spans="1:10" ht="20.100000000000001" customHeight="1" x14ac:dyDescent="0.25">
      <c r="A274" s="63">
        <f t="shared" si="19"/>
        <v>0.27999999999999997</v>
      </c>
      <c r="B274" s="69">
        <f t="shared" si="16"/>
        <v>0.82079999999999997</v>
      </c>
      <c r="C274" s="69">
        <f t="shared" si="20"/>
        <v>0.81817344000000003</v>
      </c>
      <c r="D274" s="69">
        <f t="shared" si="20"/>
        <v>0.80011584000000002</v>
      </c>
      <c r="E274" s="69">
        <f t="shared" si="20"/>
        <v>0.75439728000000006</v>
      </c>
      <c r="F274" s="69">
        <f t="shared" si="20"/>
        <v>0.67223520000000003</v>
      </c>
      <c r="G274" s="69">
        <f t="shared" si="20"/>
        <v>0.54829440000000007</v>
      </c>
      <c r="H274" s="69">
        <f t="shared" si="20"/>
        <v>0.38905919999999994</v>
      </c>
      <c r="I274" s="69">
        <f t="shared" si="20"/>
        <v>0.20355840000000003</v>
      </c>
      <c r="J274" s="69">
        <f t="shared" si="20"/>
        <v>0</v>
      </c>
    </row>
    <row r="275" spans="1:10" ht="20.100000000000001" customHeight="1" x14ac:dyDescent="0.25">
      <c r="A275" s="63">
        <f t="shared" si="19"/>
        <v>0.3</v>
      </c>
      <c r="B275" s="69">
        <f t="shared" si="16"/>
        <v>0.80499999999999994</v>
      </c>
      <c r="C275" s="69">
        <f t="shared" si="20"/>
        <v>0.80242400000000003</v>
      </c>
      <c r="D275" s="69">
        <f t="shared" si="20"/>
        <v>0.78471400000000002</v>
      </c>
      <c r="E275" s="69">
        <f t="shared" si="20"/>
        <v>0.73987549999999991</v>
      </c>
      <c r="F275" s="69">
        <f t="shared" si="20"/>
        <v>0.65929499999999996</v>
      </c>
      <c r="G275" s="69">
        <f t="shared" si="20"/>
        <v>0.53774</v>
      </c>
      <c r="H275" s="69">
        <f t="shared" si="20"/>
        <v>0.38156999999999996</v>
      </c>
      <c r="I275" s="69">
        <f t="shared" si="20"/>
        <v>0.19964000000000004</v>
      </c>
      <c r="J275" s="69">
        <f t="shared" si="20"/>
        <v>0</v>
      </c>
    </row>
    <row r="276" spans="1:10" ht="20.100000000000001" customHeight="1" x14ac:dyDescent="0.25">
      <c r="A276" s="63">
        <f t="shared" si="19"/>
        <v>0.32</v>
      </c>
      <c r="B276" s="69">
        <f t="shared" si="16"/>
        <v>0.78879999999999995</v>
      </c>
      <c r="C276" s="69">
        <f t="shared" si="20"/>
        <v>0.78627583999999995</v>
      </c>
      <c r="D276" s="69">
        <f t="shared" si="20"/>
        <v>0.76892223999999998</v>
      </c>
      <c r="E276" s="69">
        <f t="shared" si="20"/>
        <v>0.72498607999999998</v>
      </c>
      <c r="F276" s="69">
        <f t="shared" si="20"/>
        <v>0.64602720000000002</v>
      </c>
      <c r="G276" s="69">
        <f t="shared" si="20"/>
        <v>0.52691840000000001</v>
      </c>
      <c r="H276" s="69">
        <f t="shared" si="20"/>
        <v>0.37389120000000009</v>
      </c>
      <c r="I276" s="69">
        <f t="shared" si="20"/>
        <v>0.19562239999999997</v>
      </c>
      <c r="J276" s="69">
        <f t="shared" si="20"/>
        <v>0</v>
      </c>
    </row>
    <row r="277" spans="1:10" ht="20.100000000000001" customHeight="1" x14ac:dyDescent="0.25">
      <c r="A277" s="63">
        <f t="shared" si="19"/>
        <v>0.34</v>
      </c>
      <c r="B277" s="69">
        <f t="shared" ref="B277:J292" si="21">1+B210</f>
        <v>0.7722</v>
      </c>
      <c r="C277" s="69">
        <f t="shared" si="21"/>
        <v>0.76972895999999991</v>
      </c>
      <c r="D277" s="69">
        <f t="shared" si="21"/>
        <v>0.75274055999999989</v>
      </c>
      <c r="E277" s="69">
        <f t="shared" si="21"/>
        <v>0.70972901999999993</v>
      </c>
      <c r="F277" s="69">
        <f t="shared" si="21"/>
        <v>0.63243179999999999</v>
      </c>
      <c r="G277" s="69">
        <f t="shared" si="21"/>
        <v>0.5158296</v>
      </c>
      <c r="H277" s="69">
        <f t="shared" si="21"/>
        <v>0.36602279999999998</v>
      </c>
      <c r="I277" s="69">
        <f t="shared" si="21"/>
        <v>0.19150559999999983</v>
      </c>
      <c r="J277" s="69">
        <f t="shared" si="21"/>
        <v>0</v>
      </c>
    </row>
    <row r="278" spans="1:10" ht="20.100000000000001" customHeight="1" x14ac:dyDescent="0.25">
      <c r="A278" s="63">
        <f t="shared" si="19"/>
        <v>0.36000000000000004</v>
      </c>
      <c r="B278" s="69">
        <f t="shared" si="21"/>
        <v>0.75519999999999998</v>
      </c>
      <c r="C278" s="69">
        <f t="shared" si="21"/>
        <v>0.75278336000000001</v>
      </c>
      <c r="D278" s="69">
        <f t="shared" si="21"/>
        <v>0.73616895999999998</v>
      </c>
      <c r="E278" s="69">
        <f t="shared" si="21"/>
        <v>0.69410432</v>
      </c>
      <c r="F278" s="69">
        <f t="shared" si="21"/>
        <v>0.61850880000000008</v>
      </c>
      <c r="G278" s="69">
        <f t="shared" si="21"/>
        <v>0.50447360000000008</v>
      </c>
      <c r="H278" s="69">
        <f t="shared" si="21"/>
        <v>0.35796479999999997</v>
      </c>
      <c r="I278" s="69">
        <f t="shared" si="21"/>
        <v>0.18728960000000006</v>
      </c>
      <c r="J278" s="69">
        <f t="shared" si="21"/>
        <v>0</v>
      </c>
    </row>
    <row r="279" spans="1:10" ht="20.100000000000001" customHeight="1" x14ac:dyDescent="0.25">
      <c r="A279" s="63">
        <f t="shared" si="19"/>
        <v>0.38000000000000006</v>
      </c>
      <c r="B279" s="69">
        <f t="shared" si="21"/>
        <v>0.73780000000000001</v>
      </c>
      <c r="C279" s="69">
        <f t="shared" si="21"/>
        <v>0.73543903999999993</v>
      </c>
      <c r="D279" s="69">
        <f t="shared" si="21"/>
        <v>0.71920743999999992</v>
      </c>
      <c r="E279" s="69">
        <f t="shared" si="21"/>
        <v>0.67811197999999995</v>
      </c>
      <c r="F279" s="69">
        <f t="shared" si="21"/>
        <v>0.60425819999999997</v>
      </c>
      <c r="G279" s="69">
        <f t="shared" si="21"/>
        <v>0.49285039999999991</v>
      </c>
      <c r="H279" s="69">
        <f t="shared" si="21"/>
        <v>0.34971720000000006</v>
      </c>
      <c r="I279" s="69">
        <f t="shared" si="21"/>
        <v>0.18297439999999998</v>
      </c>
      <c r="J279" s="69">
        <f t="shared" si="21"/>
        <v>0</v>
      </c>
    </row>
    <row r="280" spans="1:10" ht="20.100000000000001" customHeight="1" x14ac:dyDescent="0.25">
      <c r="A280" s="63">
        <f t="shared" si="19"/>
        <v>0.40000000000000008</v>
      </c>
      <c r="B280" s="69">
        <f t="shared" si="21"/>
        <v>0.72</v>
      </c>
      <c r="C280" s="69">
        <f t="shared" si="21"/>
        <v>0.71769599999999989</v>
      </c>
      <c r="D280" s="69">
        <f t="shared" si="21"/>
        <v>0.70185599999999992</v>
      </c>
      <c r="E280" s="69">
        <f t="shared" si="21"/>
        <v>0.6617519999999999</v>
      </c>
      <c r="F280" s="69">
        <f t="shared" si="21"/>
        <v>0.58967999999999987</v>
      </c>
      <c r="G280" s="69">
        <f t="shared" si="21"/>
        <v>0.48095999999999994</v>
      </c>
      <c r="H280" s="69">
        <f t="shared" si="21"/>
        <v>0.34127999999999981</v>
      </c>
      <c r="I280" s="69">
        <f t="shared" si="21"/>
        <v>0.17855999999999994</v>
      </c>
      <c r="J280" s="69">
        <f t="shared" si="21"/>
        <v>0</v>
      </c>
    </row>
    <row r="281" spans="1:10" ht="20.100000000000001" customHeight="1" x14ac:dyDescent="0.25">
      <c r="A281" s="63">
        <f t="shared" si="19"/>
        <v>0.4200000000000001</v>
      </c>
      <c r="B281" s="69">
        <f t="shared" si="21"/>
        <v>0.70179999999999998</v>
      </c>
      <c r="C281" s="69">
        <f t="shared" si="21"/>
        <v>0.69955423999999988</v>
      </c>
      <c r="D281" s="69">
        <f t="shared" si="21"/>
        <v>0.68411464</v>
      </c>
      <c r="E281" s="69">
        <f t="shared" si="21"/>
        <v>0.64502437999999995</v>
      </c>
      <c r="F281" s="69">
        <f t="shared" si="21"/>
        <v>0.57477420000000001</v>
      </c>
      <c r="G281" s="69">
        <f t="shared" si="21"/>
        <v>0.46880239999999984</v>
      </c>
      <c r="H281" s="69">
        <f t="shared" si="21"/>
        <v>0.33265319999999998</v>
      </c>
      <c r="I281" s="69">
        <f t="shared" si="21"/>
        <v>0.17404640000000005</v>
      </c>
      <c r="J281" s="69">
        <f t="shared" si="21"/>
        <v>0</v>
      </c>
    </row>
    <row r="282" spans="1:10" ht="20.100000000000001" customHeight="1" x14ac:dyDescent="0.25">
      <c r="A282" s="63">
        <f t="shared" si="19"/>
        <v>0.44000000000000011</v>
      </c>
      <c r="B282" s="69">
        <f t="shared" si="21"/>
        <v>0.68319999999999992</v>
      </c>
      <c r="C282" s="69">
        <f t="shared" si="21"/>
        <v>0.68101375999999991</v>
      </c>
      <c r="D282" s="69">
        <f t="shared" si="21"/>
        <v>0.66598336000000002</v>
      </c>
      <c r="E282" s="69">
        <f t="shared" si="21"/>
        <v>0.6279291199999999</v>
      </c>
      <c r="F282" s="69">
        <f t="shared" si="21"/>
        <v>0.55954079999999995</v>
      </c>
      <c r="G282" s="69">
        <f t="shared" si="21"/>
        <v>0.45637759999999994</v>
      </c>
      <c r="H282" s="69">
        <f t="shared" si="21"/>
        <v>0.32383680000000004</v>
      </c>
      <c r="I282" s="69">
        <f t="shared" si="21"/>
        <v>0.16943359999999996</v>
      </c>
      <c r="J282" s="69">
        <f t="shared" si="21"/>
        <v>0</v>
      </c>
    </row>
    <row r="283" spans="1:10" ht="20.100000000000001" customHeight="1" x14ac:dyDescent="0.25">
      <c r="A283" s="63">
        <f t="shared" si="19"/>
        <v>0.46000000000000013</v>
      </c>
      <c r="B283" s="69">
        <f t="shared" si="21"/>
        <v>0.6641999999999999</v>
      </c>
      <c r="C283" s="69">
        <f t="shared" si="21"/>
        <v>0.66207455999999987</v>
      </c>
      <c r="D283" s="69">
        <f t="shared" si="21"/>
        <v>0.6474621599999999</v>
      </c>
      <c r="E283" s="69">
        <f t="shared" si="21"/>
        <v>0.61046621999999984</v>
      </c>
      <c r="F283" s="69">
        <f t="shared" si="21"/>
        <v>0.5439797999999999</v>
      </c>
      <c r="G283" s="69">
        <f t="shared" si="21"/>
        <v>0.4436855999999999</v>
      </c>
      <c r="H283" s="69">
        <f t="shared" si="21"/>
        <v>0.31483079999999997</v>
      </c>
      <c r="I283" s="69">
        <f t="shared" si="21"/>
        <v>0.16472159999999991</v>
      </c>
      <c r="J283" s="69">
        <f t="shared" si="21"/>
        <v>0</v>
      </c>
    </row>
    <row r="284" spans="1:10" ht="20.100000000000001" customHeight="1" x14ac:dyDescent="0.25">
      <c r="A284" s="63">
        <f t="shared" si="19"/>
        <v>0.48000000000000015</v>
      </c>
      <c r="B284" s="69">
        <f t="shared" si="21"/>
        <v>0.64479999999999982</v>
      </c>
      <c r="C284" s="69">
        <f t="shared" si="21"/>
        <v>0.64273663999999986</v>
      </c>
      <c r="D284" s="69">
        <f t="shared" si="21"/>
        <v>0.62855103999999984</v>
      </c>
      <c r="E284" s="69">
        <f t="shared" si="21"/>
        <v>0.59263567999999989</v>
      </c>
      <c r="F284" s="69">
        <f t="shared" si="21"/>
        <v>0.52809119999999998</v>
      </c>
      <c r="G284" s="69">
        <f t="shared" si="21"/>
        <v>0.43072639999999995</v>
      </c>
      <c r="H284" s="69">
        <f t="shared" si="21"/>
        <v>0.30563519999999977</v>
      </c>
      <c r="I284" s="69">
        <f t="shared" si="21"/>
        <v>0.15991040000000001</v>
      </c>
      <c r="J284" s="69">
        <f t="shared" si="21"/>
        <v>0</v>
      </c>
    </row>
    <row r="285" spans="1:10" ht="20.100000000000001" customHeight="1" x14ac:dyDescent="0.25">
      <c r="A285" s="63">
        <f t="shared" si="19"/>
        <v>0.50000000000000011</v>
      </c>
      <c r="B285" s="69">
        <f t="shared" si="21"/>
        <v>0.62499999999999978</v>
      </c>
      <c r="C285" s="69">
        <f t="shared" si="21"/>
        <v>0.62299999999999978</v>
      </c>
      <c r="D285" s="69">
        <f t="shared" si="21"/>
        <v>0.60924999999999985</v>
      </c>
      <c r="E285" s="69">
        <f t="shared" si="21"/>
        <v>0.57443749999999993</v>
      </c>
      <c r="F285" s="69">
        <f t="shared" si="21"/>
        <v>0.51187499999999986</v>
      </c>
      <c r="G285" s="69">
        <f t="shared" si="21"/>
        <v>0.41749999999999987</v>
      </c>
      <c r="H285" s="69">
        <f t="shared" si="21"/>
        <v>0.29625000000000001</v>
      </c>
      <c r="I285" s="69">
        <f t="shared" si="21"/>
        <v>0.15500000000000003</v>
      </c>
      <c r="J285" s="69">
        <f t="shared" si="21"/>
        <v>0</v>
      </c>
    </row>
    <row r="286" spans="1:10" ht="20.100000000000001" customHeight="1" x14ac:dyDescent="0.25">
      <c r="A286" s="63">
        <f t="shared" si="19"/>
        <v>0.52000000000000013</v>
      </c>
      <c r="B286" s="69">
        <f t="shared" si="21"/>
        <v>0.60479999999999989</v>
      </c>
      <c r="C286" s="69">
        <f t="shared" si="21"/>
        <v>0.60286463999999995</v>
      </c>
      <c r="D286" s="69">
        <f t="shared" si="21"/>
        <v>0.58955903999999992</v>
      </c>
      <c r="E286" s="69">
        <f t="shared" si="21"/>
        <v>0.55587167999999987</v>
      </c>
      <c r="F286" s="69">
        <f t="shared" si="21"/>
        <v>0.49533119999999986</v>
      </c>
      <c r="G286" s="69">
        <f t="shared" si="21"/>
        <v>0.40400639999999999</v>
      </c>
      <c r="H286" s="69">
        <f t="shared" si="21"/>
        <v>0.28667519999999991</v>
      </c>
      <c r="I286" s="69">
        <f t="shared" si="21"/>
        <v>0.14999039999999997</v>
      </c>
      <c r="J286" s="69">
        <f t="shared" si="21"/>
        <v>0</v>
      </c>
    </row>
    <row r="287" spans="1:10" ht="20.100000000000001" customHeight="1" x14ac:dyDescent="0.25">
      <c r="A287" s="63">
        <f t="shared" si="19"/>
        <v>0.54000000000000015</v>
      </c>
      <c r="B287" s="69">
        <f t="shared" si="21"/>
        <v>0.58419999999999983</v>
      </c>
      <c r="C287" s="69">
        <f t="shared" si="21"/>
        <v>0.58233055999999983</v>
      </c>
      <c r="D287" s="69">
        <f t="shared" si="21"/>
        <v>0.56947815999999984</v>
      </c>
      <c r="E287" s="69">
        <f t="shared" si="21"/>
        <v>0.53693821999999991</v>
      </c>
      <c r="F287" s="69">
        <f t="shared" si="21"/>
        <v>0.47845979999999988</v>
      </c>
      <c r="G287" s="69">
        <f t="shared" si="21"/>
        <v>0.39024559999999986</v>
      </c>
      <c r="H287" s="69">
        <f t="shared" si="21"/>
        <v>0.27691080000000001</v>
      </c>
      <c r="I287" s="69">
        <f t="shared" si="21"/>
        <v>0.14488159999999994</v>
      </c>
      <c r="J287" s="69">
        <f t="shared" si="21"/>
        <v>0</v>
      </c>
    </row>
    <row r="288" spans="1:10" ht="20.100000000000001" customHeight="1" x14ac:dyDescent="0.25">
      <c r="A288" s="63">
        <f t="shared" si="19"/>
        <v>0.56000000000000016</v>
      </c>
      <c r="B288" s="69">
        <f t="shared" si="21"/>
        <v>0.56319999999999981</v>
      </c>
      <c r="C288" s="69">
        <f t="shared" si="21"/>
        <v>0.56139775999999975</v>
      </c>
      <c r="D288" s="69">
        <f t="shared" si="21"/>
        <v>0.54900735999999983</v>
      </c>
      <c r="E288" s="69">
        <f t="shared" si="21"/>
        <v>0.51763711999999984</v>
      </c>
      <c r="F288" s="69">
        <f t="shared" si="21"/>
        <v>0.4612607999999998</v>
      </c>
      <c r="G288" s="69">
        <f t="shared" si="21"/>
        <v>0.37621759999999982</v>
      </c>
      <c r="H288" s="69">
        <f t="shared" si="21"/>
        <v>0.26695679999999977</v>
      </c>
      <c r="I288" s="69">
        <f t="shared" si="21"/>
        <v>0.13967359999999995</v>
      </c>
      <c r="J288" s="69">
        <f t="shared" si="21"/>
        <v>0</v>
      </c>
    </row>
    <row r="289" spans="1:10" ht="20.100000000000001" customHeight="1" x14ac:dyDescent="0.25">
      <c r="A289" s="63">
        <f t="shared" si="19"/>
        <v>0.58000000000000018</v>
      </c>
      <c r="B289" s="69">
        <f t="shared" si="21"/>
        <v>0.54179999999999984</v>
      </c>
      <c r="C289" s="69">
        <f t="shared" si="21"/>
        <v>0.54006623999999981</v>
      </c>
      <c r="D289" s="69">
        <f t="shared" si="21"/>
        <v>0.52814663999999989</v>
      </c>
      <c r="E289" s="69">
        <f t="shared" si="21"/>
        <v>0.49796837999999988</v>
      </c>
      <c r="F289" s="69">
        <f t="shared" si="21"/>
        <v>0.44373419999999986</v>
      </c>
      <c r="G289" s="69">
        <f t="shared" si="21"/>
        <v>0.36192239999999987</v>
      </c>
      <c r="H289" s="69">
        <f t="shared" si="21"/>
        <v>0.25681319999999996</v>
      </c>
      <c r="I289" s="69">
        <f t="shared" si="21"/>
        <v>0.1343664</v>
      </c>
      <c r="J289" s="69">
        <f t="shared" si="21"/>
        <v>0</v>
      </c>
    </row>
    <row r="290" spans="1:10" ht="20.100000000000001" customHeight="1" x14ac:dyDescent="0.25">
      <c r="A290" s="63">
        <f t="shared" si="19"/>
        <v>0.6000000000000002</v>
      </c>
      <c r="B290" s="69">
        <f t="shared" si="21"/>
        <v>0.5199999999999998</v>
      </c>
      <c r="C290" s="69">
        <f t="shared" si="21"/>
        <v>0.51833599999999969</v>
      </c>
      <c r="D290" s="69">
        <f t="shared" si="21"/>
        <v>0.50689599999999979</v>
      </c>
      <c r="E290" s="69">
        <f t="shared" si="21"/>
        <v>0.4779319999999998</v>
      </c>
      <c r="F290" s="69">
        <f t="shared" si="21"/>
        <v>0.42587999999999981</v>
      </c>
      <c r="G290" s="69">
        <f t="shared" si="21"/>
        <v>0.34735999999999989</v>
      </c>
      <c r="H290" s="69">
        <f t="shared" si="21"/>
        <v>0.24647999999999992</v>
      </c>
      <c r="I290" s="69">
        <f t="shared" si="21"/>
        <v>0.12895999999999985</v>
      </c>
      <c r="J290" s="69">
        <f t="shared" si="21"/>
        <v>0</v>
      </c>
    </row>
    <row r="291" spans="1:10" ht="20.100000000000001" customHeight="1" x14ac:dyDescent="0.25">
      <c r="A291" s="63">
        <f t="shared" si="19"/>
        <v>0.62000000000000022</v>
      </c>
      <c r="B291" s="69">
        <f t="shared" si="21"/>
        <v>0.4977999999999998</v>
      </c>
      <c r="C291" s="69">
        <f t="shared" si="21"/>
        <v>0.49620703999999982</v>
      </c>
      <c r="D291" s="69">
        <f t="shared" si="21"/>
        <v>0.48525543999999987</v>
      </c>
      <c r="E291" s="69">
        <f t="shared" si="21"/>
        <v>0.45752797999999983</v>
      </c>
      <c r="F291" s="69">
        <f t="shared" si="21"/>
        <v>0.40769819999999979</v>
      </c>
      <c r="G291" s="69">
        <f t="shared" si="21"/>
        <v>0.33253039999999989</v>
      </c>
      <c r="H291" s="69">
        <f t="shared" si="21"/>
        <v>0.23595719999999987</v>
      </c>
      <c r="I291" s="69">
        <f t="shared" si="21"/>
        <v>0.12345439999999996</v>
      </c>
      <c r="J291" s="69">
        <f t="shared" si="21"/>
        <v>0</v>
      </c>
    </row>
    <row r="292" spans="1:10" ht="20.100000000000001" customHeight="1" x14ac:dyDescent="0.25">
      <c r="A292" s="63">
        <f t="shared" si="19"/>
        <v>0.64000000000000024</v>
      </c>
      <c r="B292" s="69">
        <f t="shared" si="21"/>
        <v>0.47519999999999973</v>
      </c>
      <c r="C292" s="69">
        <f t="shared" si="21"/>
        <v>0.47367935999999977</v>
      </c>
      <c r="D292" s="69">
        <f t="shared" si="21"/>
        <v>0.46322495999999969</v>
      </c>
      <c r="E292" s="69">
        <f t="shared" si="21"/>
        <v>0.43675631999999975</v>
      </c>
      <c r="F292" s="69">
        <f t="shared" si="21"/>
        <v>0.38918879999999978</v>
      </c>
      <c r="G292" s="69">
        <f t="shared" si="21"/>
        <v>0.31743359999999976</v>
      </c>
      <c r="H292" s="69">
        <f t="shared" si="21"/>
        <v>0.2252447999999998</v>
      </c>
      <c r="I292" s="69">
        <f t="shared" si="21"/>
        <v>0.11784959999999989</v>
      </c>
      <c r="J292" s="69">
        <f t="shared" si="21"/>
        <v>0</v>
      </c>
    </row>
    <row r="293" spans="1:10" ht="20.100000000000001" customHeight="1" x14ac:dyDescent="0.25">
      <c r="A293" s="63">
        <f t="shared" si="19"/>
        <v>0.66000000000000025</v>
      </c>
      <c r="B293" s="69">
        <f t="shared" ref="B293:J308" si="22">1+B226</f>
        <v>0.45219999999999971</v>
      </c>
      <c r="C293" s="69">
        <f t="shared" si="22"/>
        <v>0.45075295999999976</v>
      </c>
      <c r="D293" s="69">
        <f t="shared" si="22"/>
        <v>0.44080455999999968</v>
      </c>
      <c r="E293" s="69">
        <f t="shared" si="22"/>
        <v>0.41561701999999978</v>
      </c>
      <c r="F293" s="69">
        <f t="shared" si="22"/>
        <v>0.37035179999999979</v>
      </c>
      <c r="G293" s="69">
        <f t="shared" si="22"/>
        <v>0.30206959999999983</v>
      </c>
      <c r="H293" s="69">
        <f t="shared" si="22"/>
        <v>0.21434279999999983</v>
      </c>
      <c r="I293" s="69">
        <f t="shared" si="22"/>
        <v>0.11214559999999996</v>
      </c>
      <c r="J293" s="69">
        <f t="shared" si="22"/>
        <v>0</v>
      </c>
    </row>
    <row r="294" spans="1:10" ht="20.100000000000001" customHeight="1" x14ac:dyDescent="0.25">
      <c r="A294" s="63">
        <f t="shared" si="19"/>
        <v>0.68000000000000027</v>
      </c>
      <c r="B294" s="69">
        <f t="shared" si="22"/>
        <v>0.42879999999999963</v>
      </c>
      <c r="C294" s="69">
        <f t="shared" si="22"/>
        <v>0.42742783999999956</v>
      </c>
      <c r="D294" s="69">
        <f t="shared" si="22"/>
        <v>0.41799423999999963</v>
      </c>
      <c r="E294" s="69">
        <f t="shared" si="22"/>
        <v>0.3941100799999997</v>
      </c>
      <c r="F294" s="69">
        <f t="shared" si="22"/>
        <v>0.3511871999999997</v>
      </c>
      <c r="G294" s="69">
        <f t="shared" si="22"/>
        <v>0.28643839999999965</v>
      </c>
      <c r="H294" s="69">
        <f t="shared" si="22"/>
        <v>0.20325119999999985</v>
      </c>
      <c r="I294" s="69">
        <f t="shared" si="22"/>
        <v>0.10634239999999973</v>
      </c>
      <c r="J294" s="69">
        <f t="shared" si="22"/>
        <v>0</v>
      </c>
    </row>
    <row r="295" spans="1:10" ht="20.100000000000001" customHeight="1" x14ac:dyDescent="0.25">
      <c r="A295" s="63">
        <f t="shared" si="19"/>
        <v>0.70000000000000029</v>
      </c>
      <c r="B295" s="69">
        <f t="shared" si="22"/>
        <v>0.40499999999999969</v>
      </c>
      <c r="C295" s="69">
        <f t="shared" si="22"/>
        <v>0.40370399999999973</v>
      </c>
      <c r="D295" s="69">
        <f t="shared" si="22"/>
        <v>0.39479399999999965</v>
      </c>
      <c r="E295" s="69">
        <f t="shared" si="22"/>
        <v>0.37223549999999972</v>
      </c>
      <c r="F295" s="69">
        <f t="shared" si="22"/>
        <v>0.33169499999999974</v>
      </c>
      <c r="G295" s="69">
        <f t="shared" si="22"/>
        <v>0.27053999999999978</v>
      </c>
      <c r="H295" s="69">
        <f t="shared" si="22"/>
        <v>0.19196999999999986</v>
      </c>
      <c r="I295" s="69">
        <f t="shared" si="22"/>
        <v>0.10043999999999986</v>
      </c>
      <c r="J295" s="69">
        <f t="shared" si="22"/>
        <v>0</v>
      </c>
    </row>
    <row r="296" spans="1:10" ht="20.100000000000001" customHeight="1" x14ac:dyDescent="0.25">
      <c r="A296" s="63">
        <f t="shared" si="19"/>
        <v>0.72000000000000031</v>
      </c>
      <c r="B296" s="69">
        <f t="shared" si="22"/>
        <v>0.38079999999999958</v>
      </c>
      <c r="C296" s="69">
        <f t="shared" si="22"/>
        <v>0.37958143999999949</v>
      </c>
      <c r="D296" s="69">
        <f t="shared" si="22"/>
        <v>0.37120383999999962</v>
      </c>
      <c r="E296" s="69">
        <f t="shared" si="22"/>
        <v>0.34999327999999963</v>
      </c>
      <c r="F296" s="69">
        <f t="shared" si="22"/>
        <v>0.31187519999999969</v>
      </c>
      <c r="G296" s="69">
        <f t="shared" si="22"/>
        <v>0.25437439999999967</v>
      </c>
      <c r="H296" s="69">
        <f t="shared" si="22"/>
        <v>0.18049919999999986</v>
      </c>
      <c r="I296" s="69">
        <f t="shared" si="22"/>
        <v>9.4438399999999922E-2</v>
      </c>
      <c r="J296" s="69">
        <f t="shared" si="22"/>
        <v>0</v>
      </c>
    </row>
    <row r="297" spans="1:10" ht="20.100000000000001" customHeight="1" x14ac:dyDescent="0.25">
      <c r="A297" s="63">
        <f t="shared" si="19"/>
        <v>0.74000000000000032</v>
      </c>
      <c r="B297" s="69">
        <f t="shared" si="22"/>
        <v>0.35619999999999963</v>
      </c>
      <c r="C297" s="69">
        <f t="shared" si="22"/>
        <v>0.35506015999999962</v>
      </c>
      <c r="D297" s="69">
        <f t="shared" si="22"/>
        <v>0.34722375999999966</v>
      </c>
      <c r="E297" s="69">
        <f t="shared" si="22"/>
        <v>0.32738341999999965</v>
      </c>
      <c r="F297" s="69">
        <f t="shared" si="22"/>
        <v>0.29172779999999965</v>
      </c>
      <c r="G297" s="69">
        <f t="shared" si="22"/>
        <v>0.23794159999999975</v>
      </c>
      <c r="H297" s="69">
        <f t="shared" si="22"/>
        <v>0.16883879999999973</v>
      </c>
      <c r="I297" s="69">
        <f t="shared" si="22"/>
        <v>8.8337599999999794E-2</v>
      </c>
      <c r="J297" s="69">
        <f t="shared" si="22"/>
        <v>0</v>
      </c>
    </row>
    <row r="298" spans="1:10" ht="20.100000000000001" customHeight="1" x14ac:dyDescent="0.25">
      <c r="A298" s="63">
        <f t="shared" si="19"/>
        <v>0.76000000000000034</v>
      </c>
      <c r="B298" s="69">
        <f t="shared" si="22"/>
        <v>0.33119999999999949</v>
      </c>
      <c r="C298" s="69">
        <f t="shared" si="22"/>
        <v>0.33014015999999946</v>
      </c>
      <c r="D298" s="69">
        <f t="shared" si="22"/>
        <v>0.32285375999999943</v>
      </c>
      <c r="E298" s="69">
        <f t="shared" si="22"/>
        <v>0.30440591999999955</v>
      </c>
      <c r="F298" s="69">
        <f t="shared" si="22"/>
        <v>0.27125279999999963</v>
      </c>
      <c r="G298" s="69">
        <f t="shared" si="22"/>
        <v>0.22124159999999959</v>
      </c>
      <c r="H298" s="69">
        <f t="shared" si="22"/>
        <v>0.15698879999999971</v>
      </c>
      <c r="I298" s="69">
        <f t="shared" si="22"/>
        <v>8.2137599999999811E-2</v>
      </c>
      <c r="J298" s="69">
        <f t="shared" si="22"/>
        <v>0</v>
      </c>
    </row>
    <row r="299" spans="1:10" ht="20.100000000000001" customHeight="1" x14ac:dyDescent="0.25">
      <c r="A299" s="63">
        <f t="shared" si="19"/>
        <v>0.78000000000000036</v>
      </c>
      <c r="B299" s="69">
        <f t="shared" si="22"/>
        <v>0.30579999999999952</v>
      </c>
      <c r="C299" s="69">
        <f t="shared" si="22"/>
        <v>0.30482143999999967</v>
      </c>
      <c r="D299" s="69">
        <f t="shared" si="22"/>
        <v>0.2980938399999995</v>
      </c>
      <c r="E299" s="69">
        <f t="shared" si="22"/>
        <v>0.28106077999999957</v>
      </c>
      <c r="F299" s="69">
        <f t="shared" si="22"/>
        <v>0.25045019999999962</v>
      </c>
      <c r="G299" s="69">
        <f t="shared" si="22"/>
        <v>0.20427439999999963</v>
      </c>
      <c r="H299" s="69">
        <f t="shared" si="22"/>
        <v>0.14494919999999978</v>
      </c>
      <c r="I299" s="69">
        <f t="shared" si="22"/>
        <v>7.5838399999999861E-2</v>
      </c>
      <c r="J299" s="69">
        <f t="shared" si="22"/>
        <v>0</v>
      </c>
    </row>
    <row r="300" spans="1:10" ht="20.100000000000001" customHeight="1" x14ac:dyDescent="0.25">
      <c r="A300" s="63">
        <f t="shared" si="19"/>
        <v>0.80000000000000038</v>
      </c>
      <c r="B300" s="69">
        <f t="shared" si="22"/>
        <v>0.27999999999999958</v>
      </c>
      <c r="C300" s="69">
        <f t="shared" si="22"/>
        <v>0.27910399999999957</v>
      </c>
      <c r="D300" s="69">
        <f t="shared" si="22"/>
        <v>0.27294399999999952</v>
      </c>
      <c r="E300" s="69">
        <f t="shared" si="22"/>
        <v>0.25734799999999969</v>
      </c>
      <c r="F300" s="69">
        <f t="shared" si="22"/>
        <v>0.22931999999999964</v>
      </c>
      <c r="G300" s="69">
        <f t="shared" si="22"/>
        <v>0.18703999999999965</v>
      </c>
      <c r="H300" s="69">
        <f t="shared" si="22"/>
        <v>0.13271999999999973</v>
      </c>
      <c r="I300" s="69">
        <f t="shared" si="22"/>
        <v>6.9439999999999835E-2</v>
      </c>
      <c r="J300" s="69">
        <f t="shared" si="22"/>
        <v>0</v>
      </c>
    </row>
    <row r="301" spans="1:10" ht="20.100000000000001" customHeight="1" x14ac:dyDescent="0.25">
      <c r="A301" s="63">
        <f t="shared" si="19"/>
        <v>0.8200000000000004</v>
      </c>
      <c r="B301" s="69">
        <f t="shared" si="22"/>
        <v>0.25379999999999958</v>
      </c>
      <c r="C301" s="69">
        <f t="shared" si="22"/>
        <v>0.25298783999999952</v>
      </c>
      <c r="D301" s="69">
        <f t="shared" si="22"/>
        <v>0.2474042399999995</v>
      </c>
      <c r="E301" s="69">
        <f t="shared" si="22"/>
        <v>0.23326757999999959</v>
      </c>
      <c r="F301" s="69">
        <f t="shared" si="22"/>
        <v>0.20786219999999955</v>
      </c>
      <c r="G301" s="69">
        <f t="shared" si="22"/>
        <v>0.16953839999999976</v>
      </c>
      <c r="H301" s="69">
        <f t="shared" si="22"/>
        <v>0.12030119999999977</v>
      </c>
      <c r="I301" s="69">
        <f t="shared" si="22"/>
        <v>6.2942399999999843E-2</v>
      </c>
      <c r="J301" s="69">
        <f t="shared" si="22"/>
        <v>0</v>
      </c>
    </row>
    <row r="302" spans="1:10" ht="20.100000000000001" customHeight="1" x14ac:dyDescent="0.25">
      <c r="A302" s="63">
        <f t="shared" si="19"/>
        <v>0.84000000000000041</v>
      </c>
      <c r="B302" s="69">
        <f t="shared" si="22"/>
        <v>0.2271999999999994</v>
      </c>
      <c r="C302" s="69">
        <f t="shared" si="22"/>
        <v>0.22647295999999939</v>
      </c>
      <c r="D302" s="69">
        <f t="shared" si="22"/>
        <v>0.22147455999999943</v>
      </c>
      <c r="E302" s="69">
        <f t="shared" si="22"/>
        <v>0.20881951999999937</v>
      </c>
      <c r="F302" s="69">
        <f t="shared" si="22"/>
        <v>0.1860767999999996</v>
      </c>
      <c r="G302" s="69">
        <f t="shared" si="22"/>
        <v>0.15176959999999962</v>
      </c>
      <c r="H302" s="69">
        <f t="shared" si="22"/>
        <v>0.10769279999999981</v>
      </c>
      <c r="I302" s="69">
        <f t="shared" si="22"/>
        <v>5.6345599999999774E-2</v>
      </c>
      <c r="J302" s="69">
        <f t="shared" si="22"/>
        <v>0</v>
      </c>
    </row>
    <row r="303" spans="1:10" ht="20.100000000000001" customHeight="1" x14ac:dyDescent="0.25">
      <c r="A303" s="63">
        <f t="shared" si="19"/>
        <v>0.86000000000000043</v>
      </c>
      <c r="B303" s="69">
        <f t="shared" si="22"/>
        <v>0.20019999999999949</v>
      </c>
      <c r="C303" s="69">
        <f t="shared" si="22"/>
        <v>0.19955935999999952</v>
      </c>
      <c r="D303" s="69">
        <f t="shared" si="22"/>
        <v>0.19515495999999954</v>
      </c>
      <c r="E303" s="69">
        <f t="shared" si="22"/>
        <v>0.18400381999999949</v>
      </c>
      <c r="F303" s="69">
        <f t="shared" si="22"/>
        <v>0.16396379999999966</v>
      </c>
      <c r="G303" s="69">
        <f t="shared" si="22"/>
        <v>0.13373359999999967</v>
      </c>
      <c r="H303" s="69">
        <f t="shared" si="22"/>
        <v>9.4894799999999724E-2</v>
      </c>
      <c r="I303" s="69">
        <f t="shared" si="22"/>
        <v>4.964959999999996E-2</v>
      </c>
      <c r="J303" s="69">
        <f t="shared" si="22"/>
        <v>0</v>
      </c>
    </row>
    <row r="304" spans="1:10" ht="20.100000000000001" customHeight="1" x14ac:dyDescent="0.25">
      <c r="A304" s="63">
        <f t="shared" si="19"/>
        <v>0.88000000000000045</v>
      </c>
      <c r="B304" s="69">
        <f t="shared" si="22"/>
        <v>0.1727999999999994</v>
      </c>
      <c r="C304" s="69">
        <f t="shared" si="22"/>
        <v>0.17224703999999946</v>
      </c>
      <c r="D304" s="69">
        <f t="shared" si="22"/>
        <v>0.16844543999999939</v>
      </c>
      <c r="E304" s="69">
        <f t="shared" si="22"/>
        <v>0.1588204799999996</v>
      </c>
      <c r="F304" s="69">
        <f t="shared" si="22"/>
        <v>0.14152319999999963</v>
      </c>
      <c r="G304" s="69">
        <f t="shared" si="22"/>
        <v>0.1154303999999996</v>
      </c>
      <c r="H304" s="69">
        <f t="shared" si="22"/>
        <v>8.1907199999999736E-2</v>
      </c>
      <c r="I304" s="69">
        <f t="shared" si="22"/>
        <v>4.2854399999999959E-2</v>
      </c>
      <c r="J304" s="69">
        <f t="shared" si="22"/>
        <v>0</v>
      </c>
    </row>
    <row r="305" spans="1:10" ht="20.100000000000001" customHeight="1" x14ac:dyDescent="0.25">
      <c r="A305" s="63">
        <f t="shared" si="19"/>
        <v>0.90000000000000047</v>
      </c>
      <c r="B305" s="69">
        <f t="shared" si="22"/>
        <v>0.14499999999999924</v>
      </c>
      <c r="C305" s="69">
        <f t="shared" si="22"/>
        <v>0.14453599999999922</v>
      </c>
      <c r="D305" s="69">
        <f t="shared" si="22"/>
        <v>0.14134599999999931</v>
      </c>
      <c r="E305" s="69">
        <f t="shared" si="22"/>
        <v>0.13326949999999937</v>
      </c>
      <c r="F305" s="69">
        <f t="shared" si="22"/>
        <v>0.1187549999999995</v>
      </c>
      <c r="G305" s="69">
        <f t="shared" si="22"/>
        <v>9.6859999999999502E-2</v>
      </c>
      <c r="H305" s="69">
        <f t="shared" si="22"/>
        <v>6.8729999999999625E-2</v>
      </c>
      <c r="I305" s="69">
        <f t="shared" si="22"/>
        <v>3.595999999999977E-2</v>
      </c>
      <c r="J305" s="69">
        <f t="shared" si="22"/>
        <v>0</v>
      </c>
    </row>
    <row r="306" spans="1:10" ht="20.100000000000001" customHeight="1" x14ac:dyDescent="0.25">
      <c r="A306" s="63">
        <f t="shared" si="19"/>
        <v>0.92000000000000048</v>
      </c>
      <c r="B306" s="69">
        <f t="shared" si="22"/>
        <v>0.11679999999999935</v>
      </c>
      <c r="C306" s="69">
        <f t="shared" si="22"/>
        <v>0.11642623999999946</v>
      </c>
      <c r="D306" s="69">
        <f t="shared" si="22"/>
        <v>0.1138566399999994</v>
      </c>
      <c r="E306" s="69">
        <f t="shared" si="22"/>
        <v>0.10735087999999948</v>
      </c>
      <c r="F306" s="69">
        <f t="shared" si="22"/>
        <v>9.56591999999995E-2</v>
      </c>
      <c r="G306" s="69">
        <f t="shared" si="22"/>
        <v>7.8022399999999603E-2</v>
      </c>
      <c r="H306" s="69">
        <f t="shared" si="22"/>
        <v>5.5363199999999724E-2</v>
      </c>
      <c r="I306" s="69">
        <f t="shared" si="22"/>
        <v>2.8966399999999948E-2</v>
      </c>
      <c r="J306" s="69">
        <f t="shared" si="22"/>
        <v>0</v>
      </c>
    </row>
    <row r="307" spans="1:10" ht="20.100000000000001" customHeight="1" x14ac:dyDescent="0.25">
      <c r="A307" s="63">
        <f t="shared" si="19"/>
        <v>0.9400000000000005</v>
      </c>
      <c r="B307" s="69">
        <f t="shared" si="22"/>
        <v>8.8199999999999168E-2</v>
      </c>
      <c r="C307" s="69">
        <f t="shared" si="22"/>
        <v>8.791775999999929E-2</v>
      </c>
      <c r="D307" s="69">
        <f t="shared" si="22"/>
        <v>8.5977359999999226E-2</v>
      </c>
      <c r="E307" s="69">
        <f t="shared" si="22"/>
        <v>8.1064619999999254E-2</v>
      </c>
      <c r="F307" s="69">
        <f t="shared" si="22"/>
        <v>7.2235799999999406E-2</v>
      </c>
      <c r="G307" s="69">
        <f t="shared" si="22"/>
        <v>5.8917599999999459E-2</v>
      </c>
      <c r="H307" s="69">
        <f t="shared" si="22"/>
        <v>4.18067999999997E-2</v>
      </c>
      <c r="I307" s="69">
        <f t="shared" si="22"/>
        <v>2.1873599999999827E-2</v>
      </c>
      <c r="J307" s="69">
        <f t="shared" si="22"/>
        <v>0</v>
      </c>
    </row>
    <row r="308" spans="1:10" ht="20.100000000000001" customHeight="1" x14ac:dyDescent="0.25">
      <c r="A308" s="63">
        <f t="shared" si="19"/>
        <v>0.96000000000000052</v>
      </c>
      <c r="B308" s="69">
        <f t="shared" si="22"/>
        <v>5.9199999999999253E-2</v>
      </c>
      <c r="C308" s="69">
        <f t="shared" si="22"/>
        <v>5.9010559999999268E-2</v>
      </c>
      <c r="D308" s="69">
        <f t="shared" si="22"/>
        <v>5.7708159999999231E-2</v>
      </c>
      <c r="E308" s="69">
        <f t="shared" si="22"/>
        <v>5.4410719999999357E-2</v>
      </c>
      <c r="F308" s="69">
        <f t="shared" si="22"/>
        <v>4.8484799999999328E-2</v>
      </c>
      <c r="G308" s="69">
        <f t="shared" si="22"/>
        <v>3.9545599999999625E-2</v>
      </c>
      <c r="H308" s="69">
        <f t="shared" si="22"/>
        <v>2.8060799999999664E-2</v>
      </c>
      <c r="I308" s="69">
        <f t="shared" si="22"/>
        <v>1.468159999999985E-2</v>
      </c>
      <c r="J308" s="69">
        <f t="shared" si="22"/>
        <v>0</v>
      </c>
    </row>
    <row r="309" spans="1:10" ht="20.100000000000001" customHeight="1" x14ac:dyDescent="0.25">
      <c r="A309" s="63">
        <f t="shared" si="19"/>
        <v>0.98000000000000054</v>
      </c>
      <c r="B309" s="69">
        <f t="shared" ref="B309:J310" si="23">1+B242</f>
        <v>2.979999999999916E-2</v>
      </c>
      <c r="C309" s="69">
        <f t="shared" si="23"/>
        <v>2.9704639999999172E-2</v>
      </c>
      <c r="D309" s="69">
        <f t="shared" si="23"/>
        <v>2.9049039999999193E-2</v>
      </c>
      <c r="E309" s="69">
        <f t="shared" si="23"/>
        <v>2.7389179999999236E-2</v>
      </c>
      <c r="F309" s="69">
        <f t="shared" si="23"/>
        <v>2.4406199999999378E-2</v>
      </c>
      <c r="G309" s="69">
        <f t="shared" si="23"/>
        <v>1.9906399999999436E-2</v>
      </c>
      <c r="H309" s="69">
        <f t="shared" si="23"/>
        <v>1.4125199999999616E-2</v>
      </c>
      <c r="I309" s="69">
        <f t="shared" si="23"/>
        <v>7.3903999999997971E-3</v>
      </c>
      <c r="J309" s="69">
        <f t="shared" si="23"/>
        <v>0</v>
      </c>
    </row>
    <row r="310" spans="1:10" ht="20.100000000000001" customHeight="1" x14ac:dyDescent="0.25">
      <c r="A310" s="63">
        <f t="shared" si="19"/>
        <v>1.0000000000000004</v>
      </c>
      <c r="B310" s="69">
        <f t="shared" si="23"/>
        <v>0</v>
      </c>
      <c r="C310" s="69">
        <f t="shared" si="23"/>
        <v>0</v>
      </c>
      <c r="D310" s="69">
        <f t="shared" si="23"/>
        <v>0</v>
      </c>
      <c r="E310" s="69">
        <f t="shared" si="23"/>
        <v>0</v>
      </c>
      <c r="F310" s="69">
        <f t="shared" si="23"/>
        <v>0</v>
      </c>
      <c r="G310" s="69">
        <f t="shared" si="23"/>
        <v>0</v>
      </c>
      <c r="H310" s="69">
        <f t="shared" si="23"/>
        <v>0</v>
      </c>
      <c r="I310" s="69">
        <f t="shared" si="23"/>
        <v>0</v>
      </c>
      <c r="J310" s="69">
        <f t="shared" si="23"/>
        <v>0</v>
      </c>
    </row>
    <row r="311" spans="1:10" ht="20.100000000000001" customHeight="1" x14ac:dyDescent="0.25">
      <c r="A311" s="1"/>
      <c r="B311" s="1"/>
      <c r="C311" s="1"/>
      <c r="D311" s="1"/>
      <c r="E311" s="1"/>
      <c r="F311" s="1"/>
      <c r="G311" s="1"/>
      <c r="H311" s="1"/>
      <c r="I311" s="1"/>
      <c r="J311" s="1"/>
    </row>
    <row r="312" spans="1:10" ht="20.100000000000001" customHeight="1" x14ac:dyDescent="0.25">
      <c r="A312" s="119" t="s">
        <v>362</v>
      </c>
      <c r="B312" s="119"/>
      <c r="C312" s="119"/>
      <c r="D312" s="119"/>
      <c r="E312" s="119"/>
      <c r="F312" s="119"/>
      <c r="G312" s="119"/>
      <c r="H312" s="119"/>
      <c r="I312" s="119"/>
      <c r="J312" s="119"/>
    </row>
    <row r="313" spans="1:10" ht="20.100000000000001" customHeight="1" x14ac:dyDescent="0.25">
      <c r="A313" s="119"/>
      <c r="B313" s="119"/>
      <c r="C313" s="119"/>
      <c r="D313" s="119"/>
      <c r="E313" s="119"/>
      <c r="F313" s="119"/>
      <c r="G313" s="119"/>
      <c r="H313" s="119"/>
      <c r="I313" s="119"/>
      <c r="J313" s="119"/>
    </row>
    <row r="314" spans="1:10" ht="20.100000000000001" customHeight="1" x14ac:dyDescent="0.25">
      <c r="A314" s="1"/>
      <c r="B314" s="1"/>
      <c r="C314" s="1"/>
      <c r="D314" s="1"/>
      <c r="E314" s="1"/>
      <c r="F314" s="1"/>
      <c r="G314" s="1"/>
      <c r="H314" s="1"/>
      <c r="I314" s="1"/>
      <c r="J314" s="1"/>
    </row>
    <row r="315" spans="1:10" ht="20.100000000000001" customHeight="1" x14ac:dyDescent="0.25">
      <c r="A315" s="1"/>
      <c r="B315" s="1"/>
      <c r="C315" s="68"/>
      <c r="D315" s="1"/>
      <c r="E315" s="1"/>
      <c r="F315" s="1"/>
      <c r="G315" s="1"/>
      <c r="H315" s="1"/>
      <c r="I315" s="1"/>
      <c r="J315" s="1"/>
    </row>
    <row r="316" spans="1:10" ht="20.100000000000001" customHeight="1" x14ac:dyDescent="0.25">
      <c r="A316" s="1"/>
      <c r="B316" s="1"/>
      <c r="C316" s="1"/>
      <c r="D316" s="1"/>
      <c r="E316" s="1"/>
      <c r="F316" s="1"/>
      <c r="G316" s="1"/>
      <c r="H316" s="1"/>
      <c r="I316" s="1"/>
      <c r="J316" s="1"/>
    </row>
    <row r="317" spans="1:10" ht="20.100000000000001" customHeight="1" x14ac:dyDescent="0.25">
      <c r="A317" s="1"/>
      <c r="B317" s="1"/>
      <c r="C317" s="1"/>
      <c r="D317" s="1"/>
      <c r="E317" s="1"/>
      <c r="F317" s="1"/>
      <c r="G317" s="1"/>
      <c r="H317" s="1"/>
      <c r="I317" s="1"/>
      <c r="J317" s="1"/>
    </row>
    <row r="318" spans="1:10" ht="20.100000000000001" customHeight="1" x14ac:dyDescent="0.25">
      <c r="A318" s="1"/>
      <c r="B318" s="1"/>
      <c r="C318" s="1"/>
      <c r="D318" s="1"/>
      <c r="E318" s="1"/>
      <c r="F318" s="1"/>
      <c r="G318" s="1"/>
      <c r="H318" s="1"/>
      <c r="I318" s="1"/>
      <c r="J318" s="1"/>
    </row>
    <row r="319" spans="1:10" ht="20.100000000000001" customHeight="1" x14ac:dyDescent="0.25">
      <c r="A319" s="1"/>
      <c r="B319" s="1"/>
      <c r="C319" s="1"/>
      <c r="D319" s="1"/>
      <c r="E319" s="1"/>
      <c r="F319" s="1"/>
      <c r="G319" s="1"/>
      <c r="H319" s="1"/>
      <c r="I319" s="1"/>
      <c r="J319" s="1"/>
    </row>
    <row r="320" spans="1:10" ht="20.100000000000001" customHeight="1" x14ac:dyDescent="0.25">
      <c r="A320" s="1"/>
      <c r="B320" s="1"/>
      <c r="C320" s="1"/>
      <c r="D320" s="1"/>
      <c r="E320" s="1"/>
      <c r="F320" s="1"/>
      <c r="G320" s="1"/>
      <c r="H320" s="1"/>
      <c r="I320" s="1"/>
      <c r="J320" s="1"/>
    </row>
    <row r="321" spans="1:21" ht="20.100000000000001" customHeight="1" x14ac:dyDescent="0.25">
      <c r="A321" s="1"/>
      <c r="B321" s="1"/>
      <c r="C321" s="1"/>
      <c r="D321" s="1"/>
      <c r="E321" s="1"/>
      <c r="F321" s="1"/>
      <c r="G321" s="1"/>
      <c r="H321" s="1"/>
      <c r="I321" s="1"/>
      <c r="J321" s="1"/>
    </row>
    <row r="322" spans="1:21" ht="20.100000000000001" customHeight="1" x14ac:dyDescent="0.25">
      <c r="A322" s="119" t="s">
        <v>81</v>
      </c>
      <c r="B322" s="119"/>
      <c r="C322" s="119"/>
      <c r="D322" s="119"/>
      <c r="E322" s="119"/>
      <c r="F322" s="119"/>
      <c r="G322" s="119"/>
      <c r="H322" s="119"/>
      <c r="I322" s="119"/>
      <c r="J322" s="119"/>
    </row>
    <row r="323" spans="1:21" ht="20.100000000000001" customHeight="1" x14ac:dyDescent="0.25">
      <c r="A323" s="119" t="s">
        <v>82</v>
      </c>
      <c r="B323" s="119"/>
      <c r="C323" s="119"/>
      <c r="D323" s="119"/>
      <c r="E323" s="119"/>
      <c r="F323" s="119"/>
      <c r="G323" s="119"/>
      <c r="H323" s="119"/>
      <c r="I323" s="119"/>
      <c r="J323" s="119"/>
      <c r="K323" s="54"/>
      <c r="L323" s="54"/>
      <c r="M323" s="54"/>
      <c r="N323" s="54"/>
      <c r="O323" s="54"/>
      <c r="P323" s="54"/>
      <c r="Q323" s="54"/>
      <c r="R323" s="54"/>
    </row>
    <row r="324" spans="1:21" ht="39.950000000000003" customHeight="1" x14ac:dyDescent="0.25">
      <c r="A324" s="119" t="s">
        <v>104</v>
      </c>
      <c r="B324" s="119"/>
      <c r="C324" s="119"/>
      <c r="D324" s="119"/>
      <c r="E324" s="119"/>
      <c r="F324" s="119"/>
      <c r="G324" s="119"/>
      <c r="H324" s="119"/>
      <c r="I324" s="119"/>
      <c r="J324" s="119"/>
    </row>
    <row r="325" spans="1:21" ht="20.100000000000001" customHeight="1" x14ac:dyDescent="0.25">
      <c r="A325" s="119" t="s">
        <v>464</v>
      </c>
      <c r="B325" s="119"/>
      <c r="C325" s="119"/>
      <c r="D325" s="119"/>
      <c r="E325" s="119"/>
      <c r="F325" s="119"/>
      <c r="G325" s="119"/>
      <c r="H325" s="119"/>
      <c r="I325" s="119"/>
      <c r="J325" s="119"/>
    </row>
    <row r="326" spans="1:21" ht="20.100000000000001" customHeight="1" x14ac:dyDescent="0.25">
      <c r="A326" s="119" t="s">
        <v>465</v>
      </c>
      <c r="B326" s="119"/>
      <c r="C326" s="119"/>
      <c r="D326" s="119"/>
      <c r="E326" s="119"/>
      <c r="F326" s="119"/>
      <c r="G326" s="119"/>
      <c r="H326" s="119"/>
      <c r="I326" s="119"/>
      <c r="J326" s="119"/>
    </row>
    <row r="327" spans="1:21" ht="39.950000000000003" customHeight="1" x14ac:dyDescent="0.25">
      <c r="A327" s="119" t="s">
        <v>466</v>
      </c>
      <c r="B327" s="119"/>
      <c r="C327" s="119"/>
      <c r="D327" s="119"/>
      <c r="E327" s="119"/>
      <c r="F327" s="119"/>
      <c r="G327" s="119"/>
      <c r="H327" s="119"/>
      <c r="I327" s="119"/>
      <c r="J327" s="119"/>
    </row>
    <row r="328" spans="1:21" ht="39.950000000000003" customHeight="1" x14ac:dyDescent="0.25">
      <c r="A328" s="119" t="s">
        <v>467</v>
      </c>
      <c r="B328" s="119"/>
      <c r="C328" s="119"/>
      <c r="D328" s="119"/>
      <c r="E328" s="119"/>
      <c r="F328" s="119"/>
      <c r="G328" s="119"/>
      <c r="H328" s="119"/>
      <c r="I328" s="119"/>
      <c r="J328" s="119"/>
    </row>
    <row r="329" spans="1:21" ht="20.100000000000001" customHeight="1" x14ac:dyDescent="0.25">
      <c r="A329" s="119" t="s">
        <v>468</v>
      </c>
      <c r="B329" s="119"/>
      <c r="C329" s="119"/>
      <c r="D329" s="119"/>
      <c r="E329" s="119"/>
      <c r="F329" s="119"/>
      <c r="G329" s="119"/>
      <c r="H329" s="119"/>
      <c r="I329" s="119"/>
      <c r="J329" s="119"/>
    </row>
    <row r="330" spans="1:21" ht="20.100000000000001" customHeight="1" x14ac:dyDescent="0.25">
      <c r="A330" s="119" t="s">
        <v>105</v>
      </c>
      <c r="B330" s="119"/>
      <c r="C330" s="119"/>
      <c r="D330" s="119"/>
      <c r="E330" s="119"/>
      <c r="F330" s="119"/>
      <c r="G330" s="119"/>
      <c r="H330" s="119"/>
      <c r="I330" s="119"/>
      <c r="J330" s="119"/>
    </row>
    <row r="331" spans="1:21" ht="39.950000000000003" customHeight="1" x14ac:dyDescent="0.25">
      <c r="A331" s="119" t="s">
        <v>469</v>
      </c>
      <c r="B331" s="119"/>
      <c r="C331" s="119"/>
      <c r="D331" s="119"/>
      <c r="E331" s="119"/>
      <c r="F331" s="119"/>
      <c r="G331" s="119"/>
      <c r="H331" s="119"/>
      <c r="I331" s="119"/>
      <c r="J331" s="119"/>
    </row>
    <row r="332" spans="1:21" ht="39.950000000000003" customHeight="1" x14ac:dyDescent="0.25">
      <c r="A332" s="119" t="s">
        <v>470</v>
      </c>
      <c r="B332" s="119"/>
      <c r="C332" s="119"/>
      <c r="D332" s="119"/>
      <c r="E332" s="119"/>
      <c r="F332" s="119"/>
      <c r="G332" s="119"/>
      <c r="H332" s="119"/>
      <c r="I332" s="119"/>
      <c r="J332" s="119"/>
    </row>
    <row r="333" spans="1:21" ht="39.950000000000003" customHeight="1" x14ac:dyDescent="0.25">
      <c r="A333" s="119" t="s">
        <v>107</v>
      </c>
      <c r="B333" s="119"/>
      <c r="C333" s="119"/>
      <c r="D333" s="119"/>
      <c r="E333" s="119"/>
      <c r="F333" s="119"/>
      <c r="G333" s="119"/>
      <c r="H333" s="119"/>
      <c r="I333" s="119"/>
      <c r="J333" s="119"/>
    </row>
    <row r="334" spans="1:21" ht="39.950000000000003" customHeight="1" x14ac:dyDescent="0.25">
      <c r="A334" s="119" t="s">
        <v>471</v>
      </c>
      <c r="B334" s="119"/>
      <c r="C334" s="119"/>
      <c r="D334" s="119"/>
      <c r="E334" s="119"/>
      <c r="F334" s="119"/>
      <c r="G334" s="119"/>
      <c r="H334" s="119"/>
      <c r="I334" s="119"/>
      <c r="J334" s="119"/>
      <c r="L334" s="56"/>
      <c r="M334" s="56"/>
      <c r="N334" s="56"/>
      <c r="O334" s="56"/>
      <c r="P334" s="56"/>
      <c r="Q334" s="56"/>
      <c r="R334" s="56"/>
      <c r="S334" s="56"/>
      <c r="T334" s="56"/>
      <c r="U334" s="56"/>
    </row>
    <row r="335" spans="1:21" ht="39.950000000000003" customHeight="1" x14ac:dyDescent="0.25">
      <c r="A335" s="119" t="s">
        <v>106</v>
      </c>
      <c r="B335" s="119"/>
      <c r="C335" s="119"/>
      <c r="D335" s="119"/>
      <c r="E335" s="119"/>
      <c r="F335" s="119"/>
      <c r="G335" s="119"/>
      <c r="H335" s="119"/>
      <c r="I335" s="119"/>
      <c r="J335" s="119"/>
      <c r="L335" s="56"/>
      <c r="M335" s="56"/>
      <c r="N335" s="56"/>
      <c r="O335" s="56"/>
      <c r="P335" s="56"/>
      <c r="Q335" s="56"/>
      <c r="R335" s="56"/>
      <c r="S335" s="56"/>
      <c r="T335" s="56"/>
      <c r="U335" s="56"/>
    </row>
    <row r="336" spans="1:21" ht="39.950000000000003" customHeight="1" x14ac:dyDescent="0.25">
      <c r="A336" s="119" t="s">
        <v>472</v>
      </c>
      <c r="B336" s="119"/>
      <c r="C336" s="119"/>
      <c r="D336" s="119"/>
      <c r="E336" s="119"/>
      <c r="F336" s="119"/>
      <c r="G336" s="119"/>
      <c r="H336" s="119"/>
      <c r="I336" s="119"/>
      <c r="J336" s="119"/>
      <c r="L336" s="56"/>
      <c r="M336" s="56"/>
      <c r="N336" s="56"/>
      <c r="O336" s="56"/>
      <c r="P336" s="56"/>
      <c r="Q336" s="56"/>
      <c r="R336" s="56"/>
      <c r="S336" s="56"/>
      <c r="T336" s="56"/>
      <c r="U336" s="56"/>
    </row>
    <row r="337" spans="1:10" ht="20.100000000000001" customHeight="1" x14ac:dyDescent="0.25">
      <c r="A337" s="119" t="s">
        <v>473</v>
      </c>
      <c r="B337" s="119"/>
      <c r="C337" s="119"/>
      <c r="D337" s="119"/>
      <c r="E337" s="119"/>
      <c r="F337" s="119"/>
      <c r="G337" s="119"/>
      <c r="H337" s="119"/>
      <c r="I337" s="119"/>
      <c r="J337" s="119"/>
    </row>
    <row r="338" spans="1:10" ht="20.100000000000001" customHeight="1" x14ac:dyDescent="0.25">
      <c r="A338" s="119" t="s">
        <v>474</v>
      </c>
      <c r="B338" s="119"/>
      <c r="C338" s="119"/>
      <c r="D338" s="119"/>
      <c r="E338" s="119"/>
      <c r="F338" s="119"/>
      <c r="G338" s="119"/>
      <c r="H338" s="119"/>
      <c r="I338" s="119"/>
      <c r="J338" s="119"/>
    </row>
    <row r="339" spans="1:10" ht="39.950000000000003" customHeight="1" x14ac:dyDescent="0.25">
      <c r="A339" s="119" t="s">
        <v>475</v>
      </c>
      <c r="B339" s="119"/>
      <c r="C339" s="119"/>
      <c r="D339" s="119"/>
      <c r="E339" s="119"/>
      <c r="F339" s="119"/>
      <c r="G339" s="119"/>
      <c r="H339" s="119"/>
      <c r="I339" s="119"/>
      <c r="J339" s="119"/>
    </row>
    <row r="340" spans="1:10" ht="20.100000000000001" customHeight="1" x14ac:dyDescent="0.25">
      <c r="A340" s="119" t="s">
        <v>476</v>
      </c>
      <c r="B340" s="119"/>
      <c r="C340" s="119"/>
      <c r="D340" s="119"/>
      <c r="E340" s="119"/>
      <c r="F340" s="119"/>
      <c r="G340" s="119"/>
      <c r="H340" s="119"/>
      <c r="I340" s="119"/>
      <c r="J340" s="119"/>
    </row>
    <row r="341" spans="1:10" ht="20.100000000000001" customHeight="1" x14ac:dyDescent="0.25">
      <c r="A341" s="119"/>
      <c r="B341" s="119"/>
      <c r="C341" s="119"/>
      <c r="D341" s="119"/>
      <c r="E341" s="119"/>
      <c r="F341" s="119"/>
      <c r="G341" s="119"/>
      <c r="H341" s="119"/>
      <c r="I341" s="119"/>
      <c r="J341" s="119"/>
    </row>
  </sheetData>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9"/>
    <col min="42" max="43" width="3.625" style="70"/>
    <col min="44" max="16384" width="3.625" style="98"/>
  </cols>
  <sheetData>
    <row r="1" spans="1:39" s="70" customFormat="1" ht="20.100000000000001" customHeight="1" x14ac:dyDescent="0.25">
      <c r="A1" s="313" t="s">
        <v>226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row>
    <row r="2" spans="1:39" s="70" customFormat="1" ht="20.100000000000001" customHeight="1" x14ac:dyDescent="0.25">
      <c r="A2" s="313" t="s">
        <v>227</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row>
    <row r="3" spans="1:39" s="70" customFormat="1" ht="20.100000000000001" customHeight="1" x14ac:dyDescent="0.2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row>
    <row r="4" spans="1:39" s="70" customFormat="1" ht="20.100000000000001" customHeight="1" x14ac:dyDescent="0.25">
      <c r="A4" s="314" t="s">
        <v>108</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row>
    <row r="5" spans="1:39" s="70" customFormat="1" ht="20.100000000000001" customHeight="1"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39" s="70" customFormat="1" ht="20.100000000000001" customHeight="1" x14ac:dyDescent="0.25">
      <c r="A6" s="290" t="s">
        <v>109</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2"/>
    </row>
    <row r="7" spans="1:39" s="70" customFormat="1" ht="20.100000000000001" customHeight="1" x14ac:dyDescent="0.25">
      <c r="A7" s="73"/>
      <c r="B7" s="9"/>
      <c r="C7" s="9"/>
      <c r="D7" s="9"/>
      <c r="E7" s="9"/>
      <c r="F7" s="9"/>
      <c r="G7" s="9"/>
      <c r="H7" s="9"/>
      <c r="I7" s="9"/>
      <c r="J7" s="9"/>
      <c r="K7" s="74"/>
      <c r="L7" s="9"/>
      <c r="M7" s="9"/>
      <c r="N7" s="9"/>
      <c r="O7" s="9"/>
      <c r="P7" s="9"/>
      <c r="Q7" s="9"/>
      <c r="R7" s="9"/>
      <c r="S7" s="9"/>
      <c r="T7" s="9"/>
      <c r="U7" s="9"/>
      <c r="V7" s="9"/>
      <c r="W7" s="9"/>
      <c r="X7" s="9"/>
      <c r="Y7" s="9"/>
      <c r="Z7" s="9"/>
      <c r="AA7" s="9"/>
      <c r="AB7" s="9"/>
      <c r="AC7" s="9"/>
      <c r="AD7" s="9"/>
      <c r="AE7" s="9"/>
      <c r="AF7" s="9"/>
      <c r="AG7" s="9"/>
      <c r="AH7" s="9"/>
      <c r="AI7" s="9"/>
      <c r="AJ7" s="9"/>
      <c r="AK7" s="9"/>
      <c r="AL7" s="9"/>
      <c r="AM7" s="75"/>
    </row>
    <row r="8" spans="1:39" s="70" customFormat="1" ht="20.100000000000001" customHeight="1" x14ac:dyDescent="0.25">
      <c r="A8" s="73"/>
      <c r="B8" s="294" t="s">
        <v>233</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75"/>
    </row>
    <row r="9" spans="1:39" s="70" customFormat="1" ht="20.100000000000001" customHeight="1" x14ac:dyDescent="0.25">
      <c r="A9" s="73"/>
      <c r="B9" s="306" t="s">
        <v>110</v>
      </c>
      <c r="C9" s="307"/>
      <c r="D9" s="307"/>
      <c r="E9" s="307"/>
      <c r="F9" s="307"/>
      <c r="G9" s="307"/>
      <c r="H9" s="307"/>
      <c r="I9" s="307"/>
      <c r="J9" s="307"/>
      <c r="K9" s="308"/>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75"/>
    </row>
    <row r="10" spans="1:39" s="70" customFormat="1" ht="20.100000000000001" customHeight="1" x14ac:dyDescent="0.25">
      <c r="A10" s="73"/>
      <c r="B10" s="306" t="s">
        <v>111</v>
      </c>
      <c r="C10" s="307"/>
      <c r="D10" s="307"/>
      <c r="E10" s="307"/>
      <c r="F10" s="307"/>
      <c r="G10" s="307"/>
      <c r="H10" s="307"/>
      <c r="I10" s="307"/>
      <c r="J10" s="307"/>
      <c r="K10" s="308"/>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75"/>
    </row>
    <row r="11" spans="1:39" s="70" customFormat="1" ht="20.100000000000001" customHeight="1" x14ac:dyDescent="0.25">
      <c r="A11" s="73"/>
      <c r="B11" s="306" t="s">
        <v>112</v>
      </c>
      <c r="C11" s="307"/>
      <c r="D11" s="307"/>
      <c r="E11" s="307"/>
      <c r="F11" s="307"/>
      <c r="G11" s="307"/>
      <c r="H11" s="307"/>
      <c r="I11" s="307"/>
      <c r="J11" s="307"/>
      <c r="K11" s="308"/>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75"/>
    </row>
    <row r="12" spans="1:39" s="70" customFormat="1" ht="20.100000000000001" customHeight="1" x14ac:dyDescent="0.25">
      <c r="A12" s="73"/>
      <c r="B12" s="306" t="s">
        <v>234</v>
      </c>
      <c r="C12" s="307"/>
      <c r="D12" s="307"/>
      <c r="E12" s="307"/>
      <c r="F12" s="307"/>
      <c r="G12" s="307"/>
      <c r="H12" s="307"/>
      <c r="I12" s="307"/>
      <c r="J12" s="307"/>
      <c r="K12" s="308"/>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75"/>
    </row>
    <row r="13" spans="1:39" s="70" customFormat="1" ht="20.100000000000001" customHeight="1" x14ac:dyDescent="0.25">
      <c r="A13" s="73"/>
      <c r="B13" s="306" t="s">
        <v>235</v>
      </c>
      <c r="C13" s="307"/>
      <c r="D13" s="307"/>
      <c r="E13" s="307"/>
      <c r="F13" s="307"/>
      <c r="G13" s="307"/>
      <c r="H13" s="307"/>
      <c r="I13" s="307"/>
      <c r="J13" s="307"/>
      <c r="K13" s="308"/>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75"/>
    </row>
    <row r="14" spans="1:39" s="70" customFormat="1" ht="20.100000000000001" customHeight="1" x14ac:dyDescent="0.25">
      <c r="A14" s="73"/>
      <c r="B14" s="310" t="s">
        <v>113</v>
      </c>
      <c r="C14" s="311"/>
      <c r="D14" s="311"/>
      <c r="E14" s="311"/>
      <c r="F14" s="311"/>
      <c r="G14" s="311"/>
      <c r="H14" s="311"/>
      <c r="I14" s="311"/>
      <c r="J14" s="311"/>
      <c r="K14" s="312"/>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75"/>
    </row>
    <row r="15" spans="1:39" s="70" customFormat="1" ht="20.100000000000001" customHeight="1" x14ac:dyDescent="0.25">
      <c r="A15" s="73"/>
      <c r="B15" s="310" t="s">
        <v>114</v>
      </c>
      <c r="C15" s="311"/>
      <c r="D15" s="311"/>
      <c r="E15" s="311"/>
      <c r="F15" s="311"/>
      <c r="G15" s="311"/>
      <c r="H15" s="311"/>
      <c r="I15" s="311"/>
      <c r="J15" s="311"/>
      <c r="K15" s="312"/>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75"/>
    </row>
    <row r="16" spans="1:39" s="70" customFormat="1" ht="20.100000000000001" customHeight="1" x14ac:dyDescent="0.25">
      <c r="A16" s="73"/>
      <c r="B16" s="310" t="s">
        <v>236</v>
      </c>
      <c r="C16" s="311"/>
      <c r="D16" s="311"/>
      <c r="E16" s="311"/>
      <c r="F16" s="311"/>
      <c r="G16" s="311"/>
      <c r="H16" s="311"/>
      <c r="I16" s="311"/>
      <c r="J16" s="311"/>
      <c r="K16" s="312"/>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75"/>
    </row>
    <row r="17" spans="1:39" s="70" customFormat="1" ht="20.100000000000001" customHeight="1" thickBot="1" x14ac:dyDescent="0.3">
      <c r="A17" s="77"/>
      <c r="B17" s="72"/>
      <c r="C17" s="72"/>
      <c r="D17" s="72"/>
      <c r="E17" s="72"/>
      <c r="F17" s="72"/>
      <c r="G17" s="72"/>
      <c r="H17" s="72"/>
      <c r="I17" s="72"/>
      <c r="J17" s="72"/>
      <c r="K17" s="78"/>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9"/>
    </row>
    <row r="18" spans="1:39" s="70" customFormat="1" ht="20.100000000000001" customHeight="1" thickBot="1" x14ac:dyDescent="0.3">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row>
    <row r="19" spans="1:39" s="70" customFormat="1" ht="20.100000000000001" customHeight="1" x14ac:dyDescent="0.25">
      <c r="A19" s="290" t="s">
        <v>231</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2"/>
    </row>
    <row r="20" spans="1:39" s="70" customFormat="1" ht="20.100000000000001" customHeight="1" x14ac:dyDescent="0.25">
      <c r="A20" s="73"/>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75"/>
    </row>
    <row r="21" spans="1:39" s="70" customFormat="1" ht="20.100000000000001" customHeight="1" x14ac:dyDescent="0.25">
      <c r="A21" s="73"/>
      <c r="B21" s="305" t="s">
        <v>115</v>
      </c>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75"/>
    </row>
    <row r="22" spans="1:39" s="70" customFormat="1" ht="20.100000000000001" customHeight="1" x14ac:dyDescent="0.25">
      <c r="A22" s="73"/>
      <c r="B22" s="305" t="s">
        <v>116</v>
      </c>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75"/>
    </row>
    <row r="23" spans="1:39" s="70" customFormat="1" ht="20.100000000000001" customHeight="1" x14ac:dyDescent="0.25">
      <c r="A23" s="73"/>
      <c r="B23" s="305" t="s">
        <v>117</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75"/>
    </row>
    <row r="24" spans="1:39" s="70" customFormat="1" ht="20.100000000000001" customHeight="1" thickBot="1" x14ac:dyDescent="0.3">
      <c r="A24" s="77"/>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9"/>
    </row>
    <row r="25" spans="1:39" s="70" customFormat="1" ht="20.100000000000001" customHeight="1" x14ac:dyDescent="0.25">
      <c r="A25" s="300" t="s">
        <v>118</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2"/>
    </row>
    <row r="26" spans="1:39" s="70" customFormat="1" ht="20.100000000000001" customHeight="1" x14ac:dyDescent="0.25">
      <c r="A26" s="73"/>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75"/>
    </row>
    <row r="27" spans="1:39" s="70" customFormat="1" ht="20.100000000000001" customHeight="1" x14ac:dyDescent="0.25">
      <c r="A27" s="73"/>
      <c r="B27" s="303" t="s">
        <v>119</v>
      </c>
      <c r="C27" s="303"/>
      <c r="D27" s="303"/>
      <c r="E27" s="303"/>
      <c r="F27" s="303"/>
      <c r="G27" s="303"/>
      <c r="H27" s="303"/>
      <c r="I27" s="303"/>
      <c r="J27" s="303"/>
      <c r="K27" s="303"/>
      <c r="L27" s="303"/>
      <c r="M27" s="303"/>
      <c r="N27" s="303"/>
      <c r="O27" s="9"/>
      <c r="P27" s="9"/>
      <c r="Q27" s="9"/>
      <c r="R27" s="9"/>
      <c r="S27" s="9"/>
      <c r="T27" s="9"/>
      <c r="U27" s="9"/>
      <c r="V27" s="304" t="s">
        <v>120</v>
      </c>
      <c r="W27" s="304"/>
      <c r="X27" s="304"/>
      <c r="Y27" s="304"/>
      <c r="Z27" s="304"/>
      <c r="AA27" s="304"/>
      <c r="AB27" s="304"/>
      <c r="AC27" s="304"/>
      <c r="AD27" s="304"/>
      <c r="AE27" s="304"/>
      <c r="AF27" s="304"/>
      <c r="AG27" s="304"/>
      <c r="AH27" s="304"/>
      <c r="AI27" s="304"/>
      <c r="AJ27" s="304"/>
      <c r="AK27" s="304"/>
      <c r="AL27" s="304"/>
      <c r="AM27" s="82"/>
    </row>
    <row r="28" spans="1:39" s="70" customFormat="1" ht="20.100000000000001" customHeight="1" x14ac:dyDescent="0.25">
      <c r="A28" s="73"/>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75"/>
    </row>
    <row r="29" spans="1:39" s="70" customFormat="1" ht="20.100000000000001" customHeight="1" x14ac:dyDescent="0.25">
      <c r="A29" s="73"/>
      <c r="B29" s="76"/>
      <c r="C29" s="83" t="s">
        <v>121</v>
      </c>
      <c r="D29" s="9"/>
      <c r="E29" s="9"/>
      <c r="J29" s="76"/>
      <c r="K29" s="83" t="s">
        <v>122</v>
      </c>
      <c r="L29" s="9"/>
      <c r="M29" s="9"/>
      <c r="N29" s="9"/>
      <c r="O29" s="9"/>
      <c r="P29" s="9"/>
      <c r="Q29" s="9"/>
      <c r="R29" s="9"/>
      <c r="S29" s="9"/>
      <c r="T29" s="9"/>
      <c r="U29" s="9"/>
      <c r="V29" s="76"/>
      <c r="W29" s="84" t="s">
        <v>123</v>
      </c>
      <c r="X29" s="83"/>
      <c r="Y29" s="83"/>
      <c r="Z29" s="83"/>
      <c r="AA29" s="83"/>
      <c r="AB29" s="83"/>
      <c r="AC29" s="83"/>
      <c r="AD29" s="83"/>
      <c r="AE29" s="76"/>
      <c r="AF29" s="84" t="s">
        <v>64</v>
      </c>
      <c r="AH29" s="9"/>
      <c r="AI29" s="9"/>
      <c r="AJ29" s="83"/>
      <c r="AK29" s="83"/>
      <c r="AL29" s="83"/>
      <c r="AM29" s="85"/>
    </row>
    <row r="30" spans="1:39" s="70" customFormat="1" ht="20.100000000000001" customHeight="1" x14ac:dyDescent="0.25">
      <c r="A30" s="9"/>
      <c r="B30" s="9"/>
      <c r="C30" s="9"/>
      <c r="D30" s="9"/>
      <c r="E30" s="9"/>
      <c r="J30" s="9"/>
      <c r="K30" s="83"/>
      <c r="L30" s="9"/>
      <c r="M30" s="9"/>
      <c r="N30" s="9"/>
      <c r="O30" s="9"/>
      <c r="P30" s="9"/>
      <c r="Q30" s="9"/>
      <c r="R30" s="9"/>
      <c r="S30" s="9"/>
      <c r="T30" s="9"/>
      <c r="U30" s="9"/>
      <c r="V30" s="9"/>
      <c r="W30" s="9"/>
      <c r="X30" s="83"/>
      <c r="Y30" s="83"/>
      <c r="Z30" s="83"/>
      <c r="AA30" s="83"/>
      <c r="AB30" s="83"/>
      <c r="AC30" s="83"/>
      <c r="AD30" s="83"/>
      <c r="AE30" s="9"/>
      <c r="AF30" s="9"/>
      <c r="AH30" s="9"/>
      <c r="AI30" s="9"/>
      <c r="AJ30" s="83"/>
      <c r="AK30" s="83"/>
      <c r="AL30" s="83"/>
      <c r="AM30" s="85"/>
    </row>
    <row r="31" spans="1:39" s="70" customFormat="1" ht="20.100000000000001" customHeight="1" x14ac:dyDescent="0.25">
      <c r="A31" s="73"/>
      <c r="B31" s="76"/>
      <c r="C31" s="83" t="s">
        <v>124</v>
      </c>
      <c r="D31" s="9"/>
      <c r="E31" s="9"/>
      <c r="J31" s="76"/>
      <c r="K31" s="83" t="s">
        <v>125</v>
      </c>
      <c r="L31" s="9"/>
      <c r="M31" s="9"/>
      <c r="N31" s="9"/>
      <c r="O31" s="9"/>
      <c r="P31" s="9"/>
      <c r="Q31" s="9"/>
      <c r="R31" s="9"/>
      <c r="S31" s="9"/>
      <c r="T31" s="9"/>
      <c r="U31" s="9"/>
      <c r="V31" s="76"/>
      <c r="W31" s="84" t="s">
        <v>126</v>
      </c>
      <c r="X31" s="83"/>
      <c r="Y31" s="83"/>
      <c r="Z31" s="83"/>
      <c r="AA31" s="83"/>
      <c r="AB31" s="83"/>
      <c r="AC31" s="83"/>
      <c r="AD31" s="83"/>
      <c r="AE31" s="76"/>
      <c r="AF31" s="84" t="s">
        <v>127</v>
      </c>
      <c r="AG31" s="83"/>
      <c r="AH31" s="83"/>
      <c r="AI31" s="83"/>
      <c r="AJ31" s="83"/>
      <c r="AK31" s="83"/>
      <c r="AL31" s="83"/>
      <c r="AM31" s="75"/>
    </row>
    <row r="32" spans="1:39" s="70" customFormat="1" ht="20.100000000000001" customHeight="1" x14ac:dyDescent="0.25">
      <c r="A32" s="73"/>
      <c r="C32" s="83"/>
      <c r="D32" s="9"/>
      <c r="E32" s="9"/>
      <c r="K32" s="83"/>
      <c r="L32" s="9"/>
      <c r="M32" s="9"/>
      <c r="N32" s="9"/>
      <c r="O32" s="9"/>
      <c r="P32" s="9"/>
      <c r="Q32" s="9"/>
      <c r="R32" s="9"/>
      <c r="S32" s="9"/>
      <c r="T32" s="9"/>
      <c r="U32" s="9"/>
      <c r="V32" s="9"/>
      <c r="W32" s="9"/>
      <c r="X32" s="83"/>
      <c r="Y32" s="83"/>
      <c r="Z32" s="83"/>
      <c r="AA32" s="83"/>
      <c r="AB32" s="83"/>
      <c r="AC32" s="83"/>
      <c r="AD32" s="83"/>
      <c r="AF32" s="83"/>
      <c r="AG32" s="83"/>
      <c r="AH32" s="83"/>
      <c r="AI32" s="83"/>
      <c r="AJ32" s="83"/>
      <c r="AK32" s="83"/>
      <c r="AL32" s="83"/>
      <c r="AM32" s="75"/>
    </row>
    <row r="33" spans="1:39" s="70" customFormat="1" ht="20.100000000000001" customHeight="1" x14ac:dyDescent="0.25">
      <c r="A33" s="73"/>
      <c r="B33" s="9"/>
      <c r="C33" s="9"/>
      <c r="D33" s="9"/>
      <c r="E33" s="9"/>
      <c r="F33" s="9"/>
      <c r="G33" s="9"/>
      <c r="H33" s="9"/>
      <c r="I33" s="9"/>
      <c r="J33" s="9"/>
      <c r="K33" s="9"/>
      <c r="L33" s="9"/>
      <c r="M33" s="9"/>
      <c r="N33" s="9"/>
      <c r="O33" s="9"/>
      <c r="P33" s="9"/>
      <c r="Q33" s="9"/>
      <c r="R33" s="9"/>
      <c r="S33" s="9"/>
      <c r="T33" s="9"/>
      <c r="U33" s="9"/>
      <c r="V33" s="76"/>
      <c r="W33" s="84" t="s">
        <v>232</v>
      </c>
      <c r="X33" s="9"/>
      <c r="Y33" s="9"/>
      <c r="Z33" s="9"/>
      <c r="AA33" s="9"/>
      <c r="AB33" s="9"/>
      <c r="AC33" s="9"/>
      <c r="AD33" s="9"/>
      <c r="AE33" s="9"/>
      <c r="AF33" s="9"/>
      <c r="AG33" s="9"/>
      <c r="AH33" s="9"/>
      <c r="AI33" s="9"/>
      <c r="AJ33" s="9"/>
      <c r="AK33" s="9"/>
      <c r="AL33" s="9"/>
      <c r="AM33" s="75"/>
    </row>
    <row r="34" spans="1:39" s="70" customFormat="1" ht="20.100000000000001" customHeight="1" x14ac:dyDescent="0.25">
      <c r="A34" s="73"/>
      <c r="B34" s="9"/>
      <c r="C34" s="9"/>
      <c r="D34" s="9"/>
      <c r="E34" s="9"/>
      <c r="F34" s="9"/>
      <c r="G34" s="9"/>
      <c r="H34" s="9"/>
      <c r="J34" s="9"/>
      <c r="K34" s="9"/>
      <c r="L34" s="9"/>
      <c r="M34" s="9"/>
      <c r="N34" s="9"/>
      <c r="O34" s="9"/>
      <c r="P34" s="9"/>
      <c r="Q34" s="9"/>
      <c r="R34" s="9"/>
      <c r="S34" s="9"/>
      <c r="T34" s="9"/>
      <c r="U34" s="9"/>
      <c r="W34" s="83"/>
      <c r="X34" s="9"/>
      <c r="Y34" s="9"/>
      <c r="Z34" s="9"/>
      <c r="AA34" s="9"/>
      <c r="AB34" s="9"/>
      <c r="AC34" s="9"/>
      <c r="AD34" s="9"/>
      <c r="AE34" s="9"/>
      <c r="AF34" s="9"/>
      <c r="AG34" s="9"/>
      <c r="AH34" s="9"/>
      <c r="AI34" s="9"/>
      <c r="AJ34" s="9"/>
      <c r="AK34" s="9"/>
      <c r="AL34" s="9"/>
      <c r="AM34" s="75"/>
    </row>
    <row r="35" spans="1:39" s="70" customFormat="1" ht="20.100000000000001" customHeight="1" x14ac:dyDescent="0.25">
      <c r="A35" s="73"/>
      <c r="B35" s="297" t="s">
        <v>128</v>
      </c>
      <c r="C35" s="298"/>
      <c r="D35" s="298"/>
      <c r="E35" s="298"/>
      <c r="F35" s="298"/>
      <c r="G35" s="298"/>
      <c r="H35" s="299"/>
      <c r="J35" s="76"/>
      <c r="K35" s="83" t="s">
        <v>65</v>
      </c>
      <c r="L35" s="9"/>
      <c r="M35" s="9"/>
      <c r="O35" s="9"/>
      <c r="P35" s="9"/>
      <c r="Q35" s="9"/>
      <c r="R35" s="9"/>
      <c r="S35" s="9"/>
      <c r="T35" s="9"/>
      <c r="U35" s="9"/>
      <c r="V35" s="76"/>
      <c r="W35" s="83" t="s">
        <v>66</v>
      </c>
      <c r="X35" s="9"/>
      <c r="Y35" s="9"/>
      <c r="AC35" s="9"/>
      <c r="AD35" s="9"/>
      <c r="AE35" s="9"/>
      <c r="AF35" s="9"/>
      <c r="AG35" s="9"/>
      <c r="AH35" s="9"/>
      <c r="AI35" s="9"/>
      <c r="AJ35" s="9"/>
      <c r="AK35" s="9"/>
      <c r="AL35" s="9"/>
      <c r="AM35" s="75"/>
    </row>
    <row r="36" spans="1:39" s="70" customFormat="1" ht="20.100000000000001" customHeight="1" thickBot="1" x14ac:dyDescent="0.3">
      <c r="A36" s="77"/>
      <c r="B36" s="72"/>
      <c r="C36" s="72"/>
      <c r="D36" s="72"/>
      <c r="E36" s="72"/>
      <c r="F36" s="72"/>
      <c r="G36" s="72"/>
      <c r="H36" s="72"/>
      <c r="J36" s="72"/>
      <c r="K36" s="72"/>
      <c r="L36" s="72"/>
      <c r="M36" s="72"/>
      <c r="N36" s="72"/>
      <c r="O36" s="72"/>
      <c r="P36" s="72"/>
      <c r="Q36" s="72"/>
      <c r="R36" s="72"/>
      <c r="S36" s="72"/>
      <c r="T36" s="72"/>
      <c r="U36" s="72"/>
      <c r="V36" s="86"/>
      <c r="W36" s="87"/>
      <c r="X36" s="72"/>
      <c r="Y36" s="72"/>
      <c r="Z36" s="72"/>
      <c r="AA36" s="72"/>
      <c r="AB36" s="72"/>
      <c r="AC36" s="72"/>
      <c r="AD36" s="72"/>
      <c r="AE36" s="72"/>
      <c r="AF36" s="72"/>
      <c r="AG36" s="72"/>
      <c r="AH36" s="72"/>
      <c r="AI36" s="72"/>
      <c r="AJ36" s="72"/>
      <c r="AK36" s="72"/>
      <c r="AL36" s="72"/>
      <c r="AM36" s="79"/>
    </row>
    <row r="37" spans="1:39" s="70" customFormat="1" ht="20.100000000000001" customHeight="1" x14ac:dyDescent="0.25">
      <c r="A37" s="290" t="s">
        <v>129</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2"/>
    </row>
    <row r="38" spans="1:39" s="70" customFormat="1" ht="20.100000000000001" customHeight="1" x14ac:dyDescent="0.25">
      <c r="A38" s="73"/>
      <c r="B38" s="31"/>
      <c r="C38" s="88"/>
      <c r="D38" s="88"/>
      <c r="E38" s="88"/>
      <c r="F38" s="88"/>
      <c r="G38" s="88"/>
      <c r="H38" s="88"/>
      <c r="I38" s="88"/>
      <c r="J38" s="89"/>
      <c r="K38" s="89"/>
      <c r="L38" s="89"/>
      <c r="M38" s="89"/>
      <c r="N38" s="89"/>
      <c r="O38" s="89"/>
      <c r="P38" s="89"/>
      <c r="Q38" s="89"/>
      <c r="R38" s="89"/>
      <c r="S38" s="89"/>
      <c r="T38" s="89"/>
      <c r="U38" s="89"/>
      <c r="V38" s="88"/>
      <c r="W38" s="88"/>
      <c r="X38" s="88"/>
      <c r="Y38" s="88"/>
      <c r="Z38" s="88"/>
      <c r="AA38" s="88"/>
      <c r="AB38" s="88"/>
      <c r="AC38" s="90"/>
      <c r="AD38" s="90"/>
      <c r="AE38" s="90"/>
      <c r="AF38" s="90"/>
      <c r="AG38" s="90"/>
      <c r="AH38" s="90"/>
      <c r="AI38" s="88"/>
      <c r="AJ38" s="88"/>
      <c r="AK38" s="88"/>
      <c r="AL38" s="88"/>
      <c r="AM38" s="91"/>
    </row>
    <row r="39" spans="1:39" s="70" customFormat="1" ht="20.100000000000001" customHeight="1" x14ac:dyDescent="0.25">
      <c r="A39" s="73"/>
      <c r="B39" s="92"/>
      <c r="C39" s="83" t="s">
        <v>130</v>
      </c>
      <c r="D39" s="88"/>
      <c r="E39" s="88"/>
      <c r="F39" s="88"/>
      <c r="G39" s="88"/>
      <c r="H39" s="88"/>
      <c r="I39" s="88"/>
      <c r="J39" s="81"/>
      <c r="K39" s="92"/>
      <c r="L39" s="83" t="s">
        <v>131</v>
      </c>
      <c r="M39" s="83"/>
      <c r="N39" s="83"/>
      <c r="O39" s="83"/>
      <c r="P39" s="83"/>
      <c r="Q39" s="9"/>
      <c r="R39" s="92"/>
      <c r="S39" s="83" t="s">
        <v>132</v>
      </c>
      <c r="V39" s="9"/>
      <c r="W39" s="9"/>
      <c r="X39" s="83"/>
      <c r="Y39" s="83"/>
      <c r="Z39" s="92"/>
      <c r="AA39" s="83" t="s">
        <v>133</v>
      </c>
      <c r="AD39" s="83"/>
      <c r="AE39" s="83"/>
      <c r="AG39" s="9"/>
      <c r="AH39" s="9"/>
      <c r="AI39" s="93"/>
      <c r="AL39" s="83"/>
      <c r="AM39" s="85"/>
    </row>
    <row r="40" spans="1:39" s="70" customFormat="1" ht="20.100000000000001" customHeight="1" x14ac:dyDescent="0.25">
      <c r="A40" s="73"/>
      <c r="B40" s="81"/>
      <c r="C40" s="83"/>
      <c r="D40" s="88"/>
      <c r="E40" s="88"/>
      <c r="F40" s="88"/>
      <c r="G40" s="88"/>
      <c r="H40" s="88"/>
      <c r="I40" s="88"/>
      <c r="J40" s="81"/>
      <c r="K40" s="83"/>
      <c r="L40" s="83"/>
      <c r="M40" s="83"/>
      <c r="N40" s="83"/>
      <c r="O40" s="83"/>
      <c r="P40" s="83"/>
      <c r="Q40" s="9"/>
      <c r="R40" s="83"/>
      <c r="S40" s="83"/>
      <c r="V40" s="9"/>
      <c r="W40" s="9"/>
      <c r="X40" s="83"/>
      <c r="Y40" s="83"/>
      <c r="Z40" s="83"/>
      <c r="AA40" s="83"/>
      <c r="AD40" s="83"/>
      <c r="AE40" s="83"/>
      <c r="AG40" s="9"/>
      <c r="AH40" s="9"/>
      <c r="AI40" s="83"/>
      <c r="AL40" s="83"/>
      <c r="AM40" s="85"/>
    </row>
    <row r="41" spans="1:39" s="70" customFormat="1" ht="20.100000000000001" customHeight="1" x14ac:dyDescent="0.25">
      <c r="A41" s="73"/>
      <c r="B41" s="92"/>
      <c r="C41" s="83" t="s">
        <v>134</v>
      </c>
      <c r="D41" s="88"/>
      <c r="E41" s="88"/>
      <c r="F41" s="88"/>
      <c r="G41" s="88"/>
      <c r="H41" s="88"/>
      <c r="I41" s="88"/>
      <c r="J41" s="81"/>
      <c r="K41" s="92"/>
      <c r="L41" s="83" t="s">
        <v>135</v>
      </c>
      <c r="M41" s="83"/>
      <c r="N41" s="83"/>
      <c r="O41" s="83"/>
      <c r="P41" s="83"/>
      <c r="Q41" s="9"/>
      <c r="R41" s="92"/>
      <c r="S41" s="83" t="s">
        <v>136</v>
      </c>
      <c r="V41" s="9"/>
      <c r="W41" s="9"/>
      <c r="X41" s="83"/>
      <c r="Y41" s="83"/>
      <c r="Z41" s="92"/>
      <c r="AA41" s="83" t="s">
        <v>137</v>
      </c>
      <c r="AD41" s="83"/>
      <c r="AE41" s="83"/>
      <c r="AG41" s="9"/>
      <c r="AH41" s="9"/>
      <c r="AI41" s="83"/>
      <c r="AL41" s="83"/>
      <c r="AM41" s="85"/>
    </row>
    <row r="42" spans="1:39" s="70" customFormat="1" ht="20.100000000000001" customHeight="1" thickBot="1" x14ac:dyDescent="0.3">
      <c r="A42" s="77"/>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9"/>
    </row>
    <row r="43" spans="1:39" s="70" customFormat="1" ht="20.100000000000001" customHeight="1" x14ac:dyDescent="0.25">
      <c r="A43" s="300" t="s">
        <v>138</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2"/>
    </row>
    <row r="44" spans="1:39" s="70" customFormat="1" ht="20.100000000000001" customHeight="1" x14ac:dyDescent="0.25">
      <c r="A44" s="73"/>
      <c r="B44" s="31"/>
      <c r="C44" s="88"/>
      <c r="D44" s="88"/>
      <c r="E44" s="88"/>
      <c r="F44" s="88"/>
      <c r="G44" s="88"/>
      <c r="H44" s="88"/>
      <c r="I44" s="88"/>
      <c r="J44" s="89"/>
      <c r="K44" s="89"/>
      <c r="L44" s="89"/>
      <c r="M44" s="89"/>
      <c r="N44" s="89"/>
      <c r="O44" s="89"/>
      <c r="P44" s="89"/>
      <c r="Q44" s="89"/>
      <c r="R44" s="89"/>
      <c r="S44" s="89"/>
      <c r="T44" s="89"/>
      <c r="U44" s="89"/>
      <c r="V44" s="88"/>
      <c r="W44" s="88"/>
      <c r="X44" s="88"/>
      <c r="Y44" s="88"/>
      <c r="Z44" s="88"/>
      <c r="AA44" s="88"/>
      <c r="AB44" s="88"/>
      <c r="AC44" s="90"/>
      <c r="AD44" s="90"/>
      <c r="AE44" s="90"/>
      <c r="AF44" s="90"/>
      <c r="AG44" s="90"/>
      <c r="AH44" s="90"/>
      <c r="AI44" s="88"/>
      <c r="AJ44" s="88"/>
      <c r="AK44" s="88"/>
      <c r="AL44" s="88"/>
      <c r="AM44" s="91"/>
    </row>
    <row r="45" spans="1:39" s="70" customFormat="1" ht="20.100000000000001" customHeight="1" x14ac:dyDescent="0.25">
      <c r="A45" s="73"/>
      <c r="B45" s="92"/>
      <c r="C45" s="83" t="s">
        <v>139</v>
      </c>
      <c r="D45" s="88"/>
      <c r="E45" s="88"/>
      <c r="F45" s="88"/>
      <c r="G45" s="88"/>
      <c r="H45" s="88"/>
      <c r="I45" s="88"/>
      <c r="J45" s="81"/>
      <c r="K45" s="92"/>
      <c r="L45" s="83" t="s">
        <v>140</v>
      </c>
      <c r="M45" s="83"/>
      <c r="N45" s="83"/>
      <c r="O45" s="83"/>
      <c r="P45" s="83"/>
      <c r="Q45" s="9"/>
      <c r="R45" s="92"/>
      <c r="S45" s="83" t="s">
        <v>141</v>
      </c>
      <c r="V45" s="9"/>
      <c r="W45" s="9"/>
      <c r="X45" s="83"/>
      <c r="Y45" s="83"/>
      <c r="Z45" s="92"/>
      <c r="AA45" s="83" t="s">
        <v>142</v>
      </c>
      <c r="AD45" s="83"/>
      <c r="AE45" s="83"/>
      <c r="AG45" s="9"/>
      <c r="AH45" s="9"/>
      <c r="AI45" s="93"/>
      <c r="AL45" s="83"/>
      <c r="AM45" s="85"/>
    </row>
    <row r="46" spans="1:39" s="70" customFormat="1" ht="20.100000000000001" customHeight="1" x14ac:dyDescent="0.25">
      <c r="A46" s="73"/>
      <c r="B46" s="81"/>
      <c r="C46" s="83"/>
      <c r="D46" s="88"/>
      <c r="E46" s="88"/>
      <c r="F46" s="88"/>
      <c r="G46" s="88"/>
      <c r="H46" s="88"/>
      <c r="I46" s="88"/>
      <c r="J46" s="81"/>
      <c r="K46" s="83"/>
      <c r="L46" s="83"/>
      <c r="M46" s="83"/>
      <c r="N46" s="83"/>
      <c r="O46" s="83"/>
      <c r="P46" s="83"/>
      <c r="Q46" s="9"/>
      <c r="R46" s="83"/>
      <c r="S46" s="83"/>
      <c r="V46" s="9"/>
      <c r="W46" s="9"/>
      <c r="X46" s="83"/>
      <c r="Y46" s="83"/>
      <c r="Z46" s="83"/>
      <c r="AA46" s="83"/>
      <c r="AD46" s="83"/>
      <c r="AE46" s="83"/>
      <c r="AG46" s="9"/>
      <c r="AH46" s="9"/>
      <c r="AI46" s="83"/>
      <c r="AL46" s="83"/>
      <c r="AM46" s="85"/>
    </row>
    <row r="47" spans="1:39" s="70" customFormat="1" ht="20.100000000000001" customHeight="1" x14ac:dyDescent="0.25">
      <c r="A47" s="73"/>
      <c r="B47" s="92"/>
      <c r="C47" s="83" t="s">
        <v>143</v>
      </c>
      <c r="D47" s="88"/>
      <c r="E47" s="88"/>
      <c r="F47" s="88"/>
      <c r="G47" s="88"/>
      <c r="H47" s="88"/>
      <c r="I47" s="88"/>
      <c r="J47" s="81"/>
      <c r="K47" s="92"/>
      <c r="L47" s="83" t="s">
        <v>144</v>
      </c>
      <c r="M47" s="83"/>
      <c r="N47" s="83"/>
      <c r="O47" s="83"/>
      <c r="P47" s="83"/>
      <c r="Q47" s="9"/>
      <c r="R47" s="92"/>
      <c r="S47" s="83" t="s">
        <v>145</v>
      </c>
      <c r="V47" s="9"/>
      <c r="W47" s="9"/>
      <c r="X47" s="83"/>
      <c r="Y47" s="83"/>
      <c r="Z47" s="92"/>
      <c r="AA47" s="83" t="s">
        <v>146</v>
      </c>
      <c r="AD47" s="83"/>
      <c r="AE47" s="83"/>
      <c r="AG47" s="9"/>
      <c r="AH47" s="9"/>
      <c r="AI47" s="83"/>
      <c r="AL47" s="83"/>
      <c r="AM47" s="85"/>
    </row>
    <row r="48" spans="1:39" s="70" customFormat="1" ht="20.100000000000001" customHeight="1" thickBot="1" x14ac:dyDescent="0.3">
      <c r="A48" s="77"/>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9"/>
    </row>
    <row r="49" spans="1:39" s="70" customFormat="1" ht="20.100000000000001" customHeight="1" x14ac:dyDescent="0.25">
      <c r="A49" s="290" t="s">
        <v>147</v>
      </c>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2"/>
    </row>
    <row r="50" spans="1:39" s="70" customFormat="1" ht="20.100000000000001" customHeight="1" x14ac:dyDescent="0.25">
      <c r="A50" s="73"/>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75"/>
    </row>
    <row r="51" spans="1:39" s="70" customFormat="1" ht="20.100000000000001" customHeight="1" x14ac:dyDescent="0.25">
      <c r="A51" s="73"/>
      <c r="B51" s="295" t="s">
        <v>237</v>
      </c>
      <c r="C51" s="296"/>
      <c r="D51" s="296"/>
      <c r="E51" s="296"/>
      <c r="F51" s="296"/>
      <c r="G51" s="296"/>
      <c r="H51" s="296"/>
      <c r="I51" s="296"/>
      <c r="J51" s="296"/>
      <c r="K51" s="294"/>
      <c r="L51" s="294"/>
      <c r="M51" s="294"/>
      <c r="N51" s="294"/>
      <c r="O51" s="294"/>
      <c r="P51" s="9"/>
      <c r="Q51" s="295" t="s">
        <v>238</v>
      </c>
      <c r="R51" s="296"/>
      <c r="S51" s="296"/>
      <c r="T51" s="296"/>
      <c r="U51" s="296"/>
      <c r="V51" s="296"/>
      <c r="W51" s="296"/>
      <c r="X51" s="293"/>
      <c r="Y51" s="293"/>
      <c r="Z51" s="293"/>
      <c r="AA51" s="293"/>
      <c r="AB51" s="9"/>
      <c r="AC51" s="295" t="s">
        <v>5</v>
      </c>
      <c r="AD51" s="296"/>
      <c r="AE51" s="296"/>
      <c r="AF51" s="296"/>
      <c r="AG51" s="296"/>
      <c r="AH51" s="296"/>
      <c r="AI51" s="296"/>
      <c r="AJ51" s="293"/>
      <c r="AK51" s="293"/>
      <c r="AL51" s="293"/>
      <c r="AM51" s="75"/>
    </row>
    <row r="52" spans="1:39" s="70" customFormat="1" ht="20.100000000000001" customHeight="1" x14ac:dyDescent="0.25">
      <c r="A52" s="73"/>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75"/>
    </row>
    <row r="53" spans="1:39" s="70" customFormat="1" ht="20.100000000000001" customHeight="1" x14ac:dyDescent="0.25">
      <c r="A53" s="73"/>
      <c r="B53" s="293" t="s">
        <v>3</v>
      </c>
      <c r="C53" s="293"/>
      <c r="D53" s="293"/>
      <c r="E53" s="293"/>
      <c r="F53" s="293"/>
      <c r="G53" s="293"/>
      <c r="H53" s="293"/>
      <c r="I53" s="293"/>
      <c r="J53" s="293"/>
      <c r="K53" s="9"/>
      <c r="L53" s="76"/>
      <c r="M53" s="83" t="s">
        <v>148</v>
      </c>
      <c r="N53" s="9"/>
      <c r="O53" s="9"/>
      <c r="P53" s="9"/>
      <c r="Q53" s="76"/>
      <c r="R53" s="83" t="s">
        <v>149</v>
      </c>
      <c r="S53" s="9"/>
      <c r="T53" s="9"/>
      <c r="U53" s="9"/>
      <c r="V53" s="9"/>
      <c r="W53" s="76"/>
      <c r="X53" s="83" t="s">
        <v>150</v>
      </c>
      <c r="Y53" s="9"/>
      <c r="Z53" s="9"/>
      <c r="AA53" s="9"/>
      <c r="AB53" s="9"/>
      <c r="AE53" s="9"/>
      <c r="AF53" s="9"/>
      <c r="AG53" s="9"/>
      <c r="AH53" s="9"/>
      <c r="AI53" s="9"/>
      <c r="AJ53" s="9"/>
      <c r="AK53" s="9"/>
      <c r="AL53" s="9"/>
      <c r="AM53" s="75"/>
    </row>
    <row r="54" spans="1:39" s="70" customFormat="1" ht="20.100000000000001" customHeight="1" x14ac:dyDescent="0.25">
      <c r="A54" s="73"/>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75"/>
    </row>
    <row r="55" spans="1:39" s="70" customFormat="1" ht="20.100000000000001" customHeight="1" x14ac:dyDescent="0.25">
      <c r="A55" s="73"/>
      <c r="B55" s="293" t="s">
        <v>4</v>
      </c>
      <c r="C55" s="293"/>
      <c r="D55" s="293"/>
      <c r="E55" s="293"/>
      <c r="F55" s="293"/>
      <c r="G55" s="293"/>
      <c r="H55" s="293"/>
      <c r="I55" s="293"/>
      <c r="J55" s="293"/>
      <c r="K55" s="9"/>
      <c r="L55" s="76"/>
      <c r="M55" s="83" t="s">
        <v>67</v>
      </c>
      <c r="N55" s="9"/>
      <c r="O55" s="9"/>
      <c r="P55" s="9"/>
      <c r="Q55" s="76"/>
      <c r="R55" s="83" t="s">
        <v>151</v>
      </c>
      <c r="S55" s="9"/>
      <c r="T55" s="9"/>
      <c r="U55" s="9"/>
      <c r="V55" s="9"/>
      <c r="W55" s="9"/>
      <c r="X55" s="9"/>
      <c r="Y55" s="9"/>
      <c r="Z55" s="9"/>
      <c r="AA55" s="9"/>
      <c r="AB55" s="9"/>
      <c r="AC55" s="9"/>
      <c r="AD55" s="9"/>
      <c r="AE55" s="9"/>
      <c r="AF55" s="9"/>
      <c r="AG55" s="9"/>
      <c r="AH55" s="9"/>
      <c r="AI55" s="9"/>
      <c r="AJ55" s="9"/>
      <c r="AK55" s="9"/>
      <c r="AL55" s="9"/>
      <c r="AM55" s="75"/>
    </row>
    <row r="56" spans="1:39" s="70" customFormat="1" ht="20.100000000000001" customHeight="1" x14ac:dyDescent="0.25">
      <c r="A56" s="73"/>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75"/>
    </row>
    <row r="57" spans="1:39" s="70" customFormat="1" ht="20.100000000000001" customHeight="1" x14ac:dyDescent="0.25">
      <c r="A57" s="73"/>
      <c r="B57" s="293" t="s">
        <v>0</v>
      </c>
      <c r="C57" s="293"/>
      <c r="D57" s="293"/>
      <c r="E57" s="293"/>
      <c r="F57" s="293"/>
      <c r="G57" s="293"/>
      <c r="H57" s="293"/>
      <c r="I57" s="293"/>
      <c r="J57" s="293"/>
      <c r="K57" s="9"/>
      <c r="L57" s="76"/>
      <c r="M57" s="83" t="s">
        <v>152</v>
      </c>
      <c r="N57" s="9"/>
      <c r="O57" s="9"/>
      <c r="P57" s="9"/>
      <c r="Q57" s="76"/>
      <c r="R57" s="83" t="s">
        <v>239</v>
      </c>
      <c r="S57" s="9"/>
      <c r="T57" s="9"/>
      <c r="U57" s="9"/>
      <c r="V57" s="9"/>
      <c r="W57" s="76"/>
      <c r="X57" s="83" t="s">
        <v>240</v>
      </c>
      <c r="Y57" s="9"/>
      <c r="Z57" s="9"/>
      <c r="AA57" s="9"/>
      <c r="AB57" s="9"/>
      <c r="AC57" s="9"/>
      <c r="AD57" s="9"/>
      <c r="AE57" s="9"/>
      <c r="AF57" s="9"/>
      <c r="AG57" s="9"/>
      <c r="AH57" s="9"/>
      <c r="AI57" s="9"/>
      <c r="AJ57" s="9"/>
      <c r="AK57" s="9"/>
      <c r="AL57" s="9"/>
      <c r="AM57" s="75"/>
    </row>
    <row r="58" spans="1:39" s="70" customFormat="1" ht="20.100000000000001" customHeight="1" x14ac:dyDescent="0.25">
      <c r="A58" s="73"/>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75"/>
    </row>
    <row r="59" spans="1:39" s="70" customFormat="1" ht="20.100000000000001" customHeight="1" x14ac:dyDescent="0.25">
      <c r="A59" s="73"/>
      <c r="B59" s="293" t="s">
        <v>153</v>
      </c>
      <c r="C59" s="293"/>
      <c r="D59" s="293"/>
      <c r="E59" s="293"/>
      <c r="F59" s="293"/>
      <c r="G59" s="293"/>
      <c r="H59" s="293"/>
      <c r="I59" s="293"/>
      <c r="J59" s="293"/>
      <c r="K59" s="9"/>
      <c r="L59" s="76"/>
      <c r="M59" s="83" t="s">
        <v>154</v>
      </c>
      <c r="N59" s="9"/>
      <c r="O59" s="9"/>
      <c r="P59" s="9"/>
      <c r="Q59" s="76"/>
      <c r="R59" s="83" t="s">
        <v>155</v>
      </c>
      <c r="S59" s="9"/>
      <c r="T59" s="9"/>
      <c r="U59" s="9"/>
      <c r="V59" s="9"/>
      <c r="W59" s="76"/>
      <c r="X59" s="83" t="s">
        <v>156</v>
      </c>
      <c r="Y59" s="9"/>
      <c r="Z59" s="9"/>
      <c r="AA59" s="9"/>
      <c r="AB59" s="9"/>
      <c r="AC59" s="76"/>
      <c r="AD59" s="83" t="s">
        <v>157</v>
      </c>
      <c r="AE59" s="9"/>
      <c r="AF59" s="9"/>
      <c r="AG59" s="9"/>
      <c r="AH59" s="9"/>
      <c r="AI59" s="9"/>
      <c r="AJ59" s="9"/>
      <c r="AK59" s="9"/>
      <c r="AL59" s="9"/>
      <c r="AM59" s="75"/>
    </row>
    <row r="60" spans="1:39" s="70" customFormat="1" ht="20.100000000000001" customHeight="1" x14ac:dyDescent="0.25">
      <c r="A60" s="73"/>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75"/>
    </row>
    <row r="61" spans="1:39" s="70" customFormat="1" ht="20.100000000000001" customHeight="1" x14ac:dyDescent="0.25">
      <c r="A61" s="73"/>
      <c r="B61" s="293" t="s">
        <v>6</v>
      </c>
      <c r="C61" s="293"/>
      <c r="D61" s="293"/>
      <c r="E61" s="293"/>
      <c r="F61" s="293"/>
      <c r="G61" s="293"/>
      <c r="H61" s="293"/>
      <c r="I61" s="293"/>
      <c r="J61" s="293"/>
      <c r="K61" s="9"/>
      <c r="L61" s="76"/>
      <c r="M61" s="83" t="s">
        <v>158</v>
      </c>
      <c r="N61" s="9"/>
      <c r="O61" s="9"/>
      <c r="P61" s="9"/>
      <c r="Q61" s="76"/>
      <c r="R61" s="83" t="s">
        <v>159</v>
      </c>
      <c r="S61" s="9"/>
      <c r="T61" s="9"/>
      <c r="U61" s="9"/>
      <c r="V61" s="9"/>
      <c r="W61" s="9"/>
      <c r="X61" s="9"/>
      <c r="Y61" s="9"/>
      <c r="Z61" s="9"/>
      <c r="AA61" s="9"/>
      <c r="AB61" s="9"/>
      <c r="AC61" s="9"/>
      <c r="AD61" s="9"/>
      <c r="AE61" s="9"/>
      <c r="AF61" s="9"/>
      <c r="AG61" s="9"/>
      <c r="AH61" s="9"/>
      <c r="AI61" s="9"/>
      <c r="AJ61" s="9"/>
      <c r="AK61" s="9"/>
      <c r="AL61" s="9"/>
      <c r="AM61" s="75"/>
    </row>
    <row r="62" spans="1:39" s="70" customFormat="1" ht="20.100000000000001" customHeight="1" x14ac:dyDescent="0.25">
      <c r="A62" s="73"/>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75"/>
    </row>
    <row r="63" spans="1:39" s="70" customFormat="1" ht="20.100000000000001" customHeight="1" x14ac:dyDescent="0.25">
      <c r="A63" s="73"/>
      <c r="B63" s="293" t="s">
        <v>241</v>
      </c>
      <c r="C63" s="293"/>
      <c r="D63" s="293"/>
      <c r="E63" s="293"/>
      <c r="F63" s="293"/>
      <c r="G63" s="293"/>
      <c r="H63" s="293"/>
      <c r="I63" s="293"/>
      <c r="J63" s="293"/>
      <c r="K63" s="9"/>
      <c r="L63" s="76"/>
      <c r="M63" s="83" t="s">
        <v>160</v>
      </c>
      <c r="N63" s="9"/>
      <c r="O63" s="9"/>
      <c r="P63" s="9"/>
      <c r="Q63" s="76"/>
      <c r="R63" s="83" t="s">
        <v>161</v>
      </c>
      <c r="S63" s="9"/>
      <c r="T63" s="9"/>
      <c r="U63" s="9"/>
      <c r="V63" s="9"/>
      <c r="W63" s="76"/>
      <c r="X63" s="83" t="s">
        <v>162</v>
      </c>
      <c r="Y63" s="9"/>
      <c r="Z63" s="9"/>
      <c r="AA63" s="9"/>
      <c r="AB63" s="9"/>
      <c r="AD63" s="83"/>
      <c r="AE63" s="9"/>
      <c r="AF63" s="9"/>
      <c r="AG63" s="9"/>
      <c r="AH63" s="9"/>
      <c r="AI63" s="9"/>
      <c r="AJ63" s="9"/>
      <c r="AK63" s="9"/>
      <c r="AL63" s="9"/>
      <c r="AM63" s="75"/>
    </row>
    <row r="64" spans="1:39" s="70" customFormat="1" ht="20.100000000000001" customHeight="1" thickBot="1" x14ac:dyDescent="0.3">
      <c r="A64" s="77"/>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9"/>
    </row>
    <row r="65" spans="1:39" s="70" customFormat="1" ht="20.100000000000001" customHeight="1" x14ac:dyDescent="0.25">
      <c r="A65" s="290" t="s">
        <v>163</v>
      </c>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2"/>
    </row>
    <row r="66" spans="1:39" s="70" customFormat="1" ht="20.100000000000001" customHeight="1" x14ac:dyDescent="0.25">
      <c r="A66" s="7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75"/>
    </row>
    <row r="67" spans="1:39" s="70" customFormat="1" ht="20.100000000000001" customHeight="1" x14ac:dyDescent="0.25">
      <c r="A67" s="73"/>
      <c r="B67" s="293" t="s">
        <v>164</v>
      </c>
      <c r="C67" s="293"/>
      <c r="D67" s="293"/>
      <c r="E67" s="293"/>
      <c r="F67" s="293"/>
      <c r="G67" s="293"/>
      <c r="H67" s="293"/>
      <c r="I67" s="293"/>
      <c r="J67" s="293"/>
      <c r="K67" s="9"/>
      <c r="L67" s="76"/>
      <c r="M67" s="83" t="s">
        <v>165</v>
      </c>
      <c r="N67" s="9"/>
      <c r="O67" s="9"/>
      <c r="P67" s="9"/>
      <c r="Q67" s="76"/>
      <c r="R67" s="83" t="s">
        <v>166</v>
      </c>
      <c r="S67" s="9"/>
      <c r="T67" s="9"/>
      <c r="U67" s="9"/>
      <c r="V67" s="9"/>
      <c r="W67" s="76"/>
      <c r="X67" s="83" t="s">
        <v>67</v>
      </c>
      <c r="Y67" s="9"/>
      <c r="Z67" s="9"/>
      <c r="AA67" s="9"/>
      <c r="AB67" s="9"/>
      <c r="AC67" s="76"/>
      <c r="AD67" s="83" t="s">
        <v>167</v>
      </c>
      <c r="AE67" s="9"/>
      <c r="AF67" s="9"/>
      <c r="AG67" s="9"/>
      <c r="AH67" s="9"/>
      <c r="AI67" s="9"/>
      <c r="AJ67" s="9"/>
      <c r="AK67" s="9"/>
      <c r="AL67" s="9"/>
      <c r="AM67" s="75"/>
    </row>
    <row r="68" spans="1:39" s="70" customFormat="1" ht="20.100000000000001" customHeight="1" x14ac:dyDescent="0.25">
      <c r="A68" s="7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75"/>
    </row>
    <row r="69" spans="1:39" s="70" customFormat="1" ht="20.100000000000001" customHeight="1" x14ac:dyDescent="0.25">
      <c r="A69" s="73"/>
      <c r="B69" s="293" t="s">
        <v>8</v>
      </c>
      <c r="C69" s="293"/>
      <c r="D69" s="293"/>
      <c r="E69" s="293"/>
      <c r="F69" s="293"/>
      <c r="G69" s="293"/>
      <c r="H69" s="293"/>
      <c r="I69" s="293"/>
      <c r="J69" s="293"/>
      <c r="K69" s="9"/>
      <c r="L69" s="76"/>
      <c r="M69" s="83" t="s">
        <v>168</v>
      </c>
      <c r="N69" s="9"/>
      <c r="O69" s="9"/>
      <c r="P69" s="9"/>
      <c r="Q69" s="76"/>
      <c r="R69" s="83" t="s">
        <v>169</v>
      </c>
      <c r="S69" s="9"/>
      <c r="T69" s="9"/>
      <c r="U69" s="9"/>
      <c r="V69" s="9"/>
      <c r="W69" s="76"/>
      <c r="X69" s="83" t="s">
        <v>170</v>
      </c>
      <c r="Y69" s="9"/>
      <c r="Z69" s="9"/>
      <c r="AA69" s="9"/>
      <c r="AB69" s="9"/>
      <c r="AC69" s="76"/>
      <c r="AD69" s="83" t="s">
        <v>171</v>
      </c>
      <c r="AE69" s="9"/>
      <c r="AF69" s="9"/>
      <c r="AG69" s="9"/>
      <c r="AH69" s="9"/>
      <c r="AI69" s="9"/>
      <c r="AJ69" s="9"/>
      <c r="AK69" s="9"/>
      <c r="AL69" s="9"/>
      <c r="AM69" s="75"/>
    </row>
    <row r="70" spans="1:39" s="70" customFormat="1" ht="20.100000000000001" customHeight="1" x14ac:dyDescent="0.25">
      <c r="A70" s="73"/>
      <c r="B70" s="88"/>
      <c r="C70" s="88"/>
      <c r="D70" s="88"/>
      <c r="E70" s="88"/>
      <c r="F70" s="88"/>
      <c r="G70" s="88"/>
      <c r="H70" s="88"/>
      <c r="I70" s="88"/>
      <c r="J70" s="88"/>
      <c r="K70" s="9"/>
      <c r="M70" s="83"/>
      <c r="N70" s="9"/>
      <c r="O70" s="9"/>
      <c r="P70" s="9"/>
      <c r="R70" s="83"/>
      <c r="S70" s="9"/>
      <c r="T70" s="9"/>
      <c r="U70" s="9"/>
      <c r="V70" s="9"/>
      <c r="X70" s="83"/>
      <c r="Y70" s="9"/>
      <c r="Z70" s="9"/>
      <c r="AA70" s="9"/>
      <c r="AB70" s="9"/>
      <c r="AD70" s="83"/>
      <c r="AE70" s="9"/>
      <c r="AF70" s="9"/>
      <c r="AG70" s="9"/>
      <c r="AH70" s="9"/>
      <c r="AI70" s="9"/>
      <c r="AJ70" s="9"/>
      <c r="AK70" s="9"/>
      <c r="AL70" s="9"/>
      <c r="AM70" s="75"/>
    </row>
    <row r="71" spans="1:39" s="70" customFormat="1" ht="20.100000000000001" customHeight="1" x14ac:dyDescent="0.25">
      <c r="A71" s="73"/>
      <c r="B71" s="88"/>
      <c r="C71" s="88"/>
      <c r="D71" s="88"/>
      <c r="E71" s="88"/>
      <c r="F71" s="88"/>
      <c r="G71" s="88"/>
      <c r="H71" s="88"/>
      <c r="I71" s="88"/>
      <c r="J71" s="88"/>
      <c r="K71" s="9"/>
      <c r="L71" s="76"/>
      <c r="M71" s="83" t="s">
        <v>172</v>
      </c>
      <c r="N71" s="9"/>
      <c r="O71" s="9"/>
      <c r="P71" s="9"/>
      <c r="Q71" s="76"/>
      <c r="R71" s="83" t="s">
        <v>173</v>
      </c>
      <c r="S71" s="9"/>
      <c r="T71" s="9"/>
      <c r="U71" s="9"/>
      <c r="V71" s="9"/>
      <c r="W71" s="76"/>
      <c r="X71" s="83" t="s">
        <v>174</v>
      </c>
      <c r="Y71" s="9"/>
      <c r="Z71" s="9"/>
      <c r="AA71" s="9"/>
      <c r="AB71" s="9"/>
      <c r="AD71" s="83"/>
      <c r="AE71" s="9"/>
      <c r="AF71" s="9"/>
      <c r="AG71" s="9"/>
      <c r="AH71" s="9"/>
      <c r="AI71" s="9"/>
      <c r="AJ71" s="9"/>
      <c r="AK71" s="9"/>
      <c r="AL71" s="9"/>
      <c r="AM71" s="75"/>
    </row>
    <row r="72" spans="1:39" s="70" customFormat="1" ht="20.100000000000001" customHeight="1" thickBot="1" x14ac:dyDescent="0.3">
      <c r="A72" s="77"/>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9"/>
    </row>
    <row r="73" spans="1:39" s="70" customFormat="1" ht="20.100000000000001" customHeight="1" x14ac:dyDescent="0.25">
      <c r="A73" s="290" t="s">
        <v>175</v>
      </c>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2"/>
    </row>
    <row r="74" spans="1:39" s="70" customFormat="1" ht="20.100000000000001" customHeight="1" x14ac:dyDescent="0.25">
      <c r="A74" s="7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75"/>
    </row>
    <row r="75" spans="1:39" s="70" customFormat="1" ht="20.100000000000001" customHeight="1" x14ac:dyDescent="0.25">
      <c r="A75" s="73"/>
      <c r="B75" s="293" t="s">
        <v>176</v>
      </c>
      <c r="C75" s="293"/>
      <c r="D75" s="293"/>
      <c r="E75" s="293"/>
      <c r="F75" s="293"/>
      <c r="G75" s="293"/>
      <c r="H75" s="293"/>
      <c r="I75" s="293"/>
      <c r="J75" s="293"/>
      <c r="K75" s="9"/>
      <c r="L75" s="76"/>
      <c r="M75" s="83" t="s">
        <v>177</v>
      </c>
      <c r="N75" s="9"/>
      <c r="O75" s="9"/>
      <c r="P75" s="9"/>
      <c r="Q75" s="9"/>
      <c r="R75" s="76"/>
      <c r="S75" s="83" t="s">
        <v>178</v>
      </c>
      <c r="T75" s="9"/>
      <c r="U75" s="9"/>
      <c r="V75" s="9"/>
      <c r="W75" s="9"/>
      <c r="X75" s="9"/>
      <c r="Y75" s="76"/>
      <c r="Z75" s="83" t="s">
        <v>179</v>
      </c>
      <c r="AA75" s="9"/>
      <c r="AB75" s="9"/>
      <c r="AC75" s="9"/>
      <c r="AD75" s="9"/>
      <c r="AF75" s="9"/>
      <c r="AG75" s="9"/>
      <c r="AH75" s="9"/>
      <c r="AI75" s="9"/>
      <c r="AJ75" s="9"/>
      <c r="AK75" s="9"/>
      <c r="AL75" s="9"/>
      <c r="AM75" s="75"/>
    </row>
    <row r="76" spans="1:39" s="70" customFormat="1" ht="20.100000000000001" customHeight="1" x14ac:dyDescent="0.25">
      <c r="A76" s="7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75"/>
    </row>
    <row r="77" spans="1:39" s="70" customFormat="1" ht="20.100000000000001" customHeight="1" x14ac:dyDescent="0.25">
      <c r="A77" s="73"/>
      <c r="B77" s="293" t="s">
        <v>180</v>
      </c>
      <c r="C77" s="293"/>
      <c r="D77" s="293"/>
      <c r="E77" s="293"/>
      <c r="F77" s="293"/>
      <c r="G77" s="293"/>
      <c r="H77" s="293"/>
      <c r="I77" s="293"/>
      <c r="J77" s="293"/>
      <c r="K77" s="9"/>
      <c r="L77" s="76"/>
      <c r="M77" s="83" t="s">
        <v>177</v>
      </c>
      <c r="N77" s="9"/>
      <c r="O77" s="9"/>
      <c r="P77" s="9"/>
      <c r="Q77" s="9"/>
      <c r="R77" s="76"/>
      <c r="S77" s="83" t="s">
        <v>135</v>
      </c>
      <c r="T77" s="9"/>
      <c r="U77" s="9"/>
      <c r="V77" s="9"/>
      <c r="W77" s="9"/>
      <c r="X77" s="9"/>
      <c r="Y77" s="76"/>
      <c r="Z77" s="83" t="s">
        <v>181</v>
      </c>
      <c r="AA77" s="9"/>
      <c r="AC77" s="83"/>
      <c r="AD77" s="9"/>
      <c r="AE77" s="9"/>
      <c r="AF77" s="9"/>
      <c r="AG77" s="9"/>
      <c r="AH77" s="9"/>
      <c r="AI77" s="9"/>
      <c r="AJ77" s="9"/>
      <c r="AK77" s="9"/>
      <c r="AL77" s="9"/>
      <c r="AM77" s="75"/>
    </row>
    <row r="78" spans="1:39" s="70" customFormat="1" ht="20.100000000000001" customHeight="1" thickBot="1" x14ac:dyDescent="0.3">
      <c r="A78" s="94"/>
      <c r="B78" s="95"/>
      <c r="C78" s="95"/>
      <c r="D78" s="95"/>
      <c r="E78" s="95"/>
      <c r="F78" s="95"/>
      <c r="G78" s="95"/>
      <c r="H78" s="95"/>
      <c r="I78" s="95"/>
      <c r="J78" s="72"/>
      <c r="K78" s="86"/>
      <c r="L78" s="87"/>
      <c r="M78" s="72"/>
      <c r="N78" s="72"/>
      <c r="O78" s="72"/>
      <c r="P78" s="86"/>
      <c r="Q78" s="87"/>
      <c r="R78" s="72"/>
      <c r="S78" s="72"/>
      <c r="T78" s="72"/>
      <c r="U78" s="72"/>
      <c r="V78" s="86"/>
      <c r="W78" s="87"/>
      <c r="X78" s="72"/>
      <c r="Y78" s="72"/>
      <c r="Z78" s="72"/>
      <c r="AA78" s="72"/>
      <c r="AB78" s="86"/>
      <c r="AC78" s="87"/>
      <c r="AD78" s="72"/>
      <c r="AE78" s="72"/>
      <c r="AF78" s="72"/>
      <c r="AG78" s="72"/>
      <c r="AH78" s="72"/>
      <c r="AI78" s="72"/>
      <c r="AJ78" s="72"/>
      <c r="AK78" s="72"/>
      <c r="AL78" s="72"/>
      <c r="AM78" s="79"/>
    </row>
    <row r="79" spans="1:39" s="70" customFormat="1" ht="20.100000000000001" customHeight="1" x14ac:dyDescent="0.25">
      <c r="A79" s="290" t="s">
        <v>182</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2"/>
    </row>
    <row r="80" spans="1:39" s="70" customFormat="1" ht="20.100000000000001" customHeight="1" x14ac:dyDescent="0.25">
      <c r="A80" s="7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75"/>
    </row>
    <row r="81" spans="1:39" s="70" customFormat="1" ht="20.100000000000001" customHeight="1" x14ac:dyDescent="0.25">
      <c r="A81" s="73"/>
      <c r="B81" s="88"/>
      <c r="C81" s="92"/>
      <c r="D81" s="83" t="s">
        <v>183</v>
      </c>
      <c r="E81" s="88"/>
      <c r="F81" s="88"/>
      <c r="G81" s="88"/>
      <c r="H81" s="88"/>
      <c r="I81" s="92"/>
      <c r="J81" s="83" t="s">
        <v>184</v>
      </c>
      <c r="K81" s="9"/>
      <c r="M81" s="83"/>
      <c r="N81" s="9"/>
      <c r="O81" s="92"/>
      <c r="P81" s="83" t="s">
        <v>185</v>
      </c>
      <c r="Q81" s="9"/>
      <c r="S81" s="83"/>
      <c r="T81" s="9"/>
      <c r="U81" s="9"/>
      <c r="V81" s="9"/>
      <c r="X81" s="92"/>
      <c r="Y81" s="83" t="s">
        <v>186</v>
      </c>
      <c r="Z81" s="9"/>
      <c r="AA81" s="9"/>
      <c r="AB81" s="9"/>
      <c r="AD81" s="92"/>
      <c r="AE81" s="83" t="s">
        <v>187</v>
      </c>
      <c r="AF81" s="9"/>
      <c r="AG81" s="9"/>
      <c r="AH81" s="9"/>
      <c r="AI81" s="9"/>
      <c r="AJ81" s="9"/>
      <c r="AK81" s="9"/>
      <c r="AL81" s="9"/>
      <c r="AM81" s="75"/>
    </row>
    <row r="82" spans="1:39" s="70" customFormat="1" ht="20.100000000000001" customHeight="1" x14ac:dyDescent="0.25">
      <c r="A82" s="7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75"/>
    </row>
    <row r="83" spans="1:39" s="70" customFormat="1" ht="20.100000000000001" customHeight="1" x14ac:dyDescent="0.25">
      <c r="A83" s="73"/>
      <c r="B83" s="88"/>
      <c r="C83" s="92"/>
      <c r="D83" s="83" t="s">
        <v>188</v>
      </c>
      <c r="E83" s="88"/>
      <c r="F83" s="88"/>
      <c r="G83" s="88"/>
      <c r="H83" s="88"/>
      <c r="I83" s="88"/>
      <c r="J83" s="88"/>
      <c r="K83" s="9"/>
      <c r="L83" s="92"/>
      <c r="M83" s="83" t="s">
        <v>189</v>
      </c>
      <c r="N83" s="9"/>
      <c r="O83" s="9"/>
      <c r="P83" s="9"/>
      <c r="Q83" s="9"/>
      <c r="S83" s="83"/>
      <c r="T83" s="9"/>
      <c r="U83" s="9"/>
      <c r="V83" s="9"/>
      <c r="W83" s="9"/>
      <c r="X83" s="9"/>
      <c r="Z83" s="83"/>
      <c r="AA83" s="9"/>
      <c r="AC83" s="83"/>
      <c r="AD83" s="9"/>
      <c r="AE83" s="9"/>
      <c r="AF83" s="9"/>
      <c r="AG83" s="9"/>
      <c r="AH83" s="9"/>
      <c r="AI83" s="9"/>
      <c r="AJ83" s="9"/>
      <c r="AK83" s="9"/>
      <c r="AL83" s="9"/>
      <c r="AM83" s="75"/>
    </row>
    <row r="84" spans="1:39" s="70" customFormat="1" ht="20.100000000000001" customHeight="1" thickBot="1" x14ac:dyDescent="0.3">
      <c r="A84" s="94"/>
      <c r="B84" s="95"/>
      <c r="C84" s="95"/>
      <c r="D84" s="95"/>
      <c r="E84" s="95"/>
      <c r="F84" s="95"/>
      <c r="G84" s="95"/>
      <c r="H84" s="95"/>
      <c r="I84" s="95"/>
      <c r="J84" s="72"/>
      <c r="K84" s="86"/>
      <c r="L84" s="87"/>
      <c r="M84" s="72"/>
      <c r="N84" s="72"/>
      <c r="O84" s="72"/>
      <c r="P84" s="86"/>
      <c r="Q84" s="87"/>
      <c r="R84" s="72"/>
      <c r="S84" s="72"/>
      <c r="T84" s="72"/>
      <c r="U84" s="72"/>
      <c r="V84" s="86"/>
      <c r="W84" s="87"/>
      <c r="X84" s="72"/>
      <c r="Y84" s="72"/>
      <c r="Z84" s="72"/>
      <c r="AA84" s="72"/>
      <c r="AB84" s="86"/>
      <c r="AC84" s="87"/>
      <c r="AD84" s="72"/>
      <c r="AE84" s="72"/>
      <c r="AF84" s="72"/>
      <c r="AG84" s="72"/>
      <c r="AH84" s="72"/>
      <c r="AI84" s="72"/>
      <c r="AJ84" s="72"/>
      <c r="AK84" s="72"/>
      <c r="AL84" s="72"/>
      <c r="AM84" s="79"/>
    </row>
    <row r="85" spans="1:39" s="70" customFormat="1" ht="20.100000000000001" customHeight="1" x14ac:dyDescent="0.25">
      <c r="A85" s="290" t="s">
        <v>228</v>
      </c>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2"/>
    </row>
    <row r="86" spans="1:39" s="70" customFormat="1" ht="20.100000000000001" customHeight="1" x14ac:dyDescent="0.25">
      <c r="A86" s="7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75"/>
    </row>
    <row r="87" spans="1:39" s="70" customFormat="1" ht="20.100000000000001" customHeight="1" x14ac:dyDescent="0.25">
      <c r="A87" s="73"/>
      <c r="B87" s="293" t="s">
        <v>190</v>
      </c>
      <c r="C87" s="293"/>
      <c r="D87" s="293"/>
      <c r="E87" s="293"/>
      <c r="F87" s="293"/>
      <c r="G87" s="293"/>
      <c r="H87" s="293"/>
      <c r="I87" s="293"/>
      <c r="J87" s="293"/>
      <c r="K87" s="293"/>
      <c r="L87" s="293"/>
      <c r="M87" s="293"/>
      <c r="N87" s="293"/>
      <c r="O87" s="293"/>
      <c r="P87" s="293"/>
      <c r="Q87" s="88"/>
      <c r="R87" s="88"/>
      <c r="S87" s="88"/>
      <c r="T87" s="293" t="s">
        <v>191</v>
      </c>
      <c r="U87" s="293"/>
      <c r="V87" s="293"/>
      <c r="W87" s="293"/>
      <c r="X87" s="293"/>
      <c r="Y87" s="293"/>
      <c r="Z87" s="293"/>
      <c r="AA87" s="293"/>
      <c r="AB87" s="293"/>
      <c r="AC87" s="293"/>
      <c r="AD87" s="293"/>
      <c r="AE87" s="293"/>
      <c r="AF87" s="293"/>
      <c r="AG87" s="293"/>
      <c r="AH87" s="293"/>
      <c r="AI87" s="88"/>
      <c r="AJ87" s="88"/>
      <c r="AK87" s="88"/>
      <c r="AL87" s="88"/>
      <c r="AM87" s="75"/>
    </row>
    <row r="88" spans="1:39" s="70" customFormat="1" ht="20.100000000000001" customHeight="1" x14ac:dyDescent="0.25">
      <c r="A88" s="7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75"/>
    </row>
    <row r="89" spans="1:39" s="70" customFormat="1" ht="20.100000000000001" customHeight="1" x14ac:dyDescent="0.25">
      <c r="A89" s="73"/>
      <c r="B89" s="293" t="s">
        <v>192</v>
      </c>
      <c r="C89" s="293"/>
      <c r="D89" s="293"/>
      <c r="E89" s="293"/>
      <c r="F89" s="293"/>
      <c r="G89" s="293"/>
      <c r="H89" s="293"/>
      <c r="I89" s="293"/>
      <c r="J89" s="293"/>
      <c r="K89" s="9"/>
      <c r="L89" s="294"/>
      <c r="M89" s="294"/>
      <c r="N89" s="294"/>
      <c r="O89" s="294"/>
      <c r="P89" s="294"/>
      <c r="R89" s="83"/>
      <c r="S89" s="9"/>
      <c r="T89" s="293" t="s">
        <v>192</v>
      </c>
      <c r="U89" s="293"/>
      <c r="V89" s="293"/>
      <c r="W89" s="293"/>
      <c r="X89" s="293"/>
      <c r="Y89" s="293"/>
      <c r="Z89" s="293"/>
      <c r="AA89" s="293"/>
      <c r="AB89" s="293"/>
      <c r="AC89" s="9"/>
      <c r="AD89" s="294"/>
      <c r="AE89" s="294"/>
      <c r="AF89" s="294"/>
      <c r="AG89" s="294"/>
      <c r="AH89" s="294"/>
      <c r="AI89" s="9"/>
      <c r="AJ89" s="9"/>
      <c r="AK89" s="9"/>
      <c r="AL89" s="9"/>
      <c r="AM89" s="75"/>
    </row>
    <row r="90" spans="1:39" s="70" customFormat="1" ht="20.100000000000001" customHeight="1" x14ac:dyDescent="0.25">
      <c r="A90" s="7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75"/>
    </row>
    <row r="91" spans="1:39" s="70" customFormat="1" ht="20.100000000000001" customHeight="1" x14ac:dyDescent="0.25">
      <c r="A91" s="73"/>
      <c r="B91" s="293" t="s">
        <v>193</v>
      </c>
      <c r="C91" s="293"/>
      <c r="D91" s="293"/>
      <c r="E91" s="293"/>
      <c r="F91" s="293"/>
      <c r="G91" s="293"/>
      <c r="H91" s="293"/>
      <c r="I91" s="293"/>
      <c r="J91" s="293"/>
      <c r="K91" s="9"/>
      <c r="L91" s="294"/>
      <c r="M91" s="294"/>
      <c r="N91" s="294"/>
      <c r="O91" s="294"/>
      <c r="P91" s="294"/>
      <c r="R91" s="83"/>
      <c r="S91" s="9"/>
      <c r="T91" s="293" t="s">
        <v>229</v>
      </c>
      <c r="U91" s="293"/>
      <c r="V91" s="293"/>
      <c r="W91" s="293"/>
      <c r="X91" s="293"/>
      <c r="Y91" s="293"/>
      <c r="Z91" s="293"/>
      <c r="AA91" s="293"/>
      <c r="AB91" s="293"/>
      <c r="AC91" s="88"/>
      <c r="AD91" s="293"/>
      <c r="AE91" s="293"/>
      <c r="AF91" s="293"/>
      <c r="AG91" s="293"/>
      <c r="AH91" s="293"/>
      <c r="AI91" s="9"/>
      <c r="AJ91" s="9"/>
      <c r="AK91" s="9"/>
      <c r="AL91" s="9"/>
      <c r="AM91" s="75"/>
    </row>
    <row r="92" spans="1:39" s="70" customFormat="1" ht="20.100000000000001" customHeight="1" x14ac:dyDescent="0.25">
      <c r="A92" s="73"/>
      <c r="B92" s="9"/>
      <c r="C92" s="9"/>
      <c r="D92" s="9"/>
      <c r="E92" s="9"/>
      <c r="F92" s="9"/>
      <c r="G92" s="9"/>
      <c r="H92" s="9"/>
      <c r="I92" s="9"/>
      <c r="J92" s="9"/>
      <c r="K92" s="9"/>
      <c r="L92" s="9"/>
      <c r="M92" s="9"/>
      <c r="N92" s="9"/>
      <c r="O92" s="9"/>
      <c r="P92" s="9"/>
      <c r="Q92" s="9"/>
      <c r="R92" s="9"/>
      <c r="S92" s="9"/>
      <c r="T92" s="293"/>
      <c r="U92" s="293"/>
      <c r="V92" s="293"/>
      <c r="W92" s="293"/>
      <c r="X92" s="293"/>
      <c r="Y92" s="293"/>
      <c r="Z92" s="293"/>
      <c r="AA92" s="293"/>
      <c r="AB92" s="293"/>
      <c r="AC92" s="9"/>
      <c r="AD92" s="293"/>
      <c r="AE92" s="293"/>
      <c r="AF92" s="293"/>
      <c r="AG92" s="293"/>
      <c r="AH92" s="293"/>
      <c r="AI92" s="9"/>
      <c r="AJ92" s="9"/>
      <c r="AK92" s="9"/>
      <c r="AL92" s="9"/>
      <c r="AM92" s="75"/>
    </row>
    <row r="93" spans="1:39" s="70" customFormat="1" ht="20.100000000000001" customHeight="1" x14ac:dyDescent="0.25">
      <c r="A93" s="73"/>
      <c r="B93" s="293" t="s">
        <v>194</v>
      </c>
      <c r="C93" s="293"/>
      <c r="D93" s="293"/>
      <c r="E93" s="293"/>
      <c r="F93" s="293"/>
      <c r="G93" s="293"/>
      <c r="H93" s="293"/>
      <c r="I93" s="293"/>
      <c r="J93" s="293"/>
      <c r="K93" s="9"/>
      <c r="L93" s="294"/>
      <c r="M93" s="294"/>
      <c r="N93" s="294"/>
      <c r="O93" s="294"/>
      <c r="P93" s="294"/>
      <c r="R93" s="83"/>
      <c r="S93" s="9"/>
      <c r="T93" s="293"/>
      <c r="U93" s="293"/>
      <c r="V93" s="293"/>
      <c r="W93" s="293"/>
      <c r="X93" s="293"/>
      <c r="Y93" s="293"/>
      <c r="Z93" s="293"/>
      <c r="AA93" s="293"/>
      <c r="AB93" s="293"/>
      <c r="AC93" s="9"/>
      <c r="AD93" s="293"/>
      <c r="AE93" s="293"/>
      <c r="AF93" s="293"/>
      <c r="AG93" s="293"/>
      <c r="AH93" s="293"/>
      <c r="AI93" s="9"/>
      <c r="AJ93" s="9"/>
      <c r="AK93" s="9"/>
      <c r="AL93" s="9"/>
      <c r="AM93" s="75"/>
    </row>
    <row r="94" spans="1:39" s="70" customFormat="1" ht="20.100000000000001" customHeight="1" thickBot="1" x14ac:dyDescent="0.3">
      <c r="A94" s="77"/>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9"/>
    </row>
    <row r="95" spans="1:39" s="70" customFormat="1" ht="20.100000000000001" customHeight="1" x14ac:dyDescent="0.25">
      <c r="A95" s="290" t="s">
        <v>197</v>
      </c>
      <c r="B95" s="291"/>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2"/>
    </row>
    <row r="96" spans="1:39" s="70" customFormat="1" ht="20.100000000000001" customHeight="1" x14ac:dyDescent="0.25">
      <c r="A96" s="7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75"/>
    </row>
    <row r="97" spans="1:39" s="70" customFormat="1" ht="20.100000000000001" customHeight="1" x14ac:dyDescent="0.25">
      <c r="A97" s="73"/>
      <c r="B97" s="293" t="s">
        <v>198</v>
      </c>
      <c r="C97" s="293"/>
      <c r="D97" s="293"/>
      <c r="E97" s="293"/>
      <c r="F97" s="293"/>
      <c r="G97" s="293"/>
      <c r="H97" s="293"/>
      <c r="I97" s="293"/>
      <c r="J97" s="293"/>
      <c r="K97" s="9"/>
      <c r="L97" s="76"/>
      <c r="M97" s="83" t="s">
        <v>68</v>
      </c>
      <c r="Q97" s="76"/>
      <c r="R97" s="83" t="s">
        <v>7</v>
      </c>
      <c r="T97" s="29"/>
      <c r="U97" s="29"/>
      <c r="V97" s="29"/>
      <c r="W97" s="76"/>
      <c r="X97" s="9" t="s">
        <v>195</v>
      </c>
      <c r="Y97" s="29"/>
      <c r="Z97" s="29"/>
      <c r="AA97" s="29"/>
      <c r="AB97" s="9"/>
      <c r="AC97" s="76"/>
      <c r="AD97" s="9" t="s">
        <v>199</v>
      </c>
      <c r="AE97" s="9"/>
      <c r="AF97" s="9"/>
      <c r="AG97" s="9"/>
      <c r="AH97" s="9"/>
      <c r="AI97" s="9"/>
      <c r="AJ97" s="9"/>
      <c r="AK97" s="9"/>
      <c r="AL97" s="9"/>
      <c r="AM97" s="75"/>
    </row>
    <row r="98" spans="1:39" s="70" customFormat="1" ht="20.100000000000001" customHeight="1" x14ac:dyDescent="0.25">
      <c r="A98" s="7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75"/>
    </row>
    <row r="99" spans="1:39" s="70" customFormat="1" ht="20.100000000000001" customHeight="1" x14ac:dyDescent="0.25">
      <c r="A99" s="73"/>
      <c r="B99" s="293" t="s">
        <v>200</v>
      </c>
      <c r="C99" s="293"/>
      <c r="D99" s="293"/>
      <c r="E99" s="293"/>
      <c r="F99" s="293"/>
      <c r="G99" s="293"/>
      <c r="H99" s="293"/>
      <c r="I99" s="293"/>
      <c r="J99" s="293"/>
      <c r="K99" s="9"/>
      <c r="P99" s="9"/>
      <c r="R99" s="83"/>
      <c r="S99" s="9"/>
      <c r="T99" s="9"/>
      <c r="U99" s="9"/>
      <c r="V99" s="9"/>
      <c r="X99" s="83"/>
      <c r="Y99" s="9"/>
      <c r="Z99" s="9"/>
      <c r="AA99" s="9"/>
      <c r="AB99" s="9"/>
      <c r="AC99" s="9"/>
      <c r="AE99" s="9"/>
      <c r="AF99" s="9"/>
      <c r="AG99" s="9"/>
      <c r="AH99" s="9"/>
      <c r="AI99" s="9"/>
      <c r="AJ99" s="9"/>
      <c r="AK99" s="9"/>
      <c r="AL99" s="9"/>
      <c r="AM99" s="75"/>
    </row>
    <row r="100" spans="1:39" s="70" customFormat="1" ht="20.100000000000001" customHeight="1" x14ac:dyDescent="0.25">
      <c r="A100" s="73"/>
      <c r="B100" s="293"/>
      <c r="C100" s="293"/>
      <c r="D100" s="293"/>
      <c r="E100" s="293"/>
      <c r="F100" s="293"/>
      <c r="G100" s="293"/>
      <c r="H100" s="293"/>
      <c r="I100" s="293"/>
      <c r="J100" s="293"/>
      <c r="K100" s="9"/>
      <c r="L100" s="76"/>
      <c r="M100" s="83" t="s">
        <v>9</v>
      </c>
      <c r="Q100" s="76"/>
      <c r="R100" s="83" t="s">
        <v>201</v>
      </c>
      <c r="T100" s="29"/>
      <c r="U100" s="29"/>
      <c r="V100" s="29"/>
      <c r="W100" s="76"/>
      <c r="X100" s="83" t="s">
        <v>11</v>
      </c>
      <c r="Y100" s="29"/>
      <c r="Z100" s="29"/>
      <c r="AA100" s="29"/>
      <c r="AB100" s="9"/>
      <c r="AC100" s="76"/>
      <c r="AD100" s="70" t="s">
        <v>196</v>
      </c>
      <c r="AE100" s="9"/>
      <c r="AF100" s="9"/>
      <c r="AG100" s="9"/>
      <c r="AH100" s="9"/>
      <c r="AI100" s="9"/>
      <c r="AJ100" s="9"/>
      <c r="AK100" s="9"/>
      <c r="AL100" s="9"/>
      <c r="AM100" s="75"/>
    </row>
    <row r="101" spans="1:39" s="70" customFormat="1" ht="20.100000000000001" customHeight="1" x14ac:dyDescent="0.25">
      <c r="A101" s="73"/>
      <c r="B101" s="293"/>
      <c r="C101" s="293"/>
      <c r="D101" s="293"/>
      <c r="E101" s="293"/>
      <c r="F101" s="293"/>
      <c r="G101" s="293"/>
      <c r="H101" s="293"/>
      <c r="I101" s="293"/>
      <c r="J101" s="293"/>
      <c r="K101" s="9"/>
      <c r="P101" s="9"/>
      <c r="R101" s="83"/>
      <c r="S101" s="9"/>
      <c r="T101" s="9"/>
      <c r="U101" s="9"/>
      <c r="V101" s="9"/>
      <c r="X101" s="83"/>
      <c r="Y101" s="9"/>
      <c r="Z101" s="9"/>
      <c r="AA101" s="9"/>
      <c r="AB101" s="9"/>
      <c r="AC101" s="9"/>
      <c r="AE101" s="9"/>
      <c r="AF101" s="9"/>
      <c r="AG101" s="9"/>
      <c r="AH101" s="9"/>
      <c r="AI101" s="9"/>
      <c r="AJ101" s="9"/>
      <c r="AK101" s="9"/>
      <c r="AL101" s="9"/>
      <c r="AM101" s="75"/>
    </row>
    <row r="102" spans="1:39" s="70" customFormat="1" ht="20.100000000000001" customHeight="1" x14ac:dyDescent="0.25">
      <c r="A102" s="73"/>
      <c r="B102" s="293"/>
      <c r="C102" s="293"/>
      <c r="D102" s="293"/>
      <c r="E102" s="293"/>
      <c r="F102" s="293"/>
      <c r="G102" s="293"/>
      <c r="H102" s="293"/>
      <c r="I102" s="293"/>
      <c r="J102" s="293"/>
      <c r="K102" s="9"/>
      <c r="L102" s="76"/>
      <c r="M102" s="83" t="s">
        <v>12</v>
      </c>
      <c r="Q102" s="76"/>
      <c r="R102" s="83" t="s">
        <v>10</v>
      </c>
      <c r="T102" s="29"/>
      <c r="U102" s="29"/>
      <c r="V102" s="29"/>
      <c r="W102" s="76"/>
      <c r="X102" s="83" t="s">
        <v>13</v>
      </c>
      <c r="Y102" s="29"/>
      <c r="Z102" s="29"/>
      <c r="AA102" s="29"/>
      <c r="AB102" s="9"/>
      <c r="AC102" s="76"/>
      <c r="AD102" s="70" t="s">
        <v>202</v>
      </c>
      <c r="AE102" s="9"/>
      <c r="AF102" s="9"/>
      <c r="AG102" s="9"/>
      <c r="AH102" s="9"/>
      <c r="AI102" s="9"/>
      <c r="AJ102" s="9"/>
      <c r="AK102" s="9"/>
      <c r="AL102" s="9"/>
      <c r="AM102" s="75"/>
    </row>
    <row r="103" spans="1:39" s="70" customFormat="1" ht="20.100000000000001" customHeight="1" x14ac:dyDescent="0.25">
      <c r="A103" s="73"/>
      <c r="B103" s="293"/>
      <c r="C103" s="293"/>
      <c r="D103" s="293"/>
      <c r="E103" s="293"/>
      <c r="F103" s="293"/>
      <c r="G103" s="293"/>
      <c r="H103" s="293"/>
      <c r="I103" s="293"/>
      <c r="J103" s="293"/>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75"/>
    </row>
    <row r="104" spans="1:39" s="70" customFormat="1" ht="20.100000000000001" customHeight="1" x14ac:dyDescent="0.25">
      <c r="A104" s="73"/>
      <c r="B104" s="293"/>
      <c r="C104" s="293"/>
      <c r="D104" s="293"/>
      <c r="E104" s="293"/>
      <c r="F104" s="293"/>
      <c r="G104" s="293"/>
      <c r="H104" s="293"/>
      <c r="I104" s="293"/>
      <c r="J104" s="293"/>
      <c r="K104" s="9"/>
      <c r="L104" s="76"/>
      <c r="M104" s="83" t="s">
        <v>203</v>
      </c>
      <c r="R104" s="83"/>
      <c r="T104" s="29"/>
      <c r="U104" s="29"/>
      <c r="V104" s="29"/>
      <c r="W104" s="76"/>
      <c r="X104" s="83" t="s">
        <v>204</v>
      </c>
      <c r="Y104" s="29"/>
      <c r="Z104" s="29"/>
      <c r="AA104" s="29"/>
      <c r="AB104" s="9"/>
      <c r="AC104" s="76"/>
      <c r="AD104" s="83" t="s">
        <v>205</v>
      </c>
      <c r="AE104" s="9"/>
      <c r="AF104" s="9"/>
      <c r="AG104" s="9"/>
      <c r="AH104" s="9"/>
      <c r="AI104" s="9"/>
      <c r="AJ104" s="9"/>
      <c r="AK104" s="9"/>
      <c r="AL104" s="9"/>
      <c r="AM104" s="75"/>
    </row>
    <row r="105" spans="1:39" s="70" customFormat="1" ht="20.100000000000001" customHeight="1" x14ac:dyDescent="0.25">
      <c r="A105" s="73"/>
      <c r="B105" s="293"/>
      <c r="C105" s="293"/>
      <c r="D105" s="293"/>
      <c r="E105" s="293"/>
      <c r="F105" s="293"/>
      <c r="G105" s="293"/>
      <c r="H105" s="293"/>
      <c r="I105" s="293"/>
      <c r="J105" s="293"/>
      <c r="K105" s="9"/>
      <c r="M105" s="83"/>
      <c r="R105" s="83"/>
      <c r="T105" s="29"/>
      <c r="U105" s="29"/>
      <c r="V105" s="29"/>
      <c r="X105" s="83"/>
      <c r="Y105" s="29"/>
      <c r="Z105" s="29"/>
      <c r="AA105" s="29"/>
      <c r="AB105" s="9"/>
      <c r="AD105" s="9"/>
      <c r="AE105" s="9"/>
      <c r="AF105" s="9"/>
      <c r="AG105" s="9"/>
      <c r="AH105" s="9"/>
      <c r="AI105" s="9"/>
      <c r="AJ105" s="9"/>
      <c r="AK105" s="9"/>
      <c r="AL105" s="9"/>
      <c r="AM105" s="75"/>
    </row>
    <row r="106" spans="1:39" s="70" customFormat="1" ht="20.100000000000001" customHeight="1" x14ac:dyDescent="0.25">
      <c r="A106" s="73"/>
      <c r="B106" s="293"/>
      <c r="C106" s="293"/>
      <c r="D106" s="293"/>
      <c r="E106" s="293"/>
      <c r="F106" s="293"/>
      <c r="G106" s="293"/>
      <c r="H106" s="293"/>
      <c r="I106" s="293"/>
      <c r="J106" s="293"/>
      <c r="K106" s="9"/>
      <c r="L106" s="76"/>
      <c r="M106" s="83" t="s">
        <v>206</v>
      </c>
      <c r="P106" s="9"/>
      <c r="R106" s="83"/>
      <c r="S106" s="9"/>
      <c r="T106" s="9"/>
      <c r="U106" s="9"/>
      <c r="V106" s="9"/>
      <c r="X106" s="83"/>
      <c r="Y106" s="9"/>
      <c r="Z106" s="9"/>
      <c r="AA106" s="9"/>
      <c r="AB106" s="9"/>
      <c r="AD106" s="83"/>
      <c r="AE106" s="9"/>
      <c r="AF106" s="9"/>
      <c r="AG106" s="9"/>
      <c r="AH106" s="9"/>
      <c r="AI106" s="9"/>
      <c r="AJ106" s="9"/>
      <c r="AK106" s="9"/>
      <c r="AL106" s="9"/>
      <c r="AM106" s="75"/>
    </row>
    <row r="107" spans="1:39" s="70" customFormat="1" ht="20.100000000000001" customHeight="1" thickBot="1" x14ac:dyDescent="0.3">
      <c r="A107" s="77"/>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9"/>
    </row>
    <row r="108" spans="1:39" s="70" customFormat="1" ht="20.100000000000001" customHeight="1" x14ac:dyDescent="0.25">
      <c r="A108" s="290" t="s">
        <v>230</v>
      </c>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2"/>
    </row>
    <row r="109" spans="1:39" s="70" customFormat="1" ht="20.100000000000001" customHeight="1" x14ac:dyDescent="0.25">
      <c r="A109" s="7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75"/>
    </row>
    <row r="110" spans="1:39" s="70" customFormat="1" ht="20.100000000000001" customHeight="1" x14ac:dyDescent="0.25">
      <c r="A110" s="73"/>
      <c r="B110" s="9"/>
      <c r="C110" s="92"/>
      <c r="D110" s="96" t="s">
        <v>207</v>
      </c>
      <c r="E110" s="81"/>
      <c r="F110" s="81"/>
      <c r="G110" s="81"/>
      <c r="H110" s="92"/>
      <c r="I110" s="83" t="s">
        <v>208</v>
      </c>
      <c r="J110" s="81"/>
      <c r="K110" s="81"/>
      <c r="L110" s="81"/>
      <c r="M110" s="81"/>
      <c r="N110" s="81"/>
      <c r="O110" s="81"/>
      <c r="P110" s="97"/>
      <c r="Q110" s="83" t="s">
        <v>209</v>
      </c>
      <c r="R110" s="81"/>
      <c r="S110" s="83"/>
      <c r="T110" s="83"/>
      <c r="U110" s="83"/>
      <c r="V110" s="83"/>
      <c r="W110" s="9"/>
      <c r="X110" s="9"/>
      <c r="Y110" s="9"/>
      <c r="Z110" s="9"/>
      <c r="AA110" s="9"/>
      <c r="AB110" s="9"/>
      <c r="AC110" s="9"/>
      <c r="AD110" s="9"/>
      <c r="AE110" s="9"/>
      <c r="AF110" s="9"/>
      <c r="AG110" s="9"/>
      <c r="AH110" s="9"/>
      <c r="AI110" s="9"/>
      <c r="AJ110" s="9"/>
      <c r="AK110" s="9"/>
      <c r="AL110" s="9"/>
      <c r="AM110" s="75"/>
    </row>
    <row r="111" spans="1:39" s="70" customFormat="1" ht="20.100000000000001" customHeight="1" x14ac:dyDescent="0.25">
      <c r="A111" s="73"/>
      <c r="B111" s="9"/>
      <c r="C111" s="29"/>
      <c r="D111" s="81"/>
      <c r="E111" s="81"/>
      <c r="F111" s="81"/>
      <c r="G111" s="81"/>
      <c r="H111" s="81"/>
      <c r="I111" s="81"/>
      <c r="J111" s="81"/>
      <c r="K111" s="81"/>
      <c r="L111" s="81"/>
      <c r="M111" s="81"/>
      <c r="N111" s="81"/>
      <c r="O111" s="81"/>
      <c r="P111" s="81"/>
      <c r="Q111" s="81"/>
      <c r="R111" s="81"/>
      <c r="S111" s="83"/>
      <c r="T111" s="83"/>
      <c r="U111" s="83"/>
      <c r="V111" s="83"/>
      <c r="W111" s="9"/>
      <c r="X111" s="9"/>
      <c r="Y111" s="9"/>
      <c r="Z111" s="9"/>
      <c r="AA111" s="9"/>
      <c r="AB111" s="9"/>
      <c r="AC111" s="9"/>
      <c r="AD111" s="9"/>
      <c r="AE111" s="9"/>
      <c r="AF111" s="9"/>
      <c r="AG111" s="9"/>
      <c r="AH111" s="9"/>
      <c r="AI111" s="9"/>
      <c r="AJ111" s="9"/>
      <c r="AK111" s="9"/>
      <c r="AL111" s="9"/>
      <c r="AM111" s="75"/>
    </row>
    <row r="112" spans="1:39" s="70" customFormat="1" ht="20.100000000000001" customHeight="1" x14ac:dyDescent="0.25">
      <c r="A112" s="73"/>
      <c r="B112" s="9"/>
      <c r="C112" s="76"/>
      <c r="D112" s="83" t="s">
        <v>210</v>
      </c>
      <c r="I112" s="83"/>
      <c r="J112" s="83"/>
      <c r="K112" s="83"/>
      <c r="L112" s="83"/>
      <c r="P112" s="76"/>
      <c r="Q112" s="83" t="s">
        <v>2</v>
      </c>
      <c r="R112" s="83"/>
      <c r="T112" s="83"/>
      <c r="U112" s="9"/>
      <c r="V112" s="9"/>
      <c r="W112" s="9"/>
      <c r="X112" s="9"/>
      <c r="Y112" s="9"/>
      <c r="Z112" s="9"/>
      <c r="AA112" s="9"/>
      <c r="AB112" s="9"/>
      <c r="AC112" s="9"/>
      <c r="AD112" s="9"/>
      <c r="AE112" s="9"/>
      <c r="AF112" s="9"/>
      <c r="AG112" s="9"/>
      <c r="AH112" s="9"/>
      <c r="AI112" s="9"/>
      <c r="AJ112" s="9"/>
      <c r="AK112" s="9"/>
      <c r="AL112" s="9"/>
      <c r="AM112" s="75"/>
    </row>
    <row r="113" spans="1:39" s="70" customFormat="1" ht="20.100000000000001" customHeight="1" x14ac:dyDescent="0.25">
      <c r="A113" s="7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75"/>
    </row>
    <row r="114" spans="1:39" s="70" customFormat="1" ht="20.100000000000001" customHeight="1" x14ac:dyDescent="0.25">
      <c r="A114" s="73"/>
      <c r="B114" s="9"/>
      <c r="C114" s="76"/>
      <c r="D114" s="83" t="s">
        <v>211</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75"/>
    </row>
    <row r="115" spans="1:39" s="70" customFormat="1" ht="20.100000000000001" customHeight="1" thickBot="1" x14ac:dyDescent="0.3">
      <c r="A115" s="77"/>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9"/>
    </row>
    <row r="116" spans="1:39" s="70" customFormat="1" ht="20.100000000000001" customHeight="1" x14ac:dyDescent="0.25">
      <c r="A116" s="290" t="s">
        <v>242</v>
      </c>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2"/>
    </row>
    <row r="117" spans="1:39" s="70" customFormat="1" ht="20.100000000000001" customHeight="1" x14ac:dyDescent="0.25">
      <c r="A117" s="7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75"/>
    </row>
    <row r="118" spans="1:39" s="70" customFormat="1" ht="20.100000000000001" customHeight="1" x14ac:dyDescent="0.25">
      <c r="A118" s="73"/>
      <c r="B118" s="9"/>
      <c r="C118" s="92"/>
      <c r="D118" s="96" t="s">
        <v>207</v>
      </c>
      <c r="E118" s="81"/>
      <c r="F118" s="81"/>
      <c r="G118" s="81"/>
      <c r="H118" s="92"/>
      <c r="I118" s="83" t="s">
        <v>212</v>
      </c>
      <c r="J118" s="81"/>
      <c r="K118" s="81"/>
      <c r="L118" s="81"/>
      <c r="M118" s="81"/>
      <c r="N118" s="81"/>
      <c r="O118" s="81"/>
      <c r="P118" s="97"/>
      <c r="Q118" s="83" t="s">
        <v>213</v>
      </c>
      <c r="R118" s="81"/>
      <c r="S118" s="83"/>
      <c r="T118" s="83"/>
      <c r="U118" s="83"/>
      <c r="V118" s="83"/>
      <c r="W118" s="76"/>
      <c r="X118" s="83" t="s">
        <v>214</v>
      </c>
      <c r="Y118" s="9"/>
      <c r="Z118" s="9"/>
      <c r="AA118" s="9"/>
      <c r="AB118" s="9"/>
      <c r="AC118" s="76"/>
      <c r="AD118" s="83" t="s">
        <v>215</v>
      </c>
      <c r="AE118" s="9"/>
      <c r="AF118" s="9"/>
      <c r="AG118" s="9"/>
      <c r="AH118" s="9"/>
      <c r="AI118" s="9"/>
      <c r="AJ118" s="9"/>
      <c r="AK118" s="9"/>
      <c r="AL118" s="9"/>
      <c r="AM118" s="75"/>
    </row>
    <row r="119" spans="1:39" s="70" customFormat="1" ht="20.100000000000001" customHeight="1" x14ac:dyDescent="0.25">
      <c r="A119" s="73"/>
      <c r="B119" s="9"/>
      <c r="C119" s="29"/>
      <c r="D119" s="81"/>
      <c r="E119" s="81"/>
      <c r="F119" s="81"/>
      <c r="G119" s="81"/>
      <c r="H119" s="81"/>
      <c r="I119" s="81"/>
      <c r="J119" s="81"/>
      <c r="K119" s="81"/>
      <c r="L119" s="81"/>
      <c r="M119" s="81"/>
      <c r="N119" s="81"/>
      <c r="O119" s="81"/>
      <c r="P119" s="81"/>
      <c r="Q119" s="81"/>
      <c r="R119" s="81"/>
      <c r="S119" s="83"/>
      <c r="T119" s="83"/>
      <c r="U119" s="83"/>
      <c r="V119" s="83"/>
      <c r="W119" s="9"/>
      <c r="X119" s="9"/>
      <c r="Y119" s="9"/>
      <c r="Z119" s="9"/>
      <c r="AA119" s="9"/>
      <c r="AB119" s="9"/>
      <c r="AC119" s="9"/>
      <c r="AD119" s="9"/>
      <c r="AE119" s="9"/>
      <c r="AF119" s="9"/>
      <c r="AG119" s="9"/>
      <c r="AH119" s="9"/>
      <c r="AI119" s="9"/>
      <c r="AJ119" s="9"/>
      <c r="AK119" s="9"/>
      <c r="AL119" s="9"/>
      <c r="AM119" s="75"/>
    </row>
    <row r="120" spans="1:39" s="70" customFormat="1" ht="20.100000000000001" customHeight="1" x14ac:dyDescent="0.25">
      <c r="A120" s="73"/>
      <c r="B120" s="9"/>
      <c r="C120" s="76"/>
      <c r="D120" s="83" t="s">
        <v>216</v>
      </c>
      <c r="H120" s="76"/>
      <c r="I120" s="83" t="s">
        <v>211</v>
      </c>
      <c r="J120" s="83"/>
      <c r="K120" s="83"/>
      <c r="L120" s="83"/>
      <c r="P120" s="9"/>
      <c r="Q120" s="9"/>
      <c r="R120" s="9"/>
      <c r="T120" s="83"/>
      <c r="U120" s="9"/>
      <c r="V120" s="9"/>
      <c r="W120" s="9"/>
      <c r="X120" s="9"/>
      <c r="Y120" s="9"/>
      <c r="Z120" s="9"/>
      <c r="AA120" s="9"/>
      <c r="AB120" s="9"/>
      <c r="AC120" s="9"/>
      <c r="AD120" s="9"/>
      <c r="AE120" s="9"/>
      <c r="AF120" s="9"/>
      <c r="AG120" s="9"/>
      <c r="AH120" s="9"/>
      <c r="AI120" s="9"/>
      <c r="AJ120" s="9"/>
      <c r="AK120" s="9"/>
      <c r="AL120" s="9"/>
      <c r="AM120" s="75"/>
    </row>
    <row r="121" spans="1:39" s="70" customFormat="1" ht="20.100000000000001" customHeight="1" thickBot="1" x14ac:dyDescent="0.3">
      <c r="A121" s="77"/>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9"/>
    </row>
    <row r="122" spans="1:39" s="70" customFormat="1" ht="20.100000000000001" customHeight="1" x14ac:dyDescent="0.25">
      <c r="A122" s="290" t="s">
        <v>243</v>
      </c>
      <c r="B122" s="291"/>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2"/>
    </row>
    <row r="123" spans="1:39" s="70" customFormat="1" ht="20.100000000000001" customHeight="1" x14ac:dyDescent="0.25">
      <c r="A123" s="7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75"/>
    </row>
    <row r="124" spans="1:39" s="70" customFormat="1" ht="20.100000000000001" customHeight="1" x14ac:dyDescent="0.25">
      <c r="A124" s="73"/>
      <c r="B124" s="317" t="s">
        <v>217</v>
      </c>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9"/>
      <c r="AG124" s="92"/>
      <c r="AH124" s="83" t="s">
        <v>218</v>
      </c>
      <c r="AI124" s="9"/>
      <c r="AJ124" s="92"/>
      <c r="AK124" s="83" t="s">
        <v>219</v>
      </c>
      <c r="AL124" s="9"/>
      <c r="AM124" s="75"/>
    </row>
    <row r="125" spans="1:39" s="70" customFormat="1" ht="20.100000000000001" customHeight="1" x14ac:dyDescent="0.25">
      <c r="A125" s="73"/>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9"/>
      <c r="AD125" s="9"/>
      <c r="AE125" s="9"/>
      <c r="AF125" s="9"/>
      <c r="AG125" s="29"/>
      <c r="AH125" s="29"/>
      <c r="AI125" s="9"/>
      <c r="AJ125" s="29"/>
      <c r="AK125" s="29"/>
      <c r="AL125" s="9"/>
      <c r="AM125" s="75"/>
    </row>
    <row r="126" spans="1:39" s="9" customFormat="1" ht="20.100000000000001" customHeight="1" x14ac:dyDescent="0.25">
      <c r="A126" s="73"/>
      <c r="B126" s="318" t="s">
        <v>220</v>
      </c>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G126" s="92"/>
      <c r="AH126" s="83" t="s">
        <v>218</v>
      </c>
      <c r="AJ126" s="92"/>
      <c r="AK126" s="83" t="s">
        <v>219</v>
      </c>
      <c r="AM126" s="75"/>
    </row>
    <row r="127" spans="1:39" s="9" customFormat="1" ht="20.100000000000001" customHeight="1" x14ac:dyDescent="0.25">
      <c r="A127" s="73"/>
      <c r="B127" s="318"/>
      <c r="C127" s="318"/>
      <c r="D127" s="318"/>
      <c r="E127" s="318"/>
      <c r="F127" s="83"/>
      <c r="G127" s="29"/>
      <c r="H127" s="29"/>
      <c r="I127" s="29"/>
      <c r="J127" s="29"/>
      <c r="K127" s="29"/>
      <c r="L127" s="29"/>
      <c r="M127" s="29"/>
      <c r="N127" s="29"/>
      <c r="O127" s="29"/>
      <c r="P127" s="29"/>
      <c r="Q127" s="29"/>
      <c r="R127" s="29"/>
      <c r="S127" s="29"/>
      <c r="T127" s="29"/>
      <c r="U127" s="29"/>
      <c r="V127" s="29"/>
      <c r="W127" s="29"/>
      <c r="X127" s="29"/>
      <c r="Y127" s="29"/>
      <c r="Z127" s="29"/>
      <c r="AA127" s="29"/>
      <c r="AB127" s="29"/>
      <c r="AG127" s="29"/>
      <c r="AH127" s="29"/>
      <c r="AJ127" s="29"/>
      <c r="AK127" s="29"/>
      <c r="AM127" s="75"/>
    </row>
    <row r="128" spans="1:39" s="9" customFormat="1" ht="20.100000000000001" customHeight="1" x14ac:dyDescent="0.25">
      <c r="A128" s="73"/>
      <c r="B128" s="318" t="s">
        <v>221</v>
      </c>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G128" s="92"/>
      <c r="AH128" s="83" t="s">
        <v>218</v>
      </c>
      <c r="AJ128" s="92"/>
      <c r="AK128" s="83" t="s">
        <v>219</v>
      </c>
      <c r="AM128" s="75"/>
    </row>
    <row r="129" spans="1:39" s="9" customFormat="1" ht="20.100000000000001" customHeight="1" x14ac:dyDescent="0.25">
      <c r="A129" s="73"/>
      <c r="B129" s="318"/>
      <c r="C129" s="318"/>
      <c r="D129" s="318"/>
      <c r="E129" s="318"/>
      <c r="F129" s="83"/>
      <c r="G129" s="29"/>
      <c r="H129" s="29"/>
      <c r="I129" s="29"/>
      <c r="J129" s="29"/>
      <c r="K129" s="29"/>
      <c r="L129" s="29"/>
      <c r="M129" s="29"/>
      <c r="N129" s="29"/>
      <c r="O129" s="29"/>
      <c r="P129" s="29"/>
      <c r="Q129" s="29"/>
      <c r="R129" s="29"/>
      <c r="S129" s="29"/>
      <c r="T129" s="29"/>
      <c r="U129" s="29"/>
      <c r="V129" s="29"/>
      <c r="W129" s="29"/>
      <c r="X129" s="29"/>
      <c r="Y129" s="29"/>
      <c r="Z129" s="29"/>
      <c r="AA129" s="29"/>
      <c r="AB129" s="29"/>
      <c r="AG129" s="29"/>
      <c r="AH129" s="29"/>
      <c r="AJ129" s="29"/>
      <c r="AK129" s="29"/>
      <c r="AM129" s="75"/>
    </row>
    <row r="130" spans="1:39" s="9" customFormat="1" ht="20.100000000000001" customHeight="1" x14ac:dyDescent="0.25">
      <c r="A130" s="73"/>
      <c r="B130" s="318" t="s">
        <v>222</v>
      </c>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G130" s="92"/>
      <c r="AH130" s="83" t="s">
        <v>218</v>
      </c>
      <c r="AJ130" s="92"/>
      <c r="AK130" s="83" t="s">
        <v>219</v>
      </c>
      <c r="AM130" s="75"/>
    </row>
    <row r="131" spans="1:39" s="9" customFormat="1" ht="20.100000000000001" customHeight="1" x14ac:dyDescent="0.25">
      <c r="A131" s="73"/>
      <c r="B131" s="318"/>
      <c r="C131" s="318"/>
      <c r="D131" s="318"/>
      <c r="E131" s="318"/>
      <c r="F131" s="83"/>
      <c r="G131" s="29"/>
      <c r="H131" s="29"/>
      <c r="I131" s="29"/>
      <c r="J131" s="29"/>
      <c r="K131" s="29"/>
      <c r="L131" s="29"/>
      <c r="M131" s="29"/>
      <c r="N131" s="29"/>
      <c r="O131" s="29"/>
      <c r="P131" s="29"/>
      <c r="Q131" s="29"/>
      <c r="R131" s="29"/>
      <c r="S131" s="29"/>
      <c r="T131" s="29"/>
      <c r="U131" s="29"/>
      <c r="V131" s="29"/>
      <c r="W131" s="29"/>
      <c r="X131" s="29"/>
      <c r="Y131" s="29"/>
      <c r="Z131" s="29"/>
      <c r="AA131" s="29"/>
      <c r="AB131" s="29"/>
      <c r="AG131" s="29"/>
      <c r="AH131" s="29"/>
      <c r="AJ131" s="29"/>
      <c r="AK131" s="29"/>
      <c r="AM131" s="75"/>
    </row>
    <row r="132" spans="1:39" s="9" customFormat="1" ht="20.100000000000001" customHeight="1" x14ac:dyDescent="0.25">
      <c r="A132" s="73"/>
      <c r="B132" s="317" t="s">
        <v>223</v>
      </c>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G132" s="92"/>
      <c r="AH132" s="83" t="s">
        <v>218</v>
      </c>
      <c r="AJ132" s="92"/>
      <c r="AK132" s="83" t="s">
        <v>219</v>
      </c>
      <c r="AM132" s="75"/>
    </row>
    <row r="133" spans="1:39" s="9" customFormat="1" ht="20.100000000000001" customHeight="1" x14ac:dyDescent="0.25">
      <c r="A133" s="73"/>
      <c r="AM133" s="75"/>
    </row>
    <row r="134" spans="1:39" s="9" customFormat="1" ht="20.100000000000001" customHeight="1" x14ac:dyDescent="0.25">
      <c r="A134" s="73"/>
      <c r="B134" s="317" t="s">
        <v>224</v>
      </c>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M134" s="75"/>
    </row>
    <row r="135" spans="1:39" s="9" customFormat="1" ht="20.100000000000001" customHeight="1" x14ac:dyDescent="0.25">
      <c r="A135" s="73"/>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M135" s="75"/>
    </row>
    <row r="136" spans="1:39" s="9" customFormat="1" ht="20.100000000000001" customHeight="1" x14ac:dyDescent="0.25">
      <c r="A136" s="73"/>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M136" s="75"/>
    </row>
    <row r="137" spans="1:39" s="70" customFormat="1" ht="20.100000000000001" customHeight="1" x14ac:dyDescent="0.25">
      <c r="A137" s="73"/>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331"/>
      <c r="AL137" s="9"/>
      <c r="AM137" s="75"/>
    </row>
    <row r="138" spans="1:39" s="70" customFormat="1" ht="20.100000000000001" customHeight="1" thickBot="1" x14ac:dyDescent="0.3">
      <c r="A138" s="77"/>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9"/>
    </row>
    <row r="139" spans="1:39" s="70" customFormat="1" ht="20.100000000000001" customHeight="1" thickBo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row>
    <row r="140" spans="1:39" s="70" customFormat="1" ht="20.100000000000001" customHeight="1" thickBot="1" x14ac:dyDescent="0.3">
      <c r="A140" s="319" t="s">
        <v>225</v>
      </c>
      <c r="B140" s="320"/>
      <c r="C140" s="320"/>
      <c r="D140" s="320"/>
      <c r="E140" s="320"/>
      <c r="F140" s="320"/>
      <c r="G140" s="320"/>
      <c r="H140" s="320"/>
      <c r="I140" s="320"/>
      <c r="J140" s="320"/>
      <c r="K140" s="321"/>
      <c r="L140" s="322"/>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4"/>
    </row>
    <row r="141" spans="1:39" s="70" customFormat="1" ht="20.100000000000001" customHeight="1" thickBo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row>
    <row r="142" spans="1:39" s="70" customFormat="1" ht="20.100000000000001" customHeight="1" thickBot="1" x14ac:dyDescent="0.3">
      <c r="A142" s="325" t="s">
        <v>244</v>
      </c>
      <c r="B142" s="326"/>
      <c r="C142" s="326"/>
      <c r="D142" s="326"/>
      <c r="E142" s="326"/>
      <c r="F142" s="326"/>
      <c r="G142" s="326"/>
      <c r="H142" s="326"/>
      <c r="I142" s="326"/>
      <c r="J142" s="326"/>
      <c r="K142" s="326"/>
      <c r="L142" s="326"/>
      <c r="M142" s="326"/>
      <c r="N142" s="326"/>
      <c r="O142" s="326"/>
      <c r="P142" s="326"/>
      <c r="Q142" s="327"/>
      <c r="R142" s="328" t="s">
        <v>245</v>
      </c>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30"/>
    </row>
    <row r="144" spans="1:39" ht="20.100000000000001" customHeight="1" x14ac:dyDescent="0.25">
      <c r="A144" s="316" t="s">
        <v>254</v>
      </c>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2024-10-28T13:49:41Z</dcterms:modified>
</cp:coreProperties>
</file>