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I/"/>
    </mc:Choice>
  </mc:AlternateContent>
  <xr:revisionPtr revIDLastSave="309" documentId="8_{5853E58B-C526-4001-A8AA-5638B0611B9E}" xr6:coauthVersionLast="47" xr6:coauthVersionMax="47" xr10:uidLastSave="{43D4C3A8-5806-4F35-9243-395488B3D5C8}"/>
  <bookViews>
    <workbookView xWindow="-120" yWindow="-120" windowWidth="29040" windowHeight="15720" tabRatio="901" xr2:uid="{C3A22E73-4D52-4DA0-A647-BA53DE8F5818}"/>
  </bookViews>
  <sheets>
    <sheet name="TERRENO E BENFEITORIAS" sheetId="4" r:id="rId1"/>
    <sheet name="VANTAGEM DA COISA FEITA" sheetId="26" r:id="rId2"/>
    <sheet name="DEPRECIAÇÃO" sheetId="27" r:id="rId3"/>
    <sheet name="LAUDO DE VISTORIA" sheetId="24" r:id="rId4"/>
  </sheets>
  <definedNames>
    <definedName name="_xlnm._FilterDatabase" localSheetId="0" hidden="1">'TERRENO E BENFEITORIAS'!$C$17:$S$22</definedName>
    <definedName name="_xlnm.Print_Area" localSheetId="3">'LAUDO DE VISTORIA'!$A$1:$AM$144</definedName>
    <definedName name="_xlnm.Print_Area" localSheetId="0">'TERRENO E BENFEITORIAS'!$A$1:$S$350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59" i="4" l="1"/>
  <c r="Y219" i="4"/>
  <c r="Y182" i="4"/>
  <c r="P156" i="4" l="1"/>
  <c r="O156" i="4"/>
  <c r="N156" i="4"/>
  <c r="M156" i="4"/>
  <c r="L156" i="4"/>
  <c r="K156" i="4"/>
  <c r="J156" i="4"/>
  <c r="P155" i="4"/>
  <c r="O155" i="4"/>
  <c r="N155" i="4"/>
  <c r="M155" i="4"/>
  <c r="L155" i="4"/>
  <c r="K155" i="4"/>
  <c r="J155" i="4"/>
  <c r="P154" i="4"/>
  <c r="O154" i="4"/>
  <c r="N154" i="4"/>
  <c r="M154" i="4"/>
  <c r="L154" i="4"/>
  <c r="K154" i="4"/>
  <c r="J154" i="4"/>
  <c r="P153" i="4"/>
  <c r="O153" i="4"/>
  <c r="N153" i="4"/>
  <c r="M153" i="4"/>
  <c r="L153" i="4"/>
  <c r="K153" i="4"/>
  <c r="J153" i="4"/>
  <c r="P152" i="4"/>
  <c r="O152" i="4"/>
  <c r="N152" i="4"/>
  <c r="M152" i="4"/>
  <c r="L152" i="4"/>
  <c r="K152" i="4"/>
  <c r="J152" i="4"/>
  <c r="P145" i="4"/>
  <c r="O145" i="4"/>
  <c r="N145" i="4"/>
  <c r="M145" i="4"/>
  <c r="L145" i="4"/>
  <c r="K145" i="4"/>
  <c r="J145" i="4"/>
  <c r="N132" i="4"/>
  <c r="N133" i="4"/>
  <c r="N134" i="4"/>
  <c r="N135" i="4"/>
  <c r="N136" i="4"/>
  <c r="N137" i="4"/>
  <c r="N131" i="4"/>
  <c r="H245" i="4" l="1"/>
  <c r="H246" i="4"/>
  <c r="H247" i="4"/>
  <c r="H248" i="4"/>
  <c r="H244" i="4"/>
  <c r="H208" i="4"/>
  <c r="H209" i="4"/>
  <c r="H210" i="4"/>
  <c r="H211" i="4"/>
  <c r="H207" i="4"/>
  <c r="H174" i="4"/>
  <c r="H175" i="4"/>
  <c r="H176" i="4"/>
  <c r="H177" i="4"/>
  <c r="H173" i="4"/>
  <c r="Q155" i="4"/>
  <c r="F162" i="4" s="1"/>
  <c r="Q154" i="4"/>
  <c r="F161" i="4" s="1"/>
  <c r="K49" i="4"/>
  <c r="K48" i="4"/>
  <c r="O19" i="4"/>
  <c r="O20" i="4"/>
  <c r="O21" i="4"/>
  <c r="I19" i="4"/>
  <c r="I20" i="4"/>
  <c r="Y462" i="4"/>
  <c r="M458" i="4"/>
  <c r="Y461" i="4" s="1"/>
  <c r="N395" i="4"/>
  <c r="Q395" i="4" s="1"/>
  <c r="N396" i="4"/>
  <c r="Q396" i="4" s="1"/>
  <c r="N397" i="4"/>
  <c r="Q397" i="4" s="1"/>
  <c r="N398" i="4"/>
  <c r="Q398" i="4" s="1"/>
  <c r="N399" i="4"/>
  <c r="Q399" i="4" s="1"/>
  <c r="N400" i="4"/>
  <c r="Q400" i="4" s="1"/>
  <c r="N401" i="4"/>
  <c r="Q401" i="4" s="1"/>
  <c r="N402" i="4"/>
  <c r="Q402" i="4" s="1"/>
  <c r="N403" i="4"/>
  <c r="Q403" i="4" s="1"/>
  <c r="N404" i="4"/>
  <c r="Q404" i="4" s="1"/>
  <c r="N405" i="4"/>
  <c r="Q405" i="4" s="1"/>
  <c r="N406" i="4"/>
  <c r="Q406" i="4" s="1"/>
  <c r="N407" i="4"/>
  <c r="Q407" i="4" s="1"/>
  <c r="N408" i="4"/>
  <c r="Q408" i="4" s="1"/>
  <c r="N409" i="4"/>
  <c r="Q409" i="4" s="1"/>
  <c r="N410" i="4"/>
  <c r="Q410" i="4" s="1"/>
  <c r="N411" i="4"/>
  <c r="Q411" i="4" s="1"/>
  <c r="N412" i="4"/>
  <c r="Q412" i="4" s="1"/>
  <c r="N413" i="4"/>
  <c r="Q413" i="4" s="1"/>
  <c r="N414" i="4"/>
  <c r="Q414" i="4" s="1"/>
  <c r="N394" i="4"/>
  <c r="Q394" i="4" s="1"/>
  <c r="G395" i="4"/>
  <c r="G396" i="4"/>
  <c r="G397" i="4"/>
  <c r="G398" i="4"/>
  <c r="G399" i="4"/>
  <c r="G400" i="4"/>
  <c r="G401" i="4"/>
  <c r="G402" i="4"/>
  <c r="G403" i="4"/>
  <c r="G404" i="4"/>
  <c r="G405" i="4"/>
  <c r="G406" i="4"/>
  <c r="G407" i="4"/>
  <c r="G408" i="4"/>
  <c r="G409" i="4"/>
  <c r="G410" i="4"/>
  <c r="G411" i="4"/>
  <c r="G412" i="4"/>
  <c r="G413" i="4"/>
  <c r="G414" i="4"/>
  <c r="G394" i="4"/>
  <c r="K361" i="4"/>
  <c r="N341" i="4"/>
  <c r="Q20" i="4" l="1"/>
  <c r="C48" i="4" s="1"/>
  <c r="Q19" i="4"/>
  <c r="C47" i="4" s="1"/>
  <c r="Y463" i="4" a="1"/>
  <c r="Y463" i="4" s="1"/>
  <c r="N464" i="4" s="1"/>
  <c r="Q418" i="4"/>
  <c r="R420" i="4" l="1"/>
  <c r="M443" i="4"/>
  <c r="P445" i="4" s="1"/>
  <c r="P446" i="4" s="1"/>
  <c r="P447" i="4" s="1"/>
  <c r="N342" i="4"/>
  <c r="N449" i="4" s="1"/>
  <c r="N450" i="4" l="1"/>
  <c r="N452" i="4" s="1"/>
  <c r="N461" i="4" s="1"/>
  <c r="F349" i="4" l="1"/>
  <c r="A261" i="27"/>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J259" i="27"/>
  <c r="I259" i="27"/>
  <c r="H259" i="27"/>
  <c r="G259" i="27"/>
  <c r="F259" i="27"/>
  <c r="E259" i="27"/>
  <c r="D259" i="27"/>
  <c r="C259" i="27"/>
  <c r="B259" i="27"/>
  <c r="J193" i="27"/>
  <c r="J260" i="27" s="1"/>
  <c r="I193" i="27"/>
  <c r="I260" i="27" s="1"/>
  <c r="H193" i="27"/>
  <c r="H260" i="27" s="1"/>
  <c r="G193" i="27"/>
  <c r="G260" i="27" s="1"/>
  <c r="F193" i="27"/>
  <c r="F260" i="27" s="1"/>
  <c r="E193" i="27"/>
  <c r="E260" i="27" s="1"/>
  <c r="D193" i="27"/>
  <c r="D260" i="27" s="1"/>
  <c r="C193" i="27"/>
  <c r="C260" i="27" s="1"/>
  <c r="B193" i="27"/>
  <c r="B260" i="27" s="1"/>
  <c r="A193" i="27"/>
  <c r="J192" i="27"/>
  <c r="I192" i="27"/>
  <c r="H192" i="27"/>
  <c r="G192" i="27"/>
  <c r="F192" i="27"/>
  <c r="E192" i="27"/>
  <c r="D192" i="27"/>
  <c r="C192" i="27"/>
  <c r="B192" i="27"/>
  <c r="A192" i="27"/>
  <c r="J191" i="27"/>
  <c r="I191" i="27"/>
  <c r="H191" i="27"/>
  <c r="G191" i="27"/>
  <c r="F191" i="27"/>
  <c r="E191" i="27"/>
  <c r="D191" i="27"/>
  <c r="C191" i="27"/>
  <c r="B191" i="27"/>
  <c r="A191" i="27"/>
  <c r="J190" i="27"/>
  <c r="I190" i="27"/>
  <c r="H190" i="27"/>
  <c r="G190" i="27"/>
  <c r="F190" i="27"/>
  <c r="E190" i="27"/>
  <c r="D190" i="27"/>
  <c r="C190" i="27"/>
  <c r="A190" i="27"/>
  <c r="J189" i="27"/>
  <c r="I189" i="27"/>
  <c r="H189" i="27"/>
  <c r="G189" i="27"/>
  <c r="F189" i="27"/>
  <c r="E189" i="27"/>
  <c r="D189" i="27"/>
  <c r="C189" i="27"/>
  <c r="B189" i="27"/>
  <c r="A189" i="27"/>
  <c r="A123" i="27"/>
  <c r="B123" i="27" s="1"/>
  <c r="J123" i="27" s="1"/>
  <c r="J194" i="27" s="1"/>
  <c r="J261" i="27" s="1"/>
  <c r="Y70" i="26"/>
  <c r="W63" i="26"/>
  <c r="AJ41" i="26"/>
  <c r="Y41" i="26" s="1"/>
  <c r="Y65" i="26" s="1"/>
  <c r="AH41" i="26"/>
  <c r="X41" i="26" s="1"/>
  <c r="X63" i="26" s="1"/>
  <c r="AF41" i="26"/>
  <c r="AD41" i="26"/>
  <c r="V41" i="26" s="1"/>
  <c r="W41" i="26"/>
  <c r="U41" i="26"/>
  <c r="U42" i="26" s="1"/>
  <c r="U43" i="26" s="1"/>
  <c r="U44" i="26" s="1"/>
  <c r="U45" i="26" s="1"/>
  <c r="U46" i="26" s="1"/>
  <c r="U47" i="26" s="1"/>
  <c r="U48" i="26" s="1"/>
  <c r="U49" i="26" s="1"/>
  <c r="U50" i="26" s="1"/>
  <c r="U51" i="26" s="1"/>
  <c r="U52" i="26" s="1"/>
  <c r="U53" i="26" s="1"/>
  <c r="U54" i="26" s="1"/>
  <c r="U55" i="26" s="1"/>
  <c r="U56" i="26" s="1"/>
  <c r="U57" i="26" s="1"/>
  <c r="U58" i="26" s="1"/>
  <c r="U59" i="26" s="1"/>
  <c r="U60" i="26" s="1"/>
  <c r="U61" i="26" s="1"/>
  <c r="U62" i="26" s="1"/>
  <c r="U63" i="26" s="1"/>
  <c r="U64" i="26" s="1"/>
  <c r="U65" i="26" s="1"/>
  <c r="U66" i="26" s="1"/>
  <c r="U67" i="26" s="1"/>
  <c r="U68" i="26" s="1"/>
  <c r="U69" i="26" s="1"/>
  <c r="U70" i="26" s="1"/>
  <c r="U71" i="26" s="1"/>
  <c r="U72" i="26" s="1"/>
  <c r="U73" i="26" s="1"/>
  <c r="U74" i="26" s="1"/>
  <c r="U75" i="26" s="1"/>
  <c r="U76" i="26" s="1"/>
  <c r="U77" i="26" s="1"/>
  <c r="U78" i="26" s="1"/>
  <c r="U79" i="26" s="1"/>
  <c r="U80" i="26" s="1"/>
  <c r="U81" i="26" s="1"/>
  <c r="AJ40" i="26"/>
  <c r="Y40" i="26" s="1"/>
  <c r="AH40" i="26"/>
  <c r="AF40" i="26"/>
  <c r="W40" i="26" s="1"/>
  <c r="AD40" i="26"/>
  <c r="V40" i="26" s="1"/>
  <c r="X40" i="26"/>
  <c r="U40" i="26"/>
  <c r="AJ39" i="26"/>
  <c r="Y39" i="26" s="1"/>
  <c r="AH39" i="26"/>
  <c r="X39" i="26" s="1"/>
  <c r="AF39" i="26"/>
  <c r="W39" i="26" s="1"/>
  <c r="AD39" i="26"/>
  <c r="V39" i="26" s="1"/>
  <c r="U39" i="26"/>
  <c r="AJ38" i="26"/>
  <c r="Y38" i="26" s="1"/>
  <c r="AH38" i="26"/>
  <c r="AF38" i="26"/>
  <c r="AD38" i="26"/>
  <c r="V38" i="26" s="1"/>
  <c r="X38" i="26"/>
  <c r="W38" i="26"/>
  <c r="U38" i="26"/>
  <c r="AJ37" i="26"/>
  <c r="Y37" i="26" s="1"/>
  <c r="AH37" i="26"/>
  <c r="X37" i="26" s="1"/>
  <c r="AF37" i="26"/>
  <c r="AD37" i="26"/>
  <c r="V37" i="26" s="1"/>
  <c r="W37" i="26"/>
  <c r="U37" i="26"/>
  <c r="AJ36" i="26"/>
  <c r="Y36" i="26" s="1"/>
  <c r="AH36" i="26"/>
  <c r="X36" i="26" s="1"/>
  <c r="AF36" i="26"/>
  <c r="W36" i="26" s="1"/>
  <c r="AD36" i="26"/>
  <c r="V36" i="26" s="1"/>
  <c r="U36" i="26"/>
  <c r="AJ35" i="26"/>
  <c r="AH35" i="26"/>
  <c r="X35" i="26" s="1"/>
  <c r="AF35" i="26"/>
  <c r="W35" i="26" s="1"/>
  <c r="AD35" i="26"/>
  <c r="V35" i="26" s="1"/>
  <c r="Y35" i="26"/>
  <c r="U35" i="26"/>
  <c r="AJ34" i="26"/>
  <c r="Y34" i="26" s="1"/>
  <c r="AH34" i="26"/>
  <c r="X34" i="26" s="1"/>
  <c r="AF34" i="26"/>
  <c r="W34" i="26" s="1"/>
  <c r="AD34" i="26"/>
  <c r="V34" i="26" s="1"/>
  <c r="U34" i="26"/>
  <c r="AJ33" i="26"/>
  <c r="Y33" i="26" s="1"/>
  <c r="AH33" i="26"/>
  <c r="X33" i="26" s="1"/>
  <c r="AF33" i="26"/>
  <c r="W33" i="26" s="1"/>
  <c r="AD33" i="26"/>
  <c r="V33" i="26"/>
  <c r="U33" i="26"/>
  <c r="AJ32" i="26"/>
  <c r="Y32" i="26" s="1"/>
  <c r="AH32" i="26"/>
  <c r="X32" i="26" s="1"/>
  <c r="AF32" i="26"/>
  <c r="W32" i="26" s="1"/>
  <c r="AE32" i="26"/>
  <c r="AG32" i="26" s="1"/>
  <c r="AI32" i="26" s="1"/>
  <c r="AD32" i="26"/>
  <c r="V32" i="26"/>
  <c r="U32" i="26"/>
  <c r="AJ31" i="26"/>
  <c r="AH31" i="26"/>
  <c r="AF31" i="26"/>
  <c r="W31" i="26" s="1"/>
  <c r="AD31" i="26"/>
  <c r="V31" i="26" s="1"/>
  <c r="Y31" i="26"/>
  <c r="X31" i="26"/>
  <c r="U31" i="26"/>
  <c r="AJ30" i="26"/>
  <c r="Y30" i="26" s="1"/>
  <c r="AH30" i="26"/>
  <c r="X30" i="26" s="1"/>
  <c r="AF30" i="26"/>
  <c r="W30" i="26" s="1"/>
  <c r="AD30" i="26"/>
  <c r="V30" i="26" s="1"/>
  <c r="U30" i="26"/>
  <c r="AJ29" i="26"/>
  <c r="AH29" i="26"/>
  <c r="AF29" i="26"/>
  <c r="W29" i="26" s="1"/>
  <c r="AD29" i="26"/>
  <c r="V29" i="26" s="1"/>
  <c r="Y29" i="26"/>
  <c r="X29" i="26"/>
  <c r="U29" i="26"/>
  <c r="AJ28" i="26"/>
  <c r="Y28" i="26" s="1"/>
  <c r="AH28" i="26"/>
  <c r="X28" i="26" s="1"/>
  <c r="AF28" i="26"/>
  <c r="W28" i="26" s="1"/>
  <c r="AD28" i="26"/>
  <c r="V28" i="26" s="1"/>
  <c r="U28" i="26"/>
  <c r="AJ27" i="26"/>
  <c r="Y27" i="26" s="1"/>
  <c r="AH27" i="26"/>
  <c r="X27" i="26" s="1"/>
  <c r="AF27" i="26"/>
  <c r="W27" i="26" s="1"/>
  <c r="AD27" i="26"/>
  <c r="V27" i="26" s="1"/>
  <c r="U27" i="26"/>
  <c r="AJ26" i="26"/>
  <c r="Y26" i="26" s="1"/>
  <c r="AH26" i="26"/>
  <c r="X26" i="26" s="1"/>
  <c r="AF26" i="26"/>
  <c r="W26" i="26" s="1"/>
  <c r="AD26" i="26"/>
  <c r="V26" i="26"/>
  <c r="U26" i="26"/>
  <c r="AJ25" i="26"/>
  <c r="Y25" i="26" s="1"/>
  <c r="AH25" i="26"/>
  <c r="X25" i="26" s="1"/>
  <c r="AF25" i="26"/>
  <c r="W25" i="26" s="1"/>
  <c r="AD25" i="26"/>
  <c r="V25" i="26"/>
  <c r="U25" i="26"/>
  <c r="AJ24" i="26"/>
  <c r="Y24" i="26" s="1"/>
  <c r="AH24" i="26"/>
  <c r="X24" i="26" s="1"/>
  <c r="AF24" i="26"/>
  <c r="AD24" i="26"/>
  <c r="W24" i="26"/>
  <c r="V24" i="26"/>
  <c r="U24" i="26"/>
  <c r="AJ23" i="26"/>
  <c r="Y23" i="26" s="1"/>
  <c r="AH23" i="26"/>
  <c r="X23" i="26" s="1"/>
  <c r="AF23" i="26"/>
  <c r="W23" i="26" s="1"/>
  <c r="AD23" i="26"/>
  <c r="V23" i="26" s="1"/>
  <c r="U23" i="26"/>
  <c r="AJ22" i="26"/>
  <c r="AH22" i="26"/>
  <c r="AF22" i="26"/>
  <c r="W22" i="26" s="1"/>
  <c r="AD22" i="26"/>
  <c r="V22" i="26" s="1"/>
  <c r="Y22" i="26"/>
  <c r="X22" i="26"/>
  <c r="U22" i="26"/>
  <c r="AJ21" i="26"/>
  <c r="Y21" i="26" s="1"/>
  <c r="AH21" i="26"/>
  <c r="X21" i="26" s="1"/>
  <c r="AF21" i="26"/>
  <c r="AD21" i="26"/>
  <c r="W21" i="26"/>
  <c r="V21" i="26"/>
  <c r="U21" i="26"/>
  <c r="AJ20" i="26"/>
  <c r="Y20" i="26" s="1"/>
  <c r="AH20" i="26"/>
  <c r="X20" i="26" s="1"/>
  <c r="AF20" i="26"/>
  <c r="W20" i="26" s="1"/>
  <c r="AD20" i="26"/>
  <c r="V20" i="26"/>
  <c r="U20" i="26"/>
  <c r="AJ19" i="26"/>
  <c r="AH19" i="26"/>
  <c r="AF19" i="26"/>
  <c r="W19" i="26" s="1"/>
  <c r="AD19" i="26"/>
  <c r="V19" i="26" s="1"/>
  <c r="Y19" i="26"/>
  <c r="X19" i="26"/>
  <c r="U19" i="26"/>
  <c r="AJ18" i="26"/>
  <c r="Y18" i="26" s="1"/>
  <c r="AH18" i="26"/>
  <c r="X18" i="26" s="1"/>
  <c r="AF18" i="26"/>
  <c r="W18" i="26" s="1"/>
  <c r="AD18" i="26"/>
  <c r="V18" i="26" s="1"/>
  <c r="U18" i="26"/>
  <c r="AJ17" i="26"/>
  <c r="AH17" i="26"/>
  <c r="AF17" i="26"/>
  <c r="W17" i="26" s="1"/>
  <c r="AD17" i="26"/>
  <c r="V17" i="26" s="1"/>
  <c r="Y17" i="26"/>
  <c r="X17" i="26"/>
  <c r="U17" i="26"/>
  <c r="AJ16" i="26"/>
  <c r="Y16" i="26" s="1"/>
  <c r="AH16" i="26"/>
  <c r="X16" i="26" s="1"/>
  <c r="AF16" i="26"/>
  <c r="W16" i="26" s="1"/>
  <c r="AD16" i="26"/>
  <c r="V16" i="26"/>
  <c r="U16" i="26"/>
  <c r="AJ15" i="26"/>
  <c r="Y15" i="26" s="1"/>
  <c r="AH15" i="26"/>
  <c r="X15" i="26" s="1"/>
  <c r="AF15" i="26"/>
  <c r="W15" i="26" s="1"/>
  <c r="AD15" i="26"/>
  <c r="V15" i="26" s="1"/>
  <c r="U15" i="26"/>
  <c r="AJ14" i="26"/>
  <c r="AH14" i="26"/>
  <c r="X14" i="26" s="1"/>
  <c r="AF14" i="26"/>
  <c r="W14" i="26" s="1"/>
  <c r="AD14" i="26"/>
  <c r="Y14" i="26"/>
  <c r="V14" i="26"/>
  <c r="U14" i="26"/>
  <c r="AJ13" i="26"/>
  <c r="Y13" i="26" s="1"/>
  <c r="AH13" i="26"/>
  <c r="X13" i="26" s="1"/>
  <c r="AF13" i="26"/>
  <c r="W13" i="26" s="1"/>
  <c r="AD13" i="26"/>
  <c r="V13" i="26"/>
  <c r="U13" i="26"/>
  <c r="AJ12" i="26"/>
  <c r="Y12" i="26" s="1"/>
  <c r="AH12" i="26"/>
  <c r="X12" i="26" s="1"/>
  <c r="AF12" i="26"/>
  <c r="AD12" i="26"/>
  <c r="W12" i="26"/>
  <c r="V12" i="26"/>
  <c r="U12" i="26"/>
  <c r="N139" i="4"/>
  <c r="V52" i="26" l="1"/>
  <c r="V74" i="26"/>
  <c r="V59" i="26"/>
  <c r="V47" i="26"/>
  <c r="V73" i="26"/>
  <c r="V64" i="26"/>
  <c r="V58" i="26"/>
  <c r="V81" i="26"/>
  <c r="V62" i="26"/>
  <c r="V54" i="26"/>
  <c r="V57" i="26"/>
  <c r="V44" i="26"/>
  <c r="V71" i="26"/>
  <c r="V63" i="26"/>
  <c r="V56" i="26"/>
  <c r="V70" i="26"/>
  <c r="V61" i="26"/>
  <c r="V69" i="26"/>
  <c r="V76" i="26"/>
  <c r="V78" i="26"/>
  <c r="V68" i="26"/>
  <c r="V51" i="26"/>
  <c r="V50" i="26"/>
  <c r="Y59" i="26"/>
  <c r="Y66" i="26"/>
  <c r="Y77" i="26"/>
  <c r="X60" i="26"/>
  <c r="X49" i="26"/>
  <c r="X59" i="26"/>
  <c r="X66" i="26"/>
  <c r="X53" i="26"/>
  <c r="Y60" i="26"/>
  <c r="X80" i="26"/>
  <c r="Y53" i="26"/>
  <c r="Y80" i="26"/>
  <c r="Y42" i="26"/>
  <c r="Y63" i="26"/>
  <c r="X73" i="26"/>
  <c r="X56" i="26"/>
  <c r="X46" i="26"/>
  <c r="Y73" i="26"/>
  <c r="X70" i="26"/>
  <c r="Y56" i="26"/>
  <c r="C123" i="27"/>
  <c r="C194" i="27" s="1"/>
  <c r="C261" i="27" s="1"/>
  <c r="A194" i="27"/>
  <c r="I123" i="27"/>
  <c r="I194" i="27" s="1"/>
  <c r="I261" i="27" s="1"/>
  <c r="H123" i="27"/>
  <c r="H194" i="27" s="1"/>
  <c r="H261" i="27" s="1"/>
  <c r="G123" i="27"/>
  <c r="G194" i="27" s="1"/>
  <c r="G261" i="27" s="1"/>
  <c r="F123" i="27"/>
  <c r="F194" i="27" s="1"/>
  <c r="F261" i="27" s="1"/>
  <c r="E123" i="27"/>
  <c r="E194" i="27" s="1"/>
  <c r="E261" i="27" s="1"/>
  <c r="D123" i="27"/>
  <c r="D194" i="27" s="1"/>
  <c r="D261" i="27" s="1"/>
  <c r="B194" i="27"/>
  <c r="B261" i="27" s="1"/>
  <c r="A124" i="27"/>
  <c r="W70" i="26"/>
  <c r="W72" i="26"/>
  <c r="W60" i="26"/>
  <c r="W48" i="26"/>
  <c r="W79" i="26"/>
  <c r="W67" i="26"/>
  <c r="W55" i="26"/>
  <c r="W43" i="26"/>
  <c r="W74" i="26"/>
  <c r="W62" i="26"/>
  <c r="W50" i="26"/>
  <c r="W81" i="26"/>
  <c r="W77" i="26"/>
  <c r="W73" i="26"/>
  <c r="W69" i="26"/>
  <c r="W59" i="26"/>
  <c r="W56" i="26"/>
  <c r="W53" i="26"/>
  <c r="W76" i="26"/>
  <c r="W52" i="26"/>
  <c r="W49" i="26"/>
  <c r="W46" i="26"/>
  <c r="W80" i="26"/>
  <c r="W65" i="26"/>
  <c r="W45" i="26"/>
  <c r="W42" i="26"/>
  <c r="W68" i="26"/>
  <c r="W64" i="26"/>
  <c r="W61" i="26"/>
  <c r="W58" i="26"/>
  <c r="W75" i="26"/>
  <c r="W71" i="26"/>
  <c r="W57" i="26"/>
  <c r="W54" i="26"/>
  <c r="W51" i="26"/>
  <c r="W78" i="26"/>
  <c r="W47" i="26"/>
  <c r="W44" i="26"/>
  <c r="W66" i="26"/>
  <c r="X77" i="26"/>
  <c r="X65" i="26"/>
  <c r="X79" i="26"/>
  <c r="X67" i="26"/>
  <c r="X55" i="26"/>
  <c r="X43" i="26"/>
  <c r="X74" i="26"/>
  <c r="X62" i="26"/>
  <c r="X50" i="26"/>
  <c r="X81" i="26"/>
  <c r="X69" i="26"/>
  <c r="X57" i="26"/>
  <c r="X45" i="26"/>
  <c r="X76" i="26"/>
  <c r="X44" i="26"/>
  <c r="X47" i="26"/>
  <c r="Y72" i="26"/>
  <c r="Y74" i="26"/>
  <c r="Y62" i="26"/>
  <c r="Y50" i="26"/>
  <c r="Y81" i="26"/>
  <c r="Y69" i="26"/>
  <c r="Y57" i="26"/>
  <c r="Y45" i="26"/>
  <c r="Y76" i="26"/>
  <c r="Y64" i="26"/>
  <c r="Y52" i="26"/>
  <c r="Y44" i="26"/>
  <c r="Y47" i="26"/>
  <c r="Y67" i="26"/>
  <c r="X78" i="26"/>
  <c r="X48" i="26"/>
  <c r="X51" i="26"/>
  <c r="X54" i="26"/>
  <c r="Y78" i="26"/>
  <c r="V42" i="26"/>
  <c r="V45" i="26"/>
  <c r="Y48" i="26"/>
  <c r="Y51" i="26"/>
  <c r="Y54" i="26"/>
  <c r="X71" i="26"/>
  <c r="X75" i="26"/>
  <c r="Y79" i="26"/>
  <c r="X58" i="26"/>
  <c r="X61" i="26"/>
  <c r="X64" i="26"/>
  <c r="X68" i="26"/>
  <c r="Y71" i="26"/>
  <c r="Y75" i="26"/>
  <c r="V80" i="26"/>
  <c r="X42" i="26"/>
  <c r="V46" i="26"/>
  <c r="V49" i="26"/>
  <c r="Y55" i="26"/>
  <c r="Y58" i="26"/>
  <c r="Y61" i="26"/>
  <c r="Y68" i="26"/>
  <c r="X72" i="26"/>
  <c r="X52" i="26"/>
  <c r="V75" i="26"/>
  <c r="V77" i="26"/>
  <c r="V65" i="26"/>
  <c r="V53" i="26"/>
  <c r="V72" i="26"/>
  <c r="V60" i="26"/>
  <c r="V48" i="26"/>
  <c r="V79" i="26"/>
  <c r="V67" i="26"/>
  <c r="V55" i="26"/>
  <c r="V43" i="26"/>
  <c r="Y43" i="26"/>
  <c r="Y46" i="26"/>
  <c r="Y49" i="26"/>
  <c r="V66" i="26"/>
  <c r="A125" i="27" l="1"/>
  <c r="B124" i="27"/>
  <c r="A195" i="27"/>
  <c r="J124" i="27" l="1"/>
  <c r="J195" i="27" s="1"/>
  <c r="J262" i="27" s="1"/>
  <c r="I124" i="27"/>
  <c r="I195" i="27" s="1"/>
  <c r="I262" i="27" s="1"/>
  <c r="H124" i="27"/>
  <c r="H195" i="27" s="1"/>
  <c r="H262" i="27" s="1"/>
  <c r="G124" i="27"/>
  <c r="G195" i="27" s="1"/>
  <c r="G262" i="27" s="1"/>
  <c r="B195" i="27"/>
  <c r="B262" i="27" s="1"/>
  <c r="F124" i="27"/>
  <c r="F195" i="27" s="1"/>
  <c r="F262" i="27" s="1"/>
  <c r="D124" i="27"/>
  <c r="D195" i="27" s="1"/>
  <c r="D262" i="27" s="1"/>
  <c r="C124" i="27"/>
  <c r="C195" i="27" s="1"/>
  <c r="C262" i="27" s="1"/>
  <c r="E124" i="27"/>
  <c r="E195" i="27" s="1"/>
  <c r="E262" i="27" s="1"/>
  <c r="A196" i="27"/>
  <c r="A126" i="27"/>
  <c r="B125" i="27"/>
  <c r="B196" i="27" l="1"/>
  <c r="B263" i="27" s="1"/>
  <c r="J125" i="27"/>
  <c r="J196" i="27" s="1"/>
  <c r="J263" i="27" s="1"/>
  <c r="I125" i="27"/>
  <c r="I196" i="27" s="1"/>
  <c r="I263" i="27" s="1"/>
  <c r="H125" i="27"/>
  <c r="H196" i="27" s="1"/>
  <c r="H263" i="27" s="1"/>
  <c r="F125" i="27"/>
  <c r="F196" i="27" s="1"/>
  <c r="F263" i="27" s="1"/>
  <c r="D125" i="27"/>
  <c r="D196" i="27" s="1"/>
  <c r="D263" i="27" s="1"/>
  <c r="C125" i="27"/>
  <c r="C196" i="27" s="1"/>
  <c r="C263" i="27" s="1"/>
  <c r="G125" i="27"/>
  <c r="G196" i="27" s="1"/>
  <c r="G263" i="27" s="1"/>
  <c r="E125" i="27"/>
  <c r="E196" i="27" s="1"/>
  <c r="E263" i="27" s="1"/>
  <c r="A197" i="27"/>
  <c r="B126" i="27"/>
  <c r="A127" i="27"/>
  <c r="B127" i="27" l="1"/>
  <c r="A198" i="27"/>
  <c r="A128" i="27"/>
  <c r="B197" i="27"/>
  <c r="B264" i="27" s="1"/>
  <c r="C126" i="27"/>
  <c r="C197" i="27" s="1"/>
  <c r="C264" i="27" s="1"/>
  <c r="J126" i="27"/>
  <c r="J197" i="27" s="1"/>
  <c r="J264" i="27" s="1"/>
  <c r="H126" i="27"/>
  <c r="H197" i="27" s="1"/>
  <c r="H264" i="27" s="1"/>
  <c r="F126" i="27"/>
  <c r="F197" i="27" s="1"/>
  <c r="F264" i="27" s="1"/>
  <c r="D126" i="27"/>
  <c r="D197" i="27" s="1"/>
  <c r="D264" i="27" s="1"/>
  <c r="I126" i="27"/>
  <c r="I197" i="27" s="1"/>
  <c r="I264" i="27" s="1"/>
  <c r="E126" i="27"/>
  <c r="E197" i="27" s="1"/>
  <c r="E264" i="27" s="1"/>
  <c r="G126" i="27"/>
  <c r="G197" i="27" s="1"/>
  <c r="G264" i="27" s="1"/>
  <c r="A199" i="27" l="1"/>
  <c r="B128" i="27"/>
  <c r="A129" i="27"/>
  <c r="B198" i="27"/>
  <c r="B265" i="27" s="1"/>
  <c r="E127" i="27"/>
  <c r="E198" i="27" s="1"/>
  <c r="E265" i="27" s="1"/>
  <c r="D127" i="27"/>
  <c r="D198" i="27" s="1"/>
  <c r="D265" i="27" s="1"/>
  <c r="C127" i="27"/>
  <c r="C198" i="27" s="1"/>
  <c r="C265" i="27" s="1"/>
  <c r="J127" i="27"/>
  <c r="J198" i="27" s="1"/>
  <c r="J265" i="27" s="1"/>
  <c r="H127" i="27"/>
  <c r="H198" i="27" s="1"/>
  <c r="H265" i="27" s="1"/>
  <c r="I127" i="27"/>
  <c r="I198" i="27" s="1"/>
  <c r="I265" i="27" s="1"/>
  <c r="F127" i="27"/>
  <c r="F198" i="27" s="1"/>
  <c r="F265" i="27" s="1"/>
  <c r="G127" i="27"/>
  <c r="G198" i="27" s="1"/>
  <c r="G265" i="27" s="1"/>
  <c r="A200" i="27" l="1"/>
  <c r="B129" i="27"/>
  <c r="A130" i="27"/>
  <c r="G128" i="27"/>
  <c r="G199" i="27" s="1"/>
  <c r="G266" i="27" s="1"/>
  <c r="F128" i="27"/>
  <c r="F199" i="27" s="1"/>
  <c r="F266" i="27" s="1"/>
  <c r="E128" i="27"/>
  <c r="E199" i="27" s="1"/>
  <c r="E266" i="27" s="1"/>
  <c r="D128" i="27"/>
  <c r="D199" i="27" s="1"/>
  <c r="D266" i="27" s="1"/>
  <c r="B199" i="27"/>
  <c r="B266" i="27" s="1"/>
  <c r="C128" i="27"/>
  <c r="C199" i="27" s="1"/>
  <c r="C266" i="27" s="1"/>
  <c r="J128" i="27"/>
  <c r="J199" i="27" s="1"/>
  <c r="J266" i="27" s="1"/>
  <c r="I128" i="27"/>
  <c r="I199" i="27" s="1"/>
  <c r="I266" i="27" s="1"/>
  <c r="H128" i="27"/>
  <c r="H199" i="27" s="1"/>
  <c r="H266" i="27" s="1"/>
  <c r="A131" i="27" l="1"/>
  <c r="A201" i="27"/>
  <c r="B130" i="27"/>
  <c r="I129" i="27"/>
  <c r="I200" i="27" s="1"/>
  <c r="I267" i="27" s="1"/>
  <c r="H129" i="27"/>
  <c r="H200" i="27" s="1"/>
  <c r="H267" i="27" s="1"/>
  <c r="G129" i="27"/>
  <c r="G200" i="27" s="1"/>
  <c r="G267" i="27" s="1"/>
  <c r="F129" i="27"/>
  <c r="F200" i="27" s="1"/>
  <c r="F267" i="27" s="1"/>
  <c r="E129" i="27"/>
  <c r="E200" i="27" s="1"/>
  <c r="E267" i="27" s="1"/>
  <c r="D129" i="27"/>
  <c r="D200" i="27" s="1"/>
  <c r="D267" i="27" s="1"/>
  <c r="B200" i="27"/>
  <c r="B267" i="27" s="1"/>
  <c r="J129" i="27"/>
  <c r="J200" i="27" s="1"/>
  <c r="J267" i="27" s="1"/>
  <c r="C129" i="27"/>
  <c r="C200" i="27" s="1"/>
  <c r="C267" i="27" s="1"/>
  <c r="J130" i="27" l="1"/>
  <c r="J201" i="27" s="1"/>
  <c r="J268" i="27" s="1"/>
  <c r="I130" i="27"/>
  <c r="I201" i="27" s="1"/>
  <c r="I268" i="27" s="1"/>
  <c r="H130" i="27"/>
  <c r="H201" i="27" s="1"/>
  <c r="H268" i="27" s="1"/>
  <c r="G130" i="27"/>
  <c r="G201" i="27" s="1"/>
  <c r="G268" i="27" s="1"/>
  <c r="F130" i="27"/>
  <c r="F201" i="27" s="1"/>
  <c r="F268" i="27" s="1"/>
  <c r="D130" i="27"/>
  <c r="D201" i="27" s="1"/>
  <c r="D268" i="27" s="1"/>
  <c r="B201" i="27"/>
  <c r="B268" i="27" s="1"/>
  <c r="E130" i="27"/>
  <c r="E201" i="27" s="1"/>
  <c r="E268" i="27" s="1"/>
  <c r="C130" i="27"/>
  <c r="C201" i="27" s="1"/>
  <c r="C268" i="27" s="1"/>
  <c r="A202" i="27"/>
  <c r="A132" i="27"/>
  <c r="B131" i="27"/>
  <c r="B202" i="27" l="1"/>
  <c r="B269" i="27" s="1"/>
  <c r="J131" i="27"/>
  <c r="J202" i="27" s="1"/>
  <c r="J269" i="27" s="1"/>
  <c r="I131" i="27"/>
  <c r="I202" i="27" s="1"/>
  <c r="I269" i="27" s="1"/>
  <c r="H131" i="27"/>
  <c r="H202" i="27" s="1"/>
  <c r="H269" i="27" s="1"/>
  <c r="F131" i="27"/>
  <c r="F202" i="27" s="1"/>
  <c r="F269" i="27" s="1"/>
  <c r="D131" i="27"/>
  <c r="D202" i="27" s="1"/>
  <c r="D269" i="27" s="1"/>
  <c r="E131" i="27"/>
  <c r="E202" i="27" s="1"/>
  <c r="E269" i="27" s="1"/>
  <c r="C131" i="27"/>
  <c r="C202" i="27" s="1"/>
  <c r="C269" i="27" s="1"/>
  <c r="G131" i="27"/>
  <c r="G202" i="27" s="1"/>
  <c r="G269" i="27" s="1"/>
  <c r="A203" i="27"/>
  <c r="B132" i="27"/>
  <c r="A133" i="27"/>
  <c r="B133" i="27" l="1"/>
  <c r="A204" i="27"/>
  <c r="A134" i="27"/>
  <c r="B203" i="27"/>
  <c r="B270" i="27" s="1"/>
  <c r="C132" i="27"/>
  <c r="C203" i="27" s="1"/>
  <c r="C270" i="27" s="1"/>
  <c r="J132" i="27"/>
  <c r="J203" i="27" s="1"/>
  <c r="J270" i="27" s="1"/>
  <c r="H132" i="27"/>
  <c r="H203" i="27" s="1"/>
  <c r="H270" i="27" s="1"/>
  <c r="F132" i="27"/>
  <c r="F203" i="27" s="1"/>
  <c r="F270" i="27" s="1"/>
  <c r="E132" i="27"/>
  <c r="E203" i="27" s="1"/>
  <c r="E270" i="27" s="1"/>
  <c r="I132" i="27"/>
  <c r="I203" i="27" s="1"/>
  <c r="I270" i="27" s="1"/>
  <c r="G132" i="27"/>
  <c r="G203" i="27" s="1"/>
  <c r="G270" i="27" s="1"/>
  <c r="D132" i="27"/>
  <c r="D203" i="27" s="1"/>
  <c r="D270" i="27" s="1"/>
  <c r="B134" i="27" l="1"/>
  <c r="A135" i="27"/>
  <c r="A205" i="27"/>
  <c r="B204" i="27"/>
  <c r="B271" i="27" s="1"/>
  <c r="E133" i="27"/>
  <c r="E204" i="27" s="1"/>
  <c r="E271" i="27" s="1"/>
  <c r="D133" i="27"/>
  <c r="D204" i="27" s="1"/>
  <c r="D271" i="27" s="1"/>
  <c r="C133" i="27"/>
  <c r="C204" i="27" s="1"/>
  <c r="C271" i="27" s="1"/>
  <c r="J133" i="27"/>
  <c r="J204" i="27" s="1"/>
  <c r="J271" i="27" s="1"/>
  <c r="H133" i="27"/>
  <c r="H204" i="27" s="1"/>
  <c r="H271" i="27" s="1"/>
  <c r="G133" i="27"/>
  <c r="G204" i="27" s="1"/>
  <c r="G271" i="27" s="1"/>
  <c r="I133" i="27"/>
  <c r="I204" i="27" s="1"/>
  <c r="I271" i="27" s="1"/>
  <c r="F133" i="27"/>
  <c r="F204" i="27" s="1"/>
  <c r="F271" i="27" s="1"/>
  <c r="A206" i="27" l="1"/>
  <c r="B135" i="27"/>
  <c r="A136" i="27"/>
  <c r="G134" i="27"/>
  <c r="G205" i="27" s="1"/>
  <c r="G272" i="27" s="1"/>
  <c r="F134" i="27"/>
  <c r="F205" i="27" s="1"/>
  <c r="F272" i="27" s="1"/>
  <c r="E134" i="27"/>
  <c r="E205" i="27" s="1"/>
  <c r="E272" i="27" s="1"/>
  <c r="D134" i="27"/>
  <c r="D205" i="27" s="1"/>
  <c r="D272" i="27" s="1"/>
  <c r="C134" i="27"/>
  <c r="C205" i="27" s="1"/>
  <c r="C272" i="27" s="1"/>
  <c r="B205" i="27"/>
  <c r="B272" i="27" s="1"/>
  <c r="J134" i="27"/>
  <c r="J205" i="27" s="1"/>
  <c r="J272" i="27" s="1"/>
  <c r="I134" i="27"/>
  <c r="I205" i="27" s="1"/>
  <c r="I272" i="27" s="1"/>
  <c r="H134" i="27"/>
  <c r="H205" i="27" s="1"/>
  <c r="H272" i="27" s="1"/>
  <c r="A137" i="27" l="1"/>
  <c r="B136" i="27"/>
  <c r="A207" i="27"/>
  <c r="B206" i="27"/>
  <c r="B273" i="27" s="1"/>
  <c r="I135" i="27"/>
  <c r="I206" i="27" s="1"/>
  <c r="I273" i="27" s="1"/>
  <c r="H135" i="27"/>
  <c r="H206" i="27" s="1"/>
  <c r="H273" i="27" s="1"/>
  <c r="G135" i="27"/>
  <c r="G206" i="27" s="1"/>
  <c r="G273" i="27" s="1"/>
  <c r="F135" i="27"/>
  <c r="F206" i="27" s="1"/>
  <c r="F273" i="27" s="1"/>
  <c r="E135" i="27"/>
  <c r="E206" i="27" s="1"/>
  <c r="E273" i="27" s="1"/>
  <c r="D135" i="27"/>
  <c r="D206" i="27" s="1"/>
  <c r="D273" i="27" s="1"/>
  <c r="J135" i="27"/>
  <c r="J206" i="27" s="1"/>
  <c r="J273" i="27" s="1"/>
  <c r="C135" i="27"/>
  <c r="C206" i="27" s="1"/>
  <c r="C273" i="27" s="1"/>
  <c r="J136" i="27" l="1"/>
  <c r="J207" i="27" s="1"/>
  <c r="J274" i="27" s="1"/>
  <c r="I136" i="27"/>
  <c r="I207" i="27" s="1"/>
  <c r="I274" i="27" s="1"/>
  <c r="H136" i="27"/>
  <c r="H207" i="27" s="1"/>
  <c r="H274" i="27" s="1"/>
  <c r="G136" i="27"/>
  <c r="G207" i="27" s="1"/>
  <c r="G274" i="27" s="1"/>
  <c r="F136" i="27"/>
  <c r="F207" i="27" s="1"/>
  <c r="F274" i="27" s="1"/>
  <c r="B207" i="27"/>
  <c r="B274" i="27" s="1"/>
  <c r="D136" i="27"/>
  <c r="D207" i="27" s="1"/>
  <c r="D274" i="27" s="1"/>
  <c r="E136" i="27"/>
  <c r="E207" i="27" s="1"/>
  <c r="E274" i="27" s="1"/>
  <c r="C136" i="27"/>
  <c r="C207" i="27" s="1"/>
  <c r="C274" i="27" s="1"/>
  <c r="A208" i="27"/>
  <c r="A138" i="27"/>
  <c r="B137" i="27"/>
  <c r="A209" i="27" l="1"/>
  <c r="B138" i="27"/>
  <c r="A139" i="27"/>
  <c r="B208" i="27"/>
  <c r="B275" i="27" s="1"/>
  <c r="J137" i="27"/>
  <c r="J208" i="27" s="1"/>
  <c r="J275" i="27" s="1"/>
  <c r="I137" i="27"/>
  <c r="I208" i="27" s="1"/>
  <c r="I275" i="27" s="1"/>
  <c r="H137" i="27"/>
  <c r="H208" i="27" s="1"/>
  <c r="H275" i="27" s="1"/>
  <c r="F137" i="27"/>
  <c r="F208" i="27" s="1"/>
  <c r="F275" i="27" s="1"/>
  <c r="D137" i="27"/>
  <c r="D208" i="27" s="1"/>
  <c r="D275" i="27" s="1"/>
  <c r="C137" i="27"/>
  <c r="C208" i="27" s="1"/>
  <c r="C275" i="27" s="1"/>
  <c r="G137" i="27"/>
  <c r="G208" i="27" s="1"/>
  <c r="G275" i="27" s="1"/>
  <c r="E137" i="27"/>
  <c r="E208" i="27" s="1"/>
  <c r="E275" i="27" s="1"/>
  <c r="A210" i="27" l="1"/>
  <c r="B139" i="27"/>
  <c r="A140" i="27"/>
  <c r="B209" i="27"/>
  <c r="B276" i="27" s="1"/>
  <c r="C138" i="27"/>
  <c r="C209" i="27" s="1"/>
  <c r="C276" i="27" s="1"/>
  <c r="J138" i="27"/>
  <c r="J209" i="27" s="1"/>
  <c r="J276" i="27" s="1"/>
  <c r="H138" i="27"/>
  <c r="H209" i="27" s="1"/>
  <c r="H276" i="27" s="1"/>
  <c r="F138" i="27"/>
  <c r="F209" i="27" s="1"/>
  <c r="F276" i="27" s="1"/>
  <c r="G138" i="27"/>
  <c r="G209" i="27" s="1"/>
  <c r="G276" i="27" s="1"/>
  <c r="E138" i="27"/>
  <c r="E209" i="27" s="1"/>
  <c r="E276" i="27" s="1"/>
  <c r="D138" i="27"/>
  <c r="D209" i="27" s="1"/>
  <c r="D276" i="27" s="1"/>
  <c r="I138" i="27"/>
  <c r="I209" i="27" s="1"/>
  <c r="I276" i="27" s="1"/>
  <c r="B140" i="27" l="1"/>
  <c r="A141" i="27"/>
  <c r="A211" i="27"/>
  <c r="B210" i="27"/>
  <c r="B277" i="27" s="1"/>
  <c r="E139" i="27"/>
  <c r="E210" i="27" s="1"/>
  <c r="E277" i="27" s="1"/>
  <c r="D139" i="27"/>
  <c r="D210" i="27" s="1"/>
  <c r="D277" i="27" s="1"/>
  <c r="C139" i="27"/>
  <c r="C210" i="27" s="1"/>
  <c r="C277" i="27" s="1"/>
  <c r="J139" i="27"/>
  <c r="J210" i="27" s="1"/>
  <c r="J277" i="27" s="1"/>
  <c r="H139" i="27"/>
  <c r="H210" i="27" s="1"/>
  <c r="H277" i="27" s="1"/>
  <c r="G139" i="27"/>
  <c r="G210" i="27" s="1"/>
  <c r="G277" i="27" s="1"/>
  <c r="I139" i="27"/>
  <c r="I210" i="27" s="1"/>
  <c r="I277" i="27" s="1"/>
  <c r="F139" i="27"/>
  <c r="F210" i="27" s="1"/>
  <c r="F277" i="27" s="1"/>
  <c r="B141" i="27" l="1"/>
  <c r="A142" i="27"/>
  <c r="A212" i="27"/>
  <c r="G140" i="27"/>
  <c r="G211" i="27" s="1"/>
  <c r="G278" i="27" s="1"/>
  <c r="F140" i="27"/>
  <c r="F211" i="27" s="1"/>
  <c r="F278" i="27" s="1"/>
  <c r="E140" i="27"/>
  <c r="E211" i="27" s="1"/>
  <c r="E278" i="27" s="1"/>
  <c r="D140" i="27"/>
  <c r="D211" i="27" s="1"/>
  <c r="D278" i="27" s="1"/>
  <c r="C140" i="27"/>
  <c r="C211" i="27" s="1"/>
  <c r="C278" i="27" s="1"/>
  <c r="B211" i="27"/>
  <c r="B278" i="27" s="1"/>
  <c r="J140" i="27"/>
  <c r="J211" i="27" s="1"/>
  <c r="J278" i="27" s="1"/>
  <c r="H140" i="27"/>
  <c r="H211" i="27" s="1"/>
  <c r="H278" i="27" s="1"/>
  <c r="I140" i="27"/>
  <c r="I211" i="27" s="1"/>
  <c r="I278" i="27" s="1"/>
  <c r="A143" i="27" l="1"/>
  <c r="A213" i="27"/>
  <c r="B142" i="27"/>
  <c r="I141" i="27"/>
  <c r="I212" i="27" s="1"/>
  <c r="I279" i="27" s="1"/>
  <c r="H141" i="27"/>
  <c r="H212" i="27" s="1"/>
  <c r="H279" i="27" s="1"/>
  <c r="G141" i="27"/>
  <c r="G212" i="27" s="1"/>
  <c r="G279" i="27" s="1"/>
  <c r="F141" i="27"/>
  <c r="F212" i="27" s="1"/>
  <c r="F279" i="27" s="1"/>
  <c r="E141" i="27"/>
  <c r="E212" i="27" s="1"/>
  <c r="E279" i="27" s="1"/>
  <c r="B212" i="27"/>
  <c r="B279" i="27" s="1"/>
  <c r="D141" i="27"/>
  <c r="D212" i="27" s="1"/>
  <c r="D279" i="27" s="1"/>
  <c r="J141" i="27"/>
  <c r="J212" i="27" s="1"/>
  <c r="J279" i="27" s="1"/>
  <c r="C141" i="27"/>
  <c r="C212" i="27" s="1"/>
  <c r="C279" i="27" s="1"/>
  <c r="B213" i="27" l="1"/>
  <c r="B280" i="27" s="1"/>
  <c r="J142" i="27"/>
  <c r="J213" i="27" s="1"/>
  <c r="J280" i="27" s="1"/>
  <c r="I142" i="27"/>
  <c r="I213" i="27" s="1"/>
  <c r="I280" i="27" s="1"/>
  <c r="H142" i="27"/>
  <c r="H213" i="27" s="1"/>
  <c r="H280" i="27" s="1"/>
  <c r="G142" i="27"/>
  <c r="G213" i="27" s="1"/>
  <c r="G280" i="27" s="1"/>
  <c r="F142" i="27"/>
  <c r="F213" i="27" s="1"/>
  <c r="F280" i="27" s="1"/>
  <c r="D142" i="27"/>
  <c r="D213" i="27" s="1"/>
  <c r="D280" i="27" s="1"/>
  <c r="C142" i="27"/>
  <c r="C213" i="27" s="1"/>
  <c r="C280" i="27" s="1"/>
  <c r="E142" i="27"/>
  <c r="E213" i="27" s="1"/>
  <c r="E280" i="27" s="1"/>
  <c r="A214" i="27"/>
  <c r="A144" i="27"/>
  <c r="B143" i="27"/>
  <c r="B214" i="27" l="1"/>
  <c r="B281" i="27" s="1"/>
  <c r="J143" i="27"/>
  <c r="J214" i="27" s="1"/>
  <c r="J281" i="27" s="1"/>
  <c r="I143" i="27"/>
  <c r="I214" i="27" s="1"/>
  <c r="I281" i="27" s="1"/>
  <c r="H143" i="27"/>
  <c r="H214" i="27" s="1"/>
  <c r="H281" i="27" s="1"/>
  <c r="F143" i="27"/>
  <c r="F214" i="27" s="1"/>
  <c r="F281" i="27" s="1"/>
  <c r="D143" i="27"/>
  <c r="D214" i="27" s="1"/>
  <c r="D281" i="27" s="1"/>
  <c r="C143" i="27"/>
  <c r="C214" i="27" s="1"/>
  <c r="C281" i="27" s="1"/>
  <c r="G143" i="27"/>
  <c r="G214" i="27" s="1"/>
  <c r="G281" i="27" s="1"/>
  <c r="E143" i="27"/>
  <c r="E214" i="27" s="1"/>
  <c r="E281" i="27" s="1"/>
  <c r="A215" i="27"/>
  <c r="B144" i="27"/>
  <c r="A145" i="27"/>
  <c r="A216" i="27" l="1"/>
  <c r="B145" i="27"/>
  <c r="A146" i="27"/>
  <c r="B215" i="27"/>
  <c r="B282" i="27" s="1"/>
  <c r="C144" i="27"/>
  <c r="C215" i="27" s="1"/>
  <c r="C282" i="27" s="1"/>
  <c r="J144" i="27"/>
  <c r="J215" i="27" s="1"/>
  <c r="J282" i="27" s="1"/>
  <c r="H144" i="27"/>
  <c r="H215" i="27" s="1"/>
  <c r="H282" i="27" s="1"/>
  <c r="F144" i="27"/>
  <c r="F215" i="27" s="1"/>
  <c r="F282" i="27" s="1"/>
  <c r="E144" i="27"/>
  <c r="E215" i="27" s="1"/>
  <c r="E282" i="27" s="1"/>
  <c r="I144" i="27"/>
  <c r="I215" i="27" s="1"/>
  <c r="I282" i="27" s="1"/>
  <c r="G144" i="27"/>
  <c r="G215" i="27" s="1"/>
  <c r="G282" i="27" s="1"/>
  <c r="D144" i="27"/>
  <c r="D215" i="27" s="1"/>
  <c r="D282" i="27" s="1"/>
  <c r="A217" i="27" l="1"/>
  <c r="B146" i="27"/>
  <c r="A147" i="27"/>
  <c r="B216" i="27"/>
  <c r="B283" i="27" s="1"/>
  <c r="E145" i="27"/>
  <c r="E216" i="27" s="1"/>
  <c r="E283" i="27" s="1"/>
  <c r="D145" i="27"/>
  <c r="D216" i="27" s="1"/>
  <c r="D283" i="27" s="1"/>
  <c r="C145" i="27"/>
  <c r="C216" i="27" s="1"/>
  <c r="C283" i="27" s="1"/>
  <c r="J145" i="27"/>
  <c r="J216" i="27" s="1"/>
  <c r="J283" i="27" s="1"/>
  <c r="H145" i="27"/>
  <c r="H216" i="27" s="1"/>
  <c r="H283" i="27" s="1"/>
  <c r="I145" i="27"/>
  <c r="I216" i="27" s="1"/>
  <c r="I283" i="27" s="1"/>
  <c r="G145" i="27"/>
  <c r="G216" i="27" s="1"/>
  <c r="G283" i="27" s="1"/>
  <c r="F145" i="27"/>
  <c r="F216" i="27" s="1"/>
  <c r="F283" i="27" s="1"/>
  <c r="G146" i="27" l="1"/>
  <c r="G217" i="27" s="1"/>
  <c r="G284" i="27" s="1"/>
  <c r="F146" i="27"/>
  <c r="F217" i="27" s="1"/>
  <c r="F284" i="27" s="1"/>
  <c r="E146" i="27"/>
  <c r="E217" i="27" s="1"/>
  <c r="E284" i="27" s="1"/>
  <c r="B217" i="27"/>
  <c r="B284" i="27" s="1"/>
  <c r="D146" i="27"/>
  <c r="D217" i="27" s="1"/>
  <c r="D284" i="27" s="1"/>
  <c r="C146" i="27"/>
  <c r="C217" i="27" s="1"/>
  <c r="C284" i="27" s="1"/>
  <c r="J146" i="27"/>
  <c r="J217" i="27" s="1"/>
  <c r="J284" i="27" s="1"/>
  <c r="H146" i="27"/>
  <c r="H217" i="27" s="1"/>
  <c r="H284" i="27" s="1"/>
  <c r="I146" i="27"/>
  <c r="I217" i="27" s="1"/>
  <c r="I284" i="27" s="1"/>
  <c r="A218" i="27"/>
  <c r="B147" i="27"/>
  <c r="A148" i="27"/>
  <c r="A149" i="27" l="1"/>
  <c r="B148" i="27"/>
  <c r="A219" i="27"/>
  <c r="I147" i="27"/>
  <c r="I218" i="27" s="1"/>
  <c r="I285" i="27" s="1"/>
  <c r="H147" i="27"/>
  <c r="H218" i="27" s="1"/>
  <c r="H285" i="27" s="1"/>
  <c r="G147" i="27"/>
  <c r="G218" i="27" s="1"/>
  <c r="G285" i="27" s="1"/>
  <c r="F147" i="27"/>
  <c r="F218" i="27" s="1"/>
  <c r="F285" i="27" s="1"/>
  <c r="E147" i="27"/>
  <c r="E218" i="27" s="1"/>
  <c r="E285" i="27" s="1"/>
  <c r="D147" i="27"/>
  <c r="D218" i="27" s="1"/>
  <c r="D285" i="27" s="1"/>
  <c r="C147" i="27"/>
  <c r="C218" i="27" s="1"/>
  <c r="C285" i="27" s="1"/>
  <c r="J147" i="27"/>
  <c r="J218" i="27" s="1"/>
  <c r="J285" i="27" s="1"/>
  <c r="B218" i="27"/>
  <c r="B285" i="27" s="1"/>
  <c r="J148" i="27" l="1"/>
  <c r="J219" i="27" s="1"/>
  <c r="J286" i="27" s="1"/>
  <c r="I148" i="27"/>
  <c r="I219" i="27" s="1"/>
  <c r="I286" i="27" s="1"/>
  <c r="H148" i="27"/>
  <c r="H219" i="27" s="1"/>
  <c r="H286" i="27" s="1"/>
  <c r="G148" i="27"/>
  <c r="G219" i="27" s="1"/>
  <c r="G286" i="27" s="1"/>
  <c r="F148" i="27"/>
  <c r="F219" i="27" s="1"/>
  <c r="F286" i="27" s="1"/>
  <c r="B219" i="27"/>
  <c r="B286" i="27" s="1"/>
  <c r="D148" i="27"/>
  <c r="D219" i="27" s="1"/>
  <c r="D286" i="27" s="1"/>
  <c r="E148" i="27"/>
  <c r="E219" i="27" s="1"/>
  <c r="E286" i="27" s="1"/>
  <c r="C148" i="27"/>
  <c r="C219" i="27" s="1"/>
  <c r="C286" i="27" s="1"/>
  <c r="A220" i="27"/>
  <c r="A150" i="27"/>
  <c r="B149" i="27"/>
  <c r="A221" i="27" l="1"/>
  <c r="B150" i="27"/>
  <c r="A151" i="27"/>
  <c r="B220" i="27"/>
  <c r="B287" i="27" s="1"/>
  <c r="J149" i="27"/>
  <c r="J220" i="27" s="1"/>
  <c r="J287" i="27" s="1"/>
  <c r="I149" i="27"/>
  <c r="I220" i="27" s="1"/>
  <c r="I287" i="27" s="1"/>
  <c r="H149" i="27"/>
  <c r="H220" i="27" s="1"/>
  <c r="H287" i="27" s="1"/>
  <c r="F149" i="27"/>
  <c r="F220" i="27" s="1"/>
  <c r="F287" i="27" s="1"/>
  <c r="D149" i="27"/>
  <c r="D220" i="27" s="1"/>
  <c r="D287" i="27" s="1"/>
  <c r="E149" i="27"/>
  <c r="E220" i="27" s="1"/>
  <c r="E287" i="27" s="1"/>
  <c r="C149" i="27"/>
  <c r="C220" i="27" s="1"/>
  <c r="C287" i="27" s="1"/>
  <c r="G149" i="27"/>
  <c r="G220" i="27" s="1"/>
  <c r="G287" i="27" s="1"/>
  <c r="A222" i="27" l="1"/>
  <c r="B151" i="27"/>
  <c r="A152" i="27"/>
  <c r="B221" i="27"/>
  <c r="B288" i="27" s="1"/>
  <c r="C150" i="27"/>
  <c r="C221" i="27" s="1"/>
  <c r="C288" i="27" s="1"/>
  <c r="J150" i="27"/>
  <c r="J221" i="27" s="1"/>
  <c r="J288" i="27" s="1"/>
  <c r="H150" i="27"/>
  <c r="H221" i="27" s="1"/>
  <c r="H288" i="27" s="1"/>
  <c r="F150" i="27"/>
  <c r="F221" i="27" s="1"/>
  <c r="F288" i="27" s="1"/>
  <c r="I150" i="27"/>
  <c r="I221" i="27" s="1"/>
  <c r="I288" i="27" s="1"/>
  <c r="E150" i="27"/>
  <c r="E221" i="27" s="1"/>
  <c r="E288" i="27" s="1"/>
  <c r="G150" i="27"/>
  <c r="G221" i="27" s="1"/>
  <c r="G288" i="27" s="1"/>
  <c r="D150" i="27"/>
  <c r="D221" i="27" s="1"/>
  <c r="D288" i="27" s="1"/>
  <c r="B222" i="27" l="1"/>
  <c r="B289" i="27" s="1"/>
  <c r="E151" i="27"/>
  <c r="E222" i="27" s="1"/>
  <c r="E289" i="27" s="1"/>
  <c r="D151" i="27"/>
  <c r="D222" i="27" s="1"/>
  <c r="D289" i="27" s="1"/>
  <c r="C151" i="27"/>
  <c r="C222" i="27" s="1"/>
  <c r="C289" i="27" s="1"/>
  <c r="J151" i="27"/>
  <c r="J222" i="27" s="1"/>
  <c r="J289" i="27" s="1"/>
  <c r="H151" i="27"/>
  <c r="H222" i="27" s="1"/>
  <c r="H289" i="27" s="1"/>
  <c r="G151" i="27"/>
  <c r="G222" i="27" s="1"/>
  <c r="G289" i="27" s="1"/>
  <c r="I151" i="27"/>
  <c r="I222" i="27" s="1"/>
  <c r="I289" i="27" s="1"/>
  <c r="F151" i="27"/>
  <c r="F222" i="27" s="1"/>
  <c r="F289" i="27" s="1"/>
  <c r="B152" i="27"/>
  <c r="A223" i="27"/>
  <c r="A153" i="27"/>
  <c r="G152" i="27" l="1"/>
  <c r="G223" i="27" s="1"/>
  <c r="G290" i="27" s="1"/>
  <c r="F152" i="27"/>
  <c r="F223" i="27" s="1"/>
  <c r="F290" i="27" s="1"/>
  <c r="E152" i="27"/>
  <c r="E223" i="27" s="1"/>
  <c r="E290" i="27" s="1"/>
  <c r="D152" i="27"/>
  <c r="D223" i="27" s="1"/>
  <c r="D290" i="27" s="1"/>
  <c r="C152" i="27"/>
  <c r="C223" i="27" s="1"/>
  <c r="C290" i="27" s="1"/>
  <c r="B223" i="27"/>
  <c r="B290" i="27" s="1"/>
  <c r="J152" i="27"/>
  <c r="J223" i="27" s="1"/>
  <c r="J290" i="27" s="1"/>
  <c r="I152" i="27"/>
  <c r="I223" i="27" s="1"/>
  <c r="I290" i="27" s="1"/>
  <c r="H152" i="27"/>
  <c r="H223" i="27" s="1"/>
  <c r="H290" i="27" s="1"/>
  <c r="B153" i="27"/>
  <c r="A224" i="27"/>
  <c r="A154" i="27"/>
  <c r="I153" i="27" l="1"/>
  <c r="I224" i="27" s="1"/>
  <c r="I291" i="27" s="1"/>
  <c r="H153" i="27"/>
  <c r="H224" i="27" s="1"/>
  <c r="H291" i="27" s="1"/>
  <c r="G153" i="27"/>
  <c r="G224" i="27" s="1"/>
  <c r="G291" i="27" s="1"/>
  <c r="F153" i="27"/>
  <c r="F224" i="27" s="1"/>
  <c r="F291" i="27" s="1"/>
  <c r="E153" i="27"/>
  <c r="E224" i="27" s="1"/>
  <c r="E291" i="27" s="1"/>
  <c r="B224" i="27"/>
  <c r="B291" i="27" s="1"/>
  <c r="D153" i="27"/>
  <c r="D224" i="27" s="1"/>
  <c r="D291" i="27" s="1"/>
  <c r="J153" i="27"/>
  <c r="J224" i="27" s="1"/>
  <c r="J291" i="27" s="1"/>
  <c r="C153" i="27"/>
  <c r="C224" i="27" s="1"/>
  <c r="C291" i="27" s="1"/>
  <c r="A155" i="27"/>
  <c r="A225" i="27"/>
  <c r="B154" i="27"/>
  <c r="B225" i="27" l="1"/>
  <c r="B292" i="27" s="1"/>
  <c r="J154" i="27"/>
  <c r="J225" i="27" s="1"/>
  <c r="J292" i="27" s="1"/>
  <c r="I154" i="27"/>
  <c r="I225" i="27" s="1"/>
  <c r="I292" i="27" s="1"/>
  <c r="H154" i="27"/>
  <c r="H225" i="27" s="1"/>
  <c r="H292" i="27" s="1"/>
  <c r="G154" i="27"/>
  <c r="G225" i="27" s="1"/>
  <c r="G292" i="27" s="1"/>
  <c r="F154" i="27"/>
  <c r="F225" i="27" s="1"/>
  <c r="F292" i="27" s="1"/>
  <c r="D154" i="27"/>
  <c r="D225" i="27" s="1"/>
  <c r="D292" i="27" s="1"/>
  <c r="E154" i="27"/>
  <c r="E225" i="27" s="1"/>
  <c r="E292" i="27" s="1"/>
  <c r="C154" i="27"/>
  <c r="C225" i="27" s="1"/>
  <c r="C292" i="27" s="1"/>
  <c r="A226" i="27"/>
  <c r="A156" i="27"/>
  <c r="B155" i="27"/>
  <c r="B226" i="27" l="1"/>
  <c r="B293" i="27" s="1"/>
  <c r="J155" i="27"/>
  <c r="J226" i="27" s="1"/>
  <c r="J293" i="27" s="1"/>
  <c r="I155" i="27"/>
  <c r="I226" i="27" s="1"/>
  <c r="I293" i="27" s="1"/>
  <c r="H155" i="27"/>
  <c r="H226" i="27" s="1"/>
  <c r="H293" i="27" s="1"/>
  <c r="F155" i="27"/>
  <c r="F226" i="27" s="1"/>
  <c r="F293" i="27" s="1"/>
  <c r="D155" i="27"/>
  <c r="D226" i="27" s="1"/>
  <c r="D293" i="27" s="1"/>
  <c r="C155" i="27"/>
  <c r="C226" i="27" s="1"/>
  <c r="C293" i="27" s="1"/>
  <c r="G155" i="27"/>
  <c r="G226" i="27" s="1"/>
  <c r="G293" i="27" s="1"/>
  <c r="E155" i="27"/>
  <c r="E226" i="27" s="1"/>
  <c r="E293" i="27" s="1"/>
  <c r="A227" i="27"/>
  <c r="B156" i="27"/>
  <c r="A157" i="27"/>
  <c r="B227" i="27" l="1"/>
  <c r="B294" i="27" s="1"/>
  <c r="C156" i="27"/>
  <c r="C227" i="27" s="1"/>
  <c r="C294" i="27" s="1"/>
  <c r="J156" i="27"/>
  <c r="J227" i="27" s="1"/>
  <c r="J294" i="27" s="1"/>
  <c r="H156" i="27"/>
  <c r="H227" i="27" s="1"/>
  <c r="H294" i="27" s="1"/>
  <c r="F156" i="27"/>
  <c r="F227" i="27" s="1"/>
  <c r="F294" i="27" s="1"/>
  <c r="G156" i="27"/>
  <c r="G227" i="27" s="1"/>
  <c r="G294" i="27" s="1"/>
  <c r="E156" i="27"/>
  <c r="E227" i="27" s="1"/>
  <c r="E294" i="27" s="1"/>
  <c r="D156" i="27"/>
  <c r="D227" i="27" s="1"/>
  <c r="D294" i="27" s="1"/>
  <c r="I156" i="27"/>
  <c r="I227" i="27" s="1"/>
  <c r="I294" i="27" s="1"/>
  <c r="A228" i="27"/>
  <c r="B157" i="27"/>
  <c r="A158" i="27"/>
  <c r="A229" i="27" l="1"/>
  <c r="B158" i="27"/>
  <c r="A159" i="27"/>
  <c r="B228" i="27"/>
  <c r="B295" i="27" s="1"/>
  <c r="E157" i="27"/>
  <c r="E228" i="27" s="1"/>
  <c r="E295" i="27" s="1"/>
  <c r="D157" i="27"/>
  <c r="D228" i="27" s="1"/>
  <c r="D295" i="27" s="1"/>
  <c r="C157" i="27"/>
  <c r="C228" i="27" s="1"/>
  <c r="C295" i="27" s="1"/>
  <c r="J157" i="27"/>
  <c r="J228" i="27" s="1"/>
  <c r="J295" i="27" s="1"/>
  <c r="H157" i="27"/>
  <c r="H228" i="27" s="1"/>
  <c r="H295" i="27" s="1"/>
  <c r="G157" i="27"/>
  <c r="G228" i="27" s="1"/>
  <c r="G295" i="27" s="1"/>
  <c r="I157" i="27"/>
  <c r="I228" i="27" s="1"/>
  <c r="I295" i="27" s="1"/>
  <c r="F157" i="27"/>
  <c r="F228" i="27" s="1"/>
  <c r="F295" i="27" s="1"/>
  <c r="A230" i="27" l="1"/>
  <c r="B159" i="27"/>
  <c r="A160" i="27"/>
  <c r="G158" i="27"/>
  <c r="G229" i="27" s="1"/>
  <c r="G296" i="27" s="1"/>
  <c r="F158" i="27"/>
  <c r="F229" i="27" s="1"/>
  <c r="F296" i="27" s="1"/>
  <c r="E158" i="27"/>
  <c r="E229" i="27" s="1"/>
  <c r="E296" i="27" s="1"/>
  <c r="B229" i="27"/>
  <c r="B296" i="27" s="1"/>
  <c r="D158" i="27"/>
  <c r="D229" i="27" s="1"/>
  <c r="D296" i="27" s="1"/>
  <c r="C158" i="27"/>
  <c r="C229" i="27" s="1"/>
  <c r="C296" i="27" s="1"/>
  <c r="J158" i="27"/>
  <c r="J229" i="27" s="1"/>
  <c r="J296" i="27" s="1"/>
  <c r="I158" i="27"/>
  <c r="I229" i="27" s="1"/>
  <c r="I296" i="27" s="1"/>
  <c r="H158" i="27"/>
  <c r="H229" i="27" s="1"/>
  <c r="H296" i="27" s="1"/>
  <c r="A161" i="27" l="1"/>
  <c r="B160" i="27"/>
  <c r="A231" i="27"/>
  <c r="I159" i="27"/>
  <c r="I230" i="27" s="1"/>
  <c r="I297" i="27" s="1"/>
  <c r="H159" i="27"/>
  <c r="H230" i="27" s="1"/>
  <c r="H297" i="27" s="1"/>
  <c r="G159" i="27"/>
  <c r="G230" i="27" s="1"/>
  <c r="G297" i="27" s="1"/>
  <c r="F159" i="27"/>
  <c r="F230" i="27" s="1"/>
  <c r="F297" i="27" s="1"/>
  <c r="E159" i="27"/>
  <c r="E230" i="27" s="1"/>
  <c r="E297" i="27" s="1"/>
  <c r="D159" i="27"/>
  <c r="D230" i="27" s="1"/>
  <c r="D297" i="27" s="1"/>
  <c r="B230" i="27"/>
  <c r="B297" i="27" s="1"/>
  <c r="J159" i="27"/>
  <c r="J230" i="27" s="1"/>
  <c r="J297" i="27" s="1"/>
  <c r="C159" i="27"/>
  <c r="C230" i="27" s="1"/>
  <c r="C297" i="27" s="1"/>
  <c r="J160" i="27" l="1"/>
  <c r="J231" i="27" s="1"/>
  <c r="J298" i="27" s="1"/>
  <c r="I160" i="27"/>
  <c r="I231" i="27" s="1"/>
  <c r="I298" i="27" s="1"/>
  <c r="H160" i="27"/>
  <c r="H231" i="27" s="1"/>
  <c r="H298" i="27" s="1"/>
  <c r="G160" i="27"/>
  <c r="G231" i="27" s="1"/>
  <c r="G298" i="27" s="1"/>
  <c r="F160" i="27"/>
  <c r="F231" i="27" s="1"/>
  <c r="F298" i="27" s="1"/>
  <c r="B231" i="27"/>
  <c r="B298" i="27" s="1"/>
  <c r="D160" i="27"/>
  <c r="D231" i="27" s="1"/>
  <c r="D298" i="27" s="1"/>
  <c r="C160" i="27"/>
  <c r="C231" i="27" s="1"/>
  <c r="C298" i="27" s="1"/>
  <c r="E160" i="27"/>
  <c r="E231" i="27" s="1"/>
  <c r="E298" i="27" s="1"/>
  <c r="A232" i="27"/>
  <c r="A162" i="27"/>
  <c r="B161" i="27"/>
  <c r="A233" i="27" l="1"/>
  <c r="B162" i="27"/>
  <c r="A163" i="27"/>
  <c r="B232" i="27"/>
  <c r="B299" i="27" s="1"/>
  <c r="J161" i="27"/>
  <c r="J232" i="27" s="1"/>
  <c r="J299" i="27" s="1"/>
  <c r="I161" i="27"/>
  <c r="I232" i="27" s="1"/>
  <c r="I299" i="27" s="1"/>
  <c r="H161" i="27"/>
  <c r="H232" i="27" s="1"/>
  <c r="H299" i="27" s="1"/>
  <c r="F161" i="27"/>
  <c r="F232" i="27" s="1"/>
  <c r="F299" i="27" s="1"/>
  <c r="D161" i="27"/>
  <c r="D232" i="27" s="1"/>
  <c r="D299" i="27" s="1"/>
  <c r="C161" i="27"/>
  <c r="C232" i="27" s="1"/>
  <c r="C299" i="27" s="1"/>
  <c r="G161" i="27"/>
  <c r="G232" i="27" s="1"/>
  <c r="G299" i="27" s="1"/>
  <c r="E161" i="27"/>
  <c r="E232" i="27" s="1"/>
  <c r="E299" i="27" s="1"/>
  <c r="A234" i="27" l="1"/>
  <c r="B163" i="27"/>
  <c r="A164" i="27"/>
  <c r="B233" i="27"/>
  <c r="B300" i="27" s="1"/>
  <c r="C162" i="27"/>
  <c r="C233" i="27" s="1"/>
  <c r="C300" i="27" s="1"/>
  <c r="J162" i="27"/>
  <c r="J233" i="27" s="1"/>
  <c r="J300" i="27" s="1"/>
  <c r="H162" i="27"/>
  <c r="H233" i="27" s="1"/>
  <c r="H300" i="27" s="1"/>
  <c r="F162" i="27"/>
  <c r="F233" i="27" s="1"/>
  <c r="F300" i="27" s="1"/>
  <c r="E162" i="27"/>
  <c r="E233" i="27" s="1"/>
  <c r="E300" i="27" s="1"/>
  <c r="D162" i="27"/>
  <c r="D233" i="27" s="1"/>
  <c r="D300" i="27" s="1"/>
  <c r="I162" i="27"/>
  <c r="I233" i="27" s="1"/>
  <c r="I300" i="27" s="1"/>
  <c r="G162" i="27"/>
  <c r="G233" i="27" s="1"/>
  <c r="G300" i="27" s="1"/>
  <c r="B164" i="27" l="1"/>
  <c r="A235" i="27"/>
  <c r="A165" i="27"/>
  <c r="B234" i="27"/>
  <c r="B301" i="27" s="1"/>
  <c r="E163" i="27"/>
  <c r="E234" i="27" s="1"/>
  <c r="E301" i="27" s="1"/>
  <c r="D163" i="27"/>
  <c r="D234" i="27" s="1"/>
  <c r="D301" i="27" s="1"/>
  <c r="C163" i="27"/>
  <c r="C234" i="27" s="1"/>
  <c r="C301" i="27" s="1"/>
  <c r="J163" i="27"/>
  <c r="J234" i="27" s="1"/>
  <c r="J301" i="27" s="1"/>
  <c r="H163" i="27"/>
  <c r="H234" i="27" s="1"/>
  <c r="H301" i="27" s="1"/>
  <c r="I163" i="27"/>
  <c r="I234" i="27" s="1"/>
  <c r="I301" i="27" s="1"/>
  <c r="G163" i="27"/>
  <c r="G234" i="27" s="1"/>
  <c r="G301" i="27" s="1"/>
  <c r="F163" i="27"/>
  <c r="F234" i="27" s="1"/>
  <c r="F301" i="27" s="1"/>
  <c r="B165" i="27" l="1"/>
  <c r="A236" i="27"/>
  <c r="A166" i="27"/>
  <c r="G164" i="27"/>
  <c r="G235" i="27" s="1"/>
  <c r="G302" i="27" s="1"/>
  <c r="F164" i="27"/>
  <c r="F235" i="27" s="1"/>
  <c r="F302" i="27" s="1"/>
  <c r="E164" i="27"/>
  <c r="E235" i="27" s="1"/>
  <c r="E302" i="27" s="1"/>
  <c r="D164" i="27"/>
  <c r="D235" i="27" s="1"/>
  <c r="D302" i="27" s="1"/>
  <c r="C164" i="27"/>
  <c r="C235" i="27" s="1"/>
  <c r="C302" i="27" s="1"/>
  <c r="B235" i="27"/>
  <c r="B302" i="27" s="1"/>
  <c r="J164" i="27"/>
  <c r="J235" i="27" s="1"/>
  <c r="J302" i="27" s="1"/>
  <c r="I164" i="27"/>
  <c r="I235" i="27" s="1"/>
  <c r="I302" i="27" s="1"/>
  <c r="H164" i="27"/>
  <c r="H235" i="27" s="1"/>
  <c r="H302" i="27" s="1"/>
  <c r="A167" i="27" l="1"/>
  <c r="A237" i="27"/>
  <c r="B166" i="27"/>
  <c r="I165" i="27"/>
  <c r="I236" i="27" s="1"/>
  <c r="I303" i="27" s="1"/>
  <c r="H165" i="27"/>
  <c r="H236" i="27" s="1"/>
  <c r="H303" i="27" s="1"/>
  <c r="G165" i="27"/>
  <c r="G236" i="27" s="1"/>
  <c r="G303" i="27" s="1"/>
  <c r="F165" i="27"/>
  <c r="F236" i="27" s="1"/>
  <c r="F303" i="27" s="1"/>
  <c r="E165" i="27"/>
  <c r="E236" i="27" s="1"/>
  <c r="E303" i="27" s="1"/>
  <c r="B236" i="27"/>
  <c r="B303" i="27" s="1"/>
  <c r="D165" i="27"/>
  <c r="D236" i="27" s="1"/>
  <c r="D303" i="27" s="1"/>
  <c r="J165" i="27"/>
  <c r="J236" i="27" s="1"/>
  <c r="J303" i="27" s="1"/>
  <c r="C165" i="27"/>
  <c r="C236" i="27" s="1"/>
  <c r="C303" i="27" s="1"/>
  <c r="B237" i="27" l="1"/>
  <c r="B304" i="27" s="1"/>
  <c r="J166" i="27"/>
  <c r="J237" i="27" s="1"/>
  <c r="J304" i="27" s="1"/>
  <c r="I166" i="27"/>
  <c r="I237" i="27" s="1"/>
  <c r="I304" i="27" s="1"/>
  <c r="H166" i="27"/>
  <c r="H237" i="27" s="1"/>
  <c r="H304" i="27" s="1"/>
  <c r="G166" i="27"/>
  <c r="G237" i="27" s="1"/>
  <c r="G304" i="27" s="1"/>
  <c r="F166" i="27"/>
  <c r="F237" i="27" s="1"/>
  <c r="F304" i="27" s="1"/>
  <c r="D166" i="27"/>
  <c r="D237" i="27" s="1"/>
  <c r="D304" i="27" s="1"/>
  <c r="E166" i="27"/>
  <c r="E237" i="27" s="1"/>
  <c r="E304" i="27" s="1"/>
  <c r="C166" i="27"/>
  <c r="C237" i="27" s="1"/>
  <c r="C304" i="27" s="1"/>
  <c r="A238" i="27"/>
  <c r="A168" i="27"/>
  <c r="B167" i="27"/>
  <c r="B238" i="27" l="1"/>
  <c r="B305" i="27" s="1"/>
  <c r="J167" i="27"/>
  <c r="J238" i="27" s="1"/>
  <c r="J305" i="27" s="1"/>
  <c r="I167" i="27"/>
  <c r="I238" i="27" s="1"/>
  <c r="I305" i="27" s="1"/>
  <c r="H167" i="27"/>
  <c r="H238" i="27" s="1"/>
  <c r="H305" i="27" s="1"/>
  <c r="F167" i="27"/>
  <c r="F238" i="27" s="1"/>
  <c r="F305" i="27" s="1"/>
  <c r="D167" i="27"/>
  <c r="D238" i="27" s="1"/>
  <c r="D305" i="27" s="1"/>
  <c r="E167" i="27"/>
  <c r="E238" i="27" s="1"/>
  <c r="E305" i="27" s="1"/>
  <c r="C167" i="27"/>
  <c r="C238" i="27" s="1"/>
  <c r="C305" i="27" s="1"/>
  <c r="G167" i="27"/>
  <c r="G238" i="27" s="1"/>
  <c r="G305" i="27" s="1"/>
  <c r="A239" i="27"/>
  <c r="B168" i="27"/>
  <c r="A169" i="27"/>
  <c r="A240" i="27" l="1"/>
  <c r="B169" i="27"/>
  <c r="A170" i="27"/>
  <c r="B239" i="27"/>
  <c r="B306" i="27" s="1"/>
  <c r="C168" i="27"/>
  <c r="C239" i="27" s="1"/>
  <c r="C306" i="27" s="1"/>
  <c r="J168" i="27"/>
  <c r="J239" i="27" s="1"/>
  <c r="J306" i="27" s="1"/>
  <c r="H168" i="27"/>
  <c r="H239" i="27" s="1"/>
  <c r="H306" i="27" s="1"/>
  <c r="F168" i="27"/>
  <c r="F239" i="27" s="1"/>
  <c r="F306" i="27" s="1"/>
  <c r="E168" i="27"/>
  <c r="E239" i="27" s="1"/>
  <c r="E306" i="27" s="1"/>
  <c r="I168" i="27"/>
  <c r="I239" i="27" s="1"/>
  <c r="I306" i="27" s="1"/>
  <c r="G168" i="27"/>
  <c r="G239" i="27" s="1"/>
  <c r="G306" i="27" s="1"/>
  <c r="D168" i="27"/>
  <c r="D239" i="27" s="1"/>
  <c r="D306" i="27" s="1"/>
  <c r="A241" i="27" l="1"/>
  <c r="B170" i="27"/>
  <c r="A171" i="27"/>
  <c r="B240" i="27"/>
  <c r="B307" i="27" s="1"/>
  <c r="E169" i="27"/>
  <c r="E240" i="27" s="1"/>
  <c r="E307" i="27" s="1"/>
  <c r="D169" i="27"/>
  <c r="D240" i="27" s="1"/>
  <c r="D307" i="27" s="1"/>
  <c r="C169" i="27"/>
  <c r="C240" i="27" s="1"/>
  <c r="C307" i="27" s="1"/>
  <c r="J169" i="27"/>
  <c r="J240" i="27" s="1"/>
  <c r="J307" i="27" s="1"/>
  <c r="H169" i="27"/>
  <c r="H240" i="27" s="1"/>
  <c r="H307" i="27" s="1"/>
  <c r="G169" i="27"/>
  <c r="G240" i="27" s="1"/>
  <c r="G307" i="27" s="1"/>
  <c r="I169" i="27"/>
  <c r="I240" i="27" s="1"/>
  <c r="I307" i="27" s="1"/>
  <c r="F169" i="27"/>
  <c r="F240" i="27" s="1"/>
  <c r="F307" i="27" s="1"/>
  <c r="A242" i="27" l="1"/>
  <c r="B171" i="27"/>
  <c r="A172" i="27"/>
  <c r="G170" i="27"/>
  <c r="G241" i="27" s="1"/>
  <c r="G308" i="27" s="1"/>
  <c r="F170" i="27"/>
  <c r="F241" i="27" s="1"/>
  <c r="F308" i="27" s="1"/>
  <c r="E170" i="27"/>
  <c r="E241" i="27" s="1"/>
  <c r="E308" i="27" s="1"/>
  <c r="B241" i="27"/>
  <c r="B308" i="27" s="1"/>
  <c r="D170" i="27"/>
  <c r="D241" i="27" s="1"/>
  <c r="D308" i="27" s="1"/>
  <c r="C170" i="27"/>
  <c r="C241" i="27" s="1"/>
  <c r="C308" i="27" s="1"/>
  <c r="J170" i="27"/>
  <c r="J241" i="27" s="1"/>
  <c r="J308" i="27" s="1"/>
  <c r="I170" i="27"/>
  <c r="I241" i="27" s="1"/>
  <c r="I308" i="27" s="1"/>
  <c r="H170" i="27"/>
  <c r="H241" i="27" s="1"/>
  <c r="H308" i="27" s="1"/>
  <c r="A243" i="27" l="1"/>
  <c r="B172" i="27"/>
  <c r="I171" i="27"/>
  <c r="I242" i="27" s="1"/>
  <c r="I309" i="27" s="1"/>
  <c r="H171" i="27"/>
  <c r="H242" i="27" s="1"/>
  <c r="H309" i="27" s="1"/>
  <c r="G171" i="27"/>
  <c r="G242" i="27" s="1"/>
  <c r="G309" i="27" s="1"/>
  <c r="F171" i="27"/>
  <c r="F242" i="27" s="1"/>
  <c r="F309" i="27" s="1"/>
  <c r="E171" i="27"/>
  <c r="E242" i="27" s="1"/>
  <c r="E309" i="27" s="1"/>
  <c r="D171" i="27"/>
  <c r="D242" i="27" s="1"/>
  <c r="D309" i="27" s="1"/>
  <c r="B242" i="27"/>
  <c r="B309" i="27" s="1"/>
  <c r="J171" i="27"/>
  <c r="J242" i="27" s="1"/>
  <c r="J309" i="27" s="1"/>
  <c r="C171" i="27"/>
  <c r="C242" i="27" s="1"/>
  <c r="C309" i="27" s="1"/>
  <c r="J172" i="27" l="1"/>
  <c r="J243" i="27" s="1"/>
  <c r="J310" i="27" s="1"/>
  <c r="I172" i="27"/>
  <c r="I243" i="27" s="1"/>
  <c r="I310" i="27" s="1"/>
  <c r="H172" i="27"/>
  <c r="H243" i="27" s="1"/>
  <c r="H310" i="27" s="1"/>
  <c r="G172" i="27"/>
  <c r="G243" i="27" s="1"/>
  <c r="G310" i="27" s="1"/>
  <c r="F172" i="27"/>
  <c r="F243" i="27" s="1"/>
  <c r="F310" i="27" s="1"/>
  <c r="B243" i="27"/>
  <c r="B310" i="27" s="1"/>
  <c r="D172" i="27"/>
  <c r="D243" i="27" s="1"/>
  <c r="D310" i="27" s="1"/>
  <c r="E172" i="27"/>
  <c r="E243" i="27" s="1"/>
  <c r="E310" i="27" s="1"/>
  <c r="C172" i="27"/>
  <c r="C243" i="27" s="1"/>
  <c r="C310" i="27" s="1"/>
  <c r="O18" i="4" l="1"/>
  <c r="K139" i="4" l="1"/>
  <c r="K46" i="4"/>
  <c r="Q153" i="4"/>
  <c r="Q156" i="4"/>
  <c r="Q152" i="4"/>
  <c r="Q132" i="4" l="1"/>
  <c r="Q133" i="4"/>
  <c r="Q134" i="4"/>
  <c r="Q135" i="4"/>
  <c r="Q136" i="4"/>
  <c r="Q137" i="4"/>
  <c r="Q131" i="4"/>
  <c r="Q145" i="4" l="1"/>
  <c r="Q141" i="4"/>
  <c r="I160" i="4" l="1"/>
  <c r="I161" i="4"/>
  <c r="L161" i="4" s="1"/>
  <c r="I162" i="4"/>
  <c r="L162" i="4" s="1"/>
  <c r="I163" i="4"/>
  <c r="I159" i="4"/>
  <c r="F300" i="4"/>
  <c r="Z283" i="4" l="1"/>
  <c r="Z284" i="4"/>
  <c r="Z282" i="4"/>
  <c r="R245" i="4"/>
  <c r="R244" i="4" a="1"/>
  <c r="R244" i="4" s="1"/>
  <c r="Y249" i="4" l="1"/>
  <c r="Y250" i="4" s="1"/>
  <c r="R246" i="4" s="1"/>
  <c r="R207" i="4" l="1"/>
  <c r="I18" i="4"/>
  <c r="F160" i="4"/>
  <c r="F163" i="4"/>
  <c r="F159" i="4"/>
  <c r="C151" i="4"/>
  <c r="C158" i="4" s="1"/>
  <c r="K43" i="4"/>
  <c r="K47" i="4"/>
  <c r="K50" i="4"/>
  <c r="C45" i="4"/>
  <c r="M46" i="4" l="1"/>
  <c r="O46" i="4" s="1"/>
  <c r="M49" i="4"/>
  <c r="O49" i="4" s="1"/>
  <c r="M48" i="4"/>
  <c r="O48" i="4" s="1"/>
  <c r="Q48" i="4" s="1"/>
  <c r="C154" i="4" s="1"/>
  <c r="C161" i="4" s="1"/>
  <c r="O161" i="4" s="1"/>
  <c r="C246" i="4" s="1"/>
  <c r="M50" i="4"/>
  <c r="O50" i="4" s="1"/>
  <c r="M47" i="4"/>
  <c r="O47" i="4" s="1"/>
  <c r="C175" i="4" l="1"/>
  <c r="C209" i="4"/>
  <c r="L159" i="4"/>
  <c r="L160" i="4"/>
  <c r="L163" i="4"/>
  <c r="O22" i="4" l="1"/>
  <c r="I21" i="4"/>
  <c r="I22" i="4"/>
  <c r="Q22" i="4" l="1"/>
  <c r="C50" i="4" s="1"/>
  <c r="Q50" i="4" s="1"/>
  <c r="C156" i="4" s="1"/>
  <c r="C163" i="4" s="1"/>
  <c r="O163" i="4" s="1"/>
  <c r="C248" i="4" s="1"/>
  <c r="Q21" i="4"/>
  <c r="Q18" i="4"/>
  <c r="Q47" i="4" l="1"/>
  <c r="C49" i="4"/>
  <c r="Q49" i="4" s="1"/>
  <c r="C155" i="4" s="1"/>
  <c r="C162" i="4" s="1"/>
  <c r="O162" i="4" s="1"/>
  <c r="C211" i="4"/>
  <c r="C177" i="4"/>
  <c r="C46" i="4"/>
  <c r="Q46" i="4" s="1"/>
  <c r="C152" i="4" s="1"/>
  <c r="C159" i="4" s="1"/>
  <c r="O159" i="4" s="1"/>
  <c r="Q25" i="4"/>
  <c r="Q24" i="4"/>
  <c r="C247" i="4" l="1"/>
  <c r="C176" i="4"/>
  <c r="C210" i="4"/>
  <c r="C153" i="4"/>
  <c r="C160" i="4" s="1"/>
  <c r="O160" i="4" s="1"/>
  <c r="C244" i="4"/>
  <c r="C207" i="4"/>
  <c r="C173" i="4"/>
  <c r="Q52" i="4"/>
  <c r="Q53" i="4"/>
  <c r="Q26" i="4"/>
  <c r="C245" i="4" l="1"/>
  <c r="Q250" i="4" s="1"/>
  <c r="C174" i="4"/>
  <c r="Q178" i="4" s="1"/>
  <c r="C208" i="4"/>
  <c r="Q210" i="4" s="1"/>
  <c r="L283" i="4" s="1"/>
  <c r="AB283" i="4" s="1"/>
  <c r="Q165" i="4"/>
  <c r="Q166" i="4"/>
  <c r="Q249" i="4"/>
  <c r="Q54" i="4"/>
  <c r="Q215" i="4" l="1"/>
  <c r="Q183" i="4"/>
  <c r="L282" i="4" s="1"/>
  <c r="AB282" i="4" s="1"/>
  <c r="Q177" i="4"/>
  <c r="Q174" i="4"/>
  <c r="Z226" i="4" s="1"/>
  <c r="Q254" i="4"/>
  <c r="Q255" i="4"/>
  <c r="Q209" i="4"/>
  <c r="H283" i="4" s="1"/>
  <c r="AA283" i="4" s="1"/>
  <c r="Q214" i="4"/>
  <c r="Z192" i="4"/>
  <c r="Z191" i="4"/>
  <c r="Z193" i="4"/>
  <c r="Z228" i="4"/>
  <c r="Z268" i="4"/>
  <c r="Z269" i="4"/>
  <c r="Q167" i="4"/>
  <c r="Q220" i="4"/>
  <c r="Q184" i="4"/>
  <c r="P282" i="4" s="1"/>
  <c r="Q175" i="4" l="1"/>
  <c r="Q176" i="4"/>
  <c r="X191" i="4" s="1"/>
  <c r="H282" i="4"/>
  <c r="AA282" i="4" s="1"/>
  <c r="Z190" i="4"/>
  <c r="Z227" i="4"/>
  <c r="Z229" i="4"/>
  <c r="Z189" i="4"/>
  <c r="Z225" i="4"/>
  <c r="Q213" i="4"/>
  <c r="AE213" i="4" s="1"/>
  <c r="Q212" i="4"/>
  <c r="Y228" i="4" s="1"/>
  <c r="Q221" i="4"/>
  <c r="P283" i="4" s="1"/>
  <c r="Y283" i="4" s="1"/>
  <c r="Y192" i="4"/>
  <c r="Y191" i="4"/>
  <c r="Y193" i="4"/>
  <c r="X193" i="4"/>
  <c r="X192" i="4"/>
  <c r="Y189" i="4"/>
  <c r="Y190" i="4"/>
  <c r="X190" i="4"/>
  <c r="X189" i="4"/>
  <c r="X226" i="4"/>
  <c r="X227" i="4"/>
  <c r="Y226" i="4"/>
  <c r="Y227" i="4"/>
  <c r="Y282" i="4"/>
  <c r="Q180" i="4" l="1" a="1"/>
  <c r="Q180" i="4" s="1"/>
  <c r="O180" i="4" s="1"/>
  <c r="Y225" i="4"/>
  <c r="AE212" i="4"/>
  <c r="AE211" i="4"/>
  <c r="X228" i="4"/>
  <c r="AE207" i="4"/>
  <c r="X229" i="4"/>
  <c r="Q217" i="4" a="1"/>
  <c r="Q217" i="4" s="1"/>
  <c r="Q218" i="4" s="1"/>
  <c r="AE215" i="4"/>
  <c r="AE214" i="4"/>
  <c r="Y229" i="4"/>
  <c r="X225" i="4"/>
  <c r="AE208" i="4"/>
  <c r="Q181" i="4" l="1"/>
  <c r="O217" i="4"/>
  <c r="Z266" i="4"/>
  <c r="Z265" i="4"/>
  <c r="Z267" i="4"/>
  <c r="H284" i="4"/>
  <c r="AA284" i="4" s="1"/>
  <c r="Q253" i="4"/>
  <c r="Q252" i="4"/>
  <c r="Q261" i="4"/>
  <c r="P284" i="4" s="1"/>
  <c r="Q260" i="4"/>
  <c r="L284" i="4" s="1"/>
  <c r="AB284" i="4" s="1"/>
  <c r="Y268" i="4" l="1"/>
  <c r="Y269" i="4"/>
  <c r="X268" i="4"/>
  <c r="X269" i="4"/>
  <c r="Y267" i="4"/>
  <c r="Y265" i="4"/>
  <c r="Y266" i="4"/>
  <c r="X266" i="4"/>
  <c r="X267" i="4"/>
  <c r="X265" i="4"/>
  <c r="Y284" i="4"/>
  <c r="H286" i="4"/>
  <c r="H289" i="4" s="1"/>
  <c r="F297" i="4" s="1"/>
  <c r="Q257" i="4" a="1"/>
  <c r="Q257" i="4" s="1"/>
  <c r="H288" i="4" l="1"/>
  <c r="F296" i="4" s="1"/>
  <c r="H287" i="4"/>
  <c r="O257" i="4"/>
  <c r="Q258" i="4"/>
  <c r="N325" i="4" l="1"/>
  <c r="N326" i="4" s="1"/>
  <c r="N460" i="4" s="1"/>
  <c r="F306" i="4"/>
  <c r="F305" i="4"/>
  <c r="P306" i="4"/>
  <c r="Y471" i="4" l="1"/>
  <c r="N463" i="4"/>
  <c r="N466" i="4" s="1"/>
  <c r="N488" i="4" s="1"/>
  <c r="N485" i="4" s="1"/>
  <c r="N486" i="4" s="1"/>
  <c r="T484" i="4" s="1"/>
  <c r="Y470" i="4"/>
  <c r="P305" i="4"/>
  <c r="P307" i="4" s="1"/>
  <c r="A309" i="4" s="1" a="1"/>
  <c r="A30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<sst xmlns="http://schemas.openxmlformats.org/spreadsheetml/2006/main" count="745" uniqueCount="503">
  <si>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</si>
  <si>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</si>
  <si>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</si>
  <si>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</si>
  <si>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</si>
  <si>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</si>
  <si>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</si>
  <si>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</si>
  <si>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</si>
  <si>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</si>
  <si>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</si>
  <si>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</si>
  <si>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</si>
  <si>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</si>
  <si>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</si>
  <si>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Fator</t>
  </si>
  <si>
    <t>Negociação concluída</t>
  </si>
  <si>
    <t>Item</t>
  </si>
  <si>
    <t>Área</t>
  </si>
  <si>
    <t>Valor unitário
(R$/m²)</t>
  </si>
  <si>
    <t>VALOR UNITÁRIO E AJUSTE PRÉVIO AO FATOR DE OFERTA</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</si>
  <si>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</si>
  <si>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</si>
  <si>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</si>
  <si>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</si>
  <si>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</si>
  <si>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</si>
  <si>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</si>
  <si>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</si>
  <si>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</si>
  <si>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</si>
  <si>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</si>
  <si>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</si>
  <si>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</si>
  <si>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</si>
  <si>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</si>
  <si>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</si>
  <si>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</si>
  <si>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</si>
  <si>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</si>
  <si>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</si>
  <si>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</si>
  <si>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</si>
  <si>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</si>
  <si>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</si>
  <si>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</si>
  <si>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</si>
  <si>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</si>
  <si>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</si>
  <si>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</si>
  <si>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</si>
  <si>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</si>
  <si>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</si>
  <si>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</si>
  <si>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</si>
  <si>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</si>
  <si>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</si>
  <si>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</si>
  <si>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</si>
  <si>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</si>
  <si>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</si>
  <si>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</si>
  <si>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</si>
  <si>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</si>
  <si>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</si>
  <si>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</si>
  <si>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</si>
  <si>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</si>
  <si>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</si>
  <si>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t>
  </si>
  <si>
    <t>Desvio-padrão a ser aplicado</t>
  </si>
  <si>
    <t>Amplitude</t>
  </si>
  <si>
    <t>Grau de precisao</t>
  </si>
  <si>
    <t>Área do terreno avaliando</t>
  </si>
  <si>
    <t>Valor unitário (R$/m²)</t>
  </si>
  <si>
    <t>Avaliação</t>
  </si>
  <si>
    <t>Arredondamento</t>
  </si>
  <si>
    <t>Casas decimais</t>
  </si>
  <si>
    <t>Valor (arredondamento)</t>
  </si>
  <si>
    <t>Percentual (arredondamento)</t>
  </si>
  <si>
    <t>Fontes:</t>
  </si>
  <si>
    <t>ABUNAHAM, S.A. Curso básico de engenharia legal e de avaliações. 4. ed. rev. e ampl. São Paulo: Pini, 2008, p. 50 e 329.</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</si>
  <si>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</si>
  <si>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</si>
  <si>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</si>
  <si>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</si>
  <si>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</si>
  <si>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</si>
  <si>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</si>
  <si>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</si>
  <si>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</si>
  <si>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</si>
  <si>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</si>
  <si>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</si>
  <si>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</si>
  <si>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</si>
  <si>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</si>
  <si>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</si>
  <si>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</si>
  <si>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</si>
  <si>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</si>
  <si>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</si>
  <si>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</si>
  <si>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t>ARLEY, Niels; BUCH, Kai Rander. Introducción a la teoría de la probabilidad y de la estadística. Tradução: Fernando Bombal Gordón. Madrid: Editorial Alhambra S.A., 1968.</t>
  </si>
  <si>
    <t>FIKER, José. Avaliação de imóveis urbanos. 4. ed. rev. e ampl. São Paulo: Pini, 1993.</t>
  </si>
  <si>
    <t>MEDEIROS JÚNIOR, J.R.; PELLEGRINO, José Carlos. Método do custo: o terceiro componente. In: Avaliações para garantias: Instituto Brasileiro de Avaliações e Perícias de Engenharia. São Paulo: Pini, 1983, p. 101-102.</t>
  </si>
  <si>
    <t>PELLEGRINO, José Carlos. Valor em marcha. In: Anais do I Congresso Brasileiro de Engenharia de Avaliações / [patrocínio do] Instituto Brasileiro de Avaliações e Perícias de Engenharia – IBAPE. São Paulo: Pini, 1978, p. 282.</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</si>
  <si>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</si>
  <si>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</si>
  <si>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</si>
  <si>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</si>
  <si>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</si>
  <si>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</si>
  <si>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</si>
  <si>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</si>
  <si>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</si>
  <si>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</si>
  <si>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</si>
  <si>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</si>
  <si>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</si>
  <si>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</si>
  <si>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</si>
  <si>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</si>
  <si>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</si>
  <si>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</si>
  <si>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</si>
  <si>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</si>
  <si>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</si>
  <si>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</si>
  <si>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</si>
  <si>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</si>
  <si>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</si>
  <si>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</si>
  <si>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</si>
  <si>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</si>
  <si>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</si>
  <si>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</si>
  <si>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</si>
  <si>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</si>
  <si>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</si>
  <si>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</si>
  <si>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</si>
  <si>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</si>
  <si>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</si>
  <si>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</si>
  <si>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</si>
  <si>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</si>
  <si>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</si>
  <si>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</si>
  <si>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</si>
  <si>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</si>
  <si>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</si>
  <si>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</si>
  <si>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</si>
  <si>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</si>
  <si>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</si>
  <si>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</si>
  <si>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</si>
  <si>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</si>
  <si>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</si>
  <si>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</si>
  <si>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</si>
  <si>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</si>
  <si>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</si>
  <si>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</si>
  <si>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</si>
  <si>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</si>
  <si>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</si>
  <si>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</si>
  <si>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</si>
  <si>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</si>
  <si>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</si>
  <si>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</si>
  <si>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</si>
  <si>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</si>
  <si>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</si>
  <si>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</si>
  <si>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</si>
  <si>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</si>
  <si>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</si>
  <si>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</si>
  <si>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</si>
  <si>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</si>
  <si>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</si>
  <si>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</si>
  <si>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</si>
  <si>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</si>
  <si>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</si>
  <si>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</si>
  <si>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</si>
  <si>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</si>
  <si>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</si>
  <si>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</si>
  <si>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</si>
  <si>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</si>
  <si>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</si>
  <si>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</si>
  <si>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</si>
  <si>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</si>
  <si>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</si>
  <si>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</si>
  <si>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</si>
  <si>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</si>
  <si>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</si>
  <si>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</si>
  <si>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</si>
  <si>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</si>
  <si>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</si>
  <si>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</si>
  <si>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</si>
  <si>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</si>
  <si>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</si>
  <si>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</si>
  <si>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</si>
  <si>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</si>
  <si>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</si>
  <si>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</si>
  <si>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</si>
  <si>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</si>
  <si>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</si>
  <si>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</si>
  <si>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</si>
  <si>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</si>
  <si>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</si>
  <si>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</si>
  <si>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TRIBUNAL DE JUSTIÇA DO ESTADO DO MARANHÃO</t>
  </si>
  <si>
    <t>VARA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</si>
  <si>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</si>
  <si>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</si>
  <si>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</si>
  <si>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</si>
  <si>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</si>
  <si>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</si>
  <si>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</si>
  <si>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</si>
  <si>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</si>
  <si>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</si>
  <si>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</si>
  <si>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</si>
  <si>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</si>
  <si>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</si>
  <si>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2.11 - Depreciantes</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</si>
  <si>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</si>
  <si>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</si>
  <si>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</si>
  <si>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</si>
  <si>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</si>
  <si>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</si>
  <si>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</si>
  <si>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AVALIAÇÃO DE TERRENO PELO MÉTODO COMPARATIVO DIRETO DE DADOS DE MERCADO</t>
  </si>
  <si>
    <t>INFORMAR O NÚMERO DE DADOS QUE FORAM EFETIVAMENTE UTILIZADOS</t>
  </si>
  <si>
    <t>O grau de precisão calculado foi superio a 50% (cinquenta por cento). Não há classificação do resultado quanto à precisão, sendo necessário apresentar justificativa com base no diagnóstico do mercado (Nota feita à tabela 5 do item 9.2.3 da NBR 14653-2:2011 (Avaliação de bens. Parte 2: Imóveis urbanos).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</si>
  <si>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</si>
  <si>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</si>
  <si>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</si>
  <si>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</si>
  <si>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</si>
  <si>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r>
      <t>COEFICIENTE DA VANTAGEM DA COISA FEITA (</t>
    </r>
    <r>
      <rPr>
        <b/>
        <i/>
        <sz val="10"/>
        <rFont val="Arial Nova"/>
        <family val="2"/>
      </rPr>
      <t xml:space="preserve"> k</t>
    </r>
    <r>
      <rPr>
        <b/>
        <i/>
        <vertAlign val="subscript"/>
        <sz val="10"/>
        <rFont val="Arial Nova"/>
        <family val="2"/>
      </rPr>
      <t>cf</t>
    </r>
    <r>
      <rPr>
        <b/>
        <sz val="10"/>
        <rFont val="Arial Nova"/>
        <family val="2"/>
      </rPr>
      <t xml:space="preserve"> )</t>
    </r>
  </si>
  <si>
    <t>A justificativa para a aplicação do fator da vantagem da coisa feita é a constatação no mercado de que o interessado está disposto a pagar mais por aquilo que já está pronto para ser desfrutado (uso ou fonte de renda) de imediato do que por aquilo que somente poderá ser desfrutado no futuro.</t>
  </si>
  <si>
    <t>Os coeficientes de vantagem da coisa feita variam em função do tipo e da idade da construção.</t>
  </si>
  <si>
    <t>Tipo de construção</t>
  </si>
  <si>
    <t>Novo</t>
  </si>
  <si>
    <t>De 0 a 10 anos</t>
  </si>
  <si>
    <t>De 10 a 20 anos</t>
  </si>
  <si>
    <t>De 20 a 30 anos</t>
  </si>
  <si>
    <t>Grande estrutura</t>
  </si>
  <si>
    <t>Pequena estrutura e residencial de luxo</t>
  </si>
  <si>
    <t>Industrial e residencial médio</t>
  </si>
  <si>
    <t>IDADE</t>
  </si>
  <si>
    <t>Residencial modesto e proletárias</t>
  </si>
  <si>
    <t>VARIAÇÃO DOS COEFICIENTES DA VANTAGEM DA COISA FEITA</t>
  </si>
  <si>
    <t>Os coeficientes de redução pela idade não se aplicam a zonas comerciais altamente valorizadas.</t>
  </si>
  <si>
    <t>Na tabela abaixo a idade do imóvel está em anos; não se trata de percentual da vida útil do imóvel.</t>
  </si>
  <si>
    <t>Observação:</t>
  </si>
  <si>
    <t>foram calculados os valores dos intervalos de cada faixa de tal forma que a cada ano correspondesse um coeficiente específico</t>
  </si>
  <si>
    <r>
      <t xml:space="preserve">A </t>
    </r>
    <r>
      <rPr>
        <b/>
        <sz val="10"/>
        <rFont val="Arial Nova"/>
        <family val="2"/>
      </rPr>
      <t>vantagem da coisa feita</t>
    </r>
    <r>
      <rPr>
        <sz val="10"/>
        <rFont val="Arial Nova"/>
        <family val="2"/>
      </rPr>
      <t xml:space="preserve"> é o acréscimo do valor que tem um determinado imóvel pela sua vantagem de estar construído e pronto para ser utilizado, em relação a outro semelhante, mas ainda por construir. Portanto, deverm ser aplicados os percentuais de incremento segundo o Eng. Joaquim da Rocha Medeiros Jr, citado por Sérgio Antônio Abunaham (ABUNAHAM, Sérgio Antônio. Curso básico de engenharia legal e de avaliações. 4. ed. rev. e ampl. São Paulo: Pini, 2008, p. 50).</t>
    </r>
  </si>
  <si>
    <t>TABELA DE VIDA REFERENCIAL E VALOR RESIDUAL</t>
  </si>
  <si>
    <t>CLASSE</t>
  </si>
  <si>
    <t>TIPO</t>
  </si>
  <si>
    <t>PADRÃO</t>
  </si>
  <si>
    <t>VALOR REFERENCIAL</t>
  </si>
  <si>
    <t>VALOR RESIDUAL</t>
  </si>
  <si>
    <t>ANOS</t>
  </si>
  <si>
    <t>RESIDENCIAL</t>
  </si>
  <si>
    <t>BARRACO</t>
  </si>
  <si>
    <t>RÚSTICO</t>
  </si>
  <si>
    <t>SIMPLES</t>
  </si>
  <si>
    <t>CASA</t>
  </si>
  <si>
    <t>PROLETÁRIO</t>
  </si>
  <si>
    <t>ECONÔMICO</t>
  </si>
  <si>
    <t>MÉDIO</t>
  </si>
  <si>
    <t>SUPERIOR</t>
  </si>
  <si>
    <t>FINO</t>
  </si>
  <si>
    <t>LUXO</t>
  </si>
  <si>
    <t>APARTAMENTO</t>
  </si>
  <si>
    <t>COMERCIAL</t>
  </si>
  <si>
    <t>ESCRITÓRIO</t>
  </si>
  <si>
    <t>GALPÕES</t>
  </si>
  <si>
    <t>COBERTURAS</t>
  </si>
  <si>
    <t>FIKER, J. Manual de avaliações e perícias em imóveis urbanos. 4. ed. São Paulo: Pini, 2016, p. 84.</t>
  </si>
  <si>
    <t>NASSER JUNIOR, R. Avaliação de bens: princípios básicos e aplicações. 2. ed. rev. e atualizada. São Paulo: LEUD, 2013, p. 107.</t>
  </si>
  <si>
    <t>Classificação dos estados de conservação e respectivos valores relativos da escala Heidecke</t>
  </si>
  <si>
    <t>Classe</t>
  </si>
  <si>
    <t>Referência</t>
  </si>
  <si>
    <t>Valor relativo</t>
  </si>
  <si>
    <t>Características</t>
  </si>
  <si>
    <t>A</t>
  </si>
  <si>
    <t>Edificação nova ou com reforma geral e substancial, com menos de dois anos, que apresente apenas sinais de desgaste natural da pintura externa.</t>
  </si>
  <si>
    <t>B</t>
  </si>
  <si>
    <t>Entre novo e regular</t>
  </si>
  <si>
    <t>Edificação nova ou com reforma geral e substancial, com menos de dois anos, que apresente necessidade apenas de uma demão leve de pintura para recompor a sua aparência</t>
  </si>
  <si>
    <t>C</t>
  </si>
  <si>
    <t>Edificação seminova ou com reforma geral e substancial entre 2 e 5 anos, cujo estado geral possa ser recuperado apenas com reparos de eventuais fissuras superficiais localizadas e/ou pintura externa e interna.</t>
  </si>
  <si>
    <t>D</t>
  </si>
  <si>
    <t>Entre regular e reparos simples</t>
  </si>
  <si>
    <t>Edificação seminova ou com reforma geral e substancial entre 2 e 5 anos, cujo estado geral possa ser recuperado com reparo de fissuras e trincas localizadas e superficiais e pintura interna e externa.</t>
  </si>
  <si>
    <t>E</t>
  </si>
  <si>
    <t>Reparos simples</t>
  </si>
  <si>
    <t>Edificação cujo estado geral possa ser recuperado com pintura interna e externa, após reparos de fissuras e trincas superficiais generalizadas, sem recuperação do sistema estrutural. Eventual, revisão do sistema hidráulico e elétrico.</t>
  </si>
  <si>
    <t>F</t>
  </si>
  <si>
    <t>Entre reparos simples e importantes</t>
  </si>
  <si>
    <t>Edificação cujo estado geral possa ser recuperado com pintura interna e externa, após reparos de fissuras e trincas, e com estabilização e/ou recuperação localizada do sistema estrutural; as instalações hidráulicas e elétricas possam ser restauradas mediante a revisão e com substituição eventual de algumas peças desgastadas naturalmente. Eventualmente possa ser necessária a substituição de revestimentos de pisos e paredes, de um ou de outro cômodo. Revisão da impermeabilização ou substituição de telhas da cobertura.</t>
  </si>
  <si>
    <t>G</t>
  </si>
  <si>
    <t>Reparos importantes</t>
  </si>
  <si>
    <t>Edificação cujo estado geral possa ser recuperado com pintura interna e externa, com substituição de panos de regularização da alvenaria, reparos de fissuras e trincas, com estabilização e/ou recuperação de grande parte do sistema estrutural. As instalações hidráulicas e elétricas possam ser restauradas mediante a substituição das peças aparentes. A substituição dos revestimentos de pisos e paredes, da maioria dos cômodos, se faz necessária. Substituição ou reparos importantes na impermeabilização ou no telhado.</t>
  </si>
  <si>
    <t>H</t>
  </si>
  <si>
    <t>Entre reparos importantes e sem valor</t>
  </si>
  <si>
    <t>Edificação cujo estado geral seja recuperado com estabilização e/ou recuperação do sistema estrutural, substituição da regularização da alvenaria, reparos de fissuras e trincas. Substituição das instalações hidráulicas e elétricas. Substituição dos revestimentos de pisos e paredes. Substituição da impermeabilização ou do telhado.</t>
  </si>
  <si>
    <t>Sem valor</t>
  </si>
  <si>
    <t>Edificação em estado de ruína</t>
  </si>
  <si>
    <t>FIKER, J. Avaliação de imóveis urbanos. 4. ed. rev. e ampl. São Paulo: Pini, 1993, p. 82.</t>
  </si>
  <si>
    <t>______, J. Manual de avaliações e perícias em imóveis urbanos. 4 ed. São Paulo: Pini, 2005, p. 86.</t>
  </si>
  <si>
    <t>MOREIRA, A.L. Princípios de engenharia de avaliações  5. ed. rev. e ampl. São Paulo: Pini, 2001, p. 232.</t>
  </si>
  <si>
    <t>Para o último estado de conservação (edificação em estado de ruína), a depreciação será total, independentemente do tempo de vida útil do imóvel, pois nesse caso a edificação individualmente considerada já não possui valor algum e a avaliação será feita sobre eventual valor dos escombros, se houver, ou sobre o valor residual aplicável.</t>
  </si>
  <si>
    <t>CÁLCULO DA DEPRECIAÇÃO DAS EDIFICAÇÕES PELO MÉTODO ROSS-HEIDECKE</t>
  </si>
  <si>
    <t>CORRESPONDÊNCIA ENTRE OS COEFICIENTES DE DEPRECIAÇÃO E OS TRÊS MODOS MAIS COMUNS DE CLASSIFICAR AS EDIFICAÇÕES DE ACORDO COM SEU ESTADO DE CONSERVAÇÃO</t>
  </si>
  <si>
    <t>COEFICIENTES DE DEPRECIAÇÃO HEIDECKE</t>
  </si>
  <si>
    <t>CLASSIFICAÇÃO
HEIDECKE</t>
  </si>
  <si>
    <t>CLASSIFICAÇÃO POR NÚMEROS</t>
  </si>
  <si>
    <t>CLASSIFICAÇÃO PELA SITUAÇÃO DAS EDIFICAÇÕES</t>
  </si>
  <si>
    <t>DESCRIÇÃO</t>
  </si>
  <si>
    <t>CÓDIGO</t>
  </si>
  <si>
    <t>Ótimo</t>
  </si>
  <si>
    <t>O</t>
  </si>
  <si>
    <t>Muito bom</t>
  </si>
  <si>
    <t>MB</t>
  </si>
  <si>
    <t>Intermédio</t>
  </si>
  <si>
    <t>R</t>
  </si>
  <si>
    <t>Deficiente</t>
  </si>
  <si>
    <t>Mau</t>
  </si>
  <si>
    <t>M</t>
  </si>
  <si>
    <t>Muito mau</t>
  </si>
  <si>
    <t>MM</t>
  </si>
  <si>
    <t>Demolição</t>
  </si>
  <si>
    <t>DM</t>
  </si>
  <si>
    <t>IDADE EM % DA VIDA ÚTIL</t>
  </si>
  <si>
    <t>ESTADO DE CONSERVAÇÃO</t>
  </si>
  <si>
    <t>Classificação do estado de conservação de acordo com a tabela de Heidecke</t>
  </si>
  <si>
    <t>Esses valores foram calculados com o uso da seguinte fórmula:</t>
  </si>
  <si>
    <t>Coeficientes de depreciação (perda de valor) percentuais negativos</t>
  </si>
  <si>
    <t>Os resultados da equação foram convertidos para percentuais negativos, haja vista que a depreciação causa uma desvalorização do bem.
Essa conversão foi feita com o auxílio da seguinte equação:</t>
  </si>
  <si>
    <t>E, por fim, os coeficiente foram convertidos para fatores multiplicadores, providência essa que simplifica e torna mais prático o cálculo da depreciação. Essa conversão foi feita com o auxílio da seguinte equação:</t>
  </si>
  <si>
    <t>MÉTODO EVOLUTIVO: AVALIAÇÃO DAS BENFEITORIAS</t>
  </si>
  <si>
    <t>R-1</t>
  </si>
  <si>
    <t xml:space="preserve">baixo </t>
  </si>
  <si>
    <t>R-8</t>
  </si>
  <si>
    <t>normal</t>
  </si>
  <si>
    <t>As benfeitorias serão avaliadas pelo método de quantificação do custo de reedição. O custo de reedição corresponde ao custo de reprodução descontada a depreciação.
O custo de reprodução será calculado a partir Custo Unitário Básico informado pelo Sindicato da Construção Civil do Estado do Maranhão; essas informações estão disponiveis em: &lt; https://www.sinduscon-ma.com.br/custo-unitario-basico/&gt;.
A depreciação das benfeitorias será calculada pelo método Ross-Heidecke.</t>
  </si>
  <si>
    <t>R-16</t>
  </si>
  <si>
    <t>alto</t>
  </si>
  <si>
    <t>PIS</t>
  </si>
  <si>
    <t>PP-4</t>
  </si>
  <si>
    <t>residencial</t>
  </si>
  <si>
    <t>CSL-8</t>
  </si>
  <si>
    <t>galpão industrial</t>
  </si>
  <si>
    <t>CSL-16</t>
  </si>
  <si>
    <t>residência popular</t>
  </si>
  <si>
    <t>Tipo da benfeitoria:</t>
  </si>
  <si>
    <t>Padrão:</t>
  </si>
  <si>
    <t>RP1Q</t>
  </si>
  <si>
    <t>Codigo:</t>
  </si>
  <si>
    <t>Data de referência:</t>
  </si>
  <si>
    <t>maio de 2024</t>
  </si>
  <si>
    <t>GI</t>
  </si>
  <si>
    <t>Custo unitário específico para o projeto:</t>
  </si>
  <si>
    <t>Custo de reprodução da benfeitoria</t>
  </si>
  <si>
    <t>Cálculo da depreciação pelo método Ross-Heidecke</t>
  </si>
  <si>
    <t>Idade aparente da benfeitoria:</t>
  </si>
  <si>
    <t>Vida útil referencial</t>
  </si>
  <si>
    <t>Relação percentual:</t>
  </si>
  <si>
    <t>O resultado bruto da equação acima deve ser convertido para o respectivo de fator de depreciação, sendo feito:</t>
  </si>
  <si>
    <t>Resultado bruto da equação:</t>
  </si>
  <si>
    <t>Coeficiente de depreciação específico (perda de valor):</t>
  </si>
  <si>
    <t>Fator de depreciação específico (multiplicador):</t>
  </si>
  <si>
    <t>Perda de valor decorrente da depreciação</t>
  </si>
  <si>
    <t>Custo de reedição da benfeitoria</t>
  </si>
  <si>
    <t>Fator da vantagem da coisa feita:</t>
  </si>
  <si>
    <t>Vantagem da coisa feita</t>
  </si>
  <si>
    <t>Tipo de construção:</t>
  </si>
  <si>
    <t>Idade da construção</t>
  </si>
  <si>
    <t>anos.</t>
  </si>
  <si>
    <t>Valor do terreno:</t>
  </si>
  <si>
    <t>Valor da benfeitoria (depreciada):</t>
  </si>
  <si>
    <t>Soma do valor do terreno, ao valor das benfeitorias:</t>
  </si>
  <si>
    <t>Fator multiplicador aplicável</t>
  </si>
  <si>
    <t>Terreno</t>
  </si>
  <si>
    <t>Avaliação do terreno e das benfeitorias</t>
  </si>
  <si>
    <t>Edificações</t>
  </si>
  <si>
    <t>Demonstração da relação percentual de cada elemento em relação ao todo (avaliação).</t>
  </si>
  <si>
    <r>
      <t>F</t>
    </r>
    <r>
      <rPr>
        <vertAlign val="subscript"/>
        <sz val="10"/>
        <rFont val="Aptos"/>
        <family val="2"/>
      </rPr>
      <t>f</t>
    </r>
  </si>
  <si>
    <r>
      <t>F</t>
    </r>
    <r>
      <rPr>
        <vertAlign val="subscript"/>
        <sz val="10"/>
        <rFont val="Aptos"/>
        <family val="2"/>
      </rPr>
      <t>t</t>
    </r>
  </si>
  <si>
    <r>
      <t>F</t>
    </r>
    <r>
      <rPr>
        <vertAlign val="subscript"/>
        <sz val="10"/>
        <rFont val="Aptos"/>
        <family val="2"/>
      </rPr>
      <t>cs</t>
    </r>
  </si>
  <si>
    <r>
      <t>F</t>
    </r>
    <r>
      <rPr>
        <vertAlign val="subscript"/>
        <sz val="10"/>
        <rFont val="Aptos"/>
        <family val="2"/>
      </rPr>
      <t>p</t>
    </r>
  </si>
  <si>
    <r>
      <t>F</t>
    </r>
    <r>
      <rPr>
        <vertAlign val="subscript"/>
        <sz val="10"/>
        <rFont val="Aptos"/>
        <family val="2"/>
      </rPr>
      <t>e</t>
    </r>
  </si>
  <si>
    <r>
      <t>M</t>
    </r>
    <r>
      <rPr>
        <vertAlign val="subscript"/>
        <sz val="10"/>
        <rFont val="Aptos"/>
        <family val="2"/>
      </rPr>
      <t>p1</t>
    </r>
  </si>
  <si>
    <r>
      <t>M</t>
    </r>
    <r>
      <rPr>
        <vertAlign val="subscript"/>
        <sz val="10"/>
        <rFont val="Aptos"/>
        <family val="2"/>
      </rPr>
      <t>p2</t>
    </r>
  </si>
  <si>
    <r>
      <t>M</t>
    </r>
    <r>
      <rPr>
        <vertAlign val="subscript"/>
        <sz val="10"/>
        <rFont val="Aptos"/>
        <family val="2"/>
      </rPr>
      <t>p3</t>
    </r>
  </si>
  <si>
    <r>
      <t>M</t>
    </r>
    <r>
      <rPr>
        <vertAlign val="subscript"/>
        <sz val="10"/>
        <rFont val="Aptos"/>
        <family val="2"/>
      </rPr>
      <t>p4</t>
    </r>
  </si>
  <si>
    <r>
      <t>M</t>
    </r>
    <r>
      <rPr>
        <vertAlign val="subscript"/>
        <sz val="10"/>
        <rFont val="Aptos"/>
        <family val="2"/>
      </rPr>
      <t>p5</t>
    </r>
  </si>
  <si>
    <r>
      <t>M</t>
    </r>
    <r>
      <rPr>
        <vertAlign val="subscript"/>
        <sz val="10"/>
        <rFont val="Aptos"/>
        <family val="2"/>
      </rPr>
      <t>p6</t>
    </r>
  </si>
  <si>
    <r>
      <t>M</t>
    </r>
    <r>
      <rPr>
        <vertAlign val="subscript"/>
        <sz val="10"/>
        <rFont val="Aptos"/>
        <family val="2"/>
      </rPr>
      <t>p7</t>
    </r>
  </si>
  <si>
    <r>
      <t xml:space="preserve">Somatório das porcentagens correspondentes aos melhoramentos públicos </t>
    </r>
    <r>
      <rPr>
        <b/>
        <sz val="10"/>
        <rFont val="Aptos"/>
        <family val="2"/>
      </rPr>
      <t>presentes no paradigma e ausentes no bem avaliando</t>
    </r>
  </si>
  <si>
    <r>
      <t>Fator do item da amostra (f</t>
    </r>
    <r>
      <rPr>
        <vertAlign val="subscript"/>
        <sz val="10"/>
        <rFont val="Aptos"/>
        <family val="2"/>
      </rPr>
      <t>tr</t>
    </r>
    <r>
      <rPr>
        <sz val="10"/>
        <rFont val="Aptos"/>
        <family val="2"/>
      </rPr>
      <t>)</t>
    </r>
  </si>
  <si>
    <r>
      <t>Fator do bem avaliando (f</t>
    </r>
    <r>
      <rPr>
        <vertAlign val="subscript"/>
        <sz val="10"/>
        <rFont val="Aptos"/>
        <family val="2"/>
      </rPr>
      <t>a</t>
    </r>
    <r>
      <rPr>
        <sz val="10"/>
        <rFont val="Aptos"/>
        <family val="2"/>
      </rPr>
      <t>)</t>
    </r>
  </si>
  <si>
    <r>
      <t>t</t>
    </r>
    <r>
      <rPr>
        <vertAlign val="subscript"/>
        <sz val="10"/>
        <rFont val="Aptos"/>
        <family val="2"/>
      </rPr>
      <t>crítico</t>
    </r>
  </si>
  <si>
    <r>
      <rPr>
        <b/>
        <sz val="10"/>
        <rFont val="Aptos"/>
        <family val="2"/>
      </rPr>
      <t>NBR 14653-2:2011. Avaliação de bens. Parte 2: Imóveis urbanos.
Item 9.2.3</t>
    </r>
    <r>
      <rPr>
        <sz val="10"/>
        <rFont val="Aptos"/>
        <family val="2"/>
      </rPr>
      <t xml:space="preserve"> O grau de precisão deve estar conforme a Tabela 5.</t>
    </r>
  </si>
  <si>
    <t>Calculo da depreciação Ross (alfa)</t>
  </si>
  <si>
    <t>Os valores brutos de depreciação do método Ross correspondem ao ponto médio entre o método da reta (linear) e o método Kuentzle (parábola); portanto, os valores de depreciação Ross podem ser calculados com o auxílio da seguinte equação:</t>
  </si>
  <si>
    <t>alfa:</t>
  </si>
  <si>
    <t>Considerando-se que, durante a vistoria, foram constatados mais de um estado de conservação, será aplicada a tabela de depreciação por etapas, observando-se os itens e os pesos apresentador por Fiker (2019, p. 76).</t>
  </si>
  <si>
    <t>Etapas</t>
  </si>
  <si>
    <t>Peso percentual</t>
  </si>
  <si>
    <t>a) serviços para instalação da obra: preparo e limpeza do terreno, casa do guarda, instalações; b) projeto: cálculos, desenhos, detalhes e cópias; c) início da obra: emolumentos, impostos, taxas, ligações (água, luz e força)</t>
  </si>
  <si>
    <t>Movimento de terra: abertura de valas para alicerces *</t>
  </si>
  <si>
    <t>Alvenarias (inclusive andaimes e impermeabilizações)</t>
  </si>
  <si>
    <t>Estruturas (concreto armado, inclusive para fundações)</t>
  </si>
  <si>
    <t>Cobertura (armação e telhas)</t>
  </si>
  <si>
    <t>Forros</t>
  </si>
  <si>
    <t>Revestimento (inclusive barras)</t>
  </si>
  <si>
    <t>Pisos, rodapés e soleiras (inclusive concreto magro nos pisos sobre a terra e enchimento das lajes rebaixadas, pavimentações externas e impermeabilizações)</t>
  </si>
  <si>
    <t>Serviços de encanador (inclusive funilaria e águas pluviais)</t>
  </si>
  <si>
    <t>Aparelhos sanitários (inclusive caixas d'água)</t>
  </si>
  <si>
    <t>Serviços de eletricidade</t>
  </si>
  <si>
    <t>Aparelhos elétricos e de iluminação (com colocação)</t>
  </si>
  <si>
    <t>Esquadrias de madeira (com colocação)</t>
  </si>
  <si>
    <t>Serviços de marcenaria (que se integram à obra)</t>
  </si>
  <si>
    <t>Serralheria</t>
  </si>
  <si>
    <t>Ferragens (com colocação)</t>
  </si>
  <si>
    <t>Vidros (com colocação)</t>
  </si>
  <si>
    <t>Serviços de pintura</t>
  </si>
  <si>
    <t>Jardins (muito variável)</t>
  </si>
  <si>
    <t>Diversos: mármores ou outro material para pias, degraus, soleiras, tanques, prateleiras; lareira; embutimento de pias, banheiras, saboneteiras, porta-papéis, espelhos e eventuais</t>
  </si>
  <si>
    <t>Raspagem e limpeza</t>
  </si>
  <si>
    <t>Coeficiente Heidecke</t>
  </si>
  <si>
    <t>Depreciação parcial</t>
  </si>
  <si>
    <t>* nas residências assobradadas, este item corresponde a percentuais maiores (cerca de 30% ou mais).</t>
  </si>
  <si>
    <t>Soma</t>
  </si>
  <si>
    <t>Coeficiente específico</t>
  </si>
  <si>
    <r>
      <t xml:space="preserve">Portanto, levando em consideração o </t>
    </r>
    <r>
      <rPr>
        <b/>
        <sz val="10"/>
        <rFont val="Arial Nova"/>
        <family val="2"/>
      </rPr>
      <t>peso atribuído a cada etapa da obra</t>
    </r>
    <r>
      <rPr>
        <sz val="10"/>
        <rFont val="Arial Nova"/>
        <family val="2"/>
      </rPr>
      <t>, conforme tabela apresentada acima, o coeficiente de depreciação específico apurado pelo método Heidecke (c) é de</t>
    </r>
  </si>
  <si>
    <t>Por fim, a depreciação Ross-Heidecke será calculada com o auxílio das seguintes equações:</t>
  </si>
  <si>
    <t>Linha</t>
  </si>
  <si>
    <t>Coluna</t>
  </si>
  <si>
    <t>Índice</t>
  </si>
  <si>
    <t>Valor relativo específico da tabela Heidecke:</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</si>
  <si>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</si>
  <si>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</si>
  <si>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</si>
  <si>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</si>
  <si>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</si>
  <si>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</si>
  <si>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</si>
  <si>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</si>
  <si>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</si>
  <si>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</si>
  <si>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</si>
  <si>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VEGNI-NERI, Guilherme Bomfim dei. Avaliação de imóveis urbanos e rurais: método prático e moderno. 4. ed. revista, melhorada e atualizada. São Paulo: Ed. Nacional, 1979.</t>
  </si>
  <si>
    <t>______. Prática de avaliação de imóveis: método moderno. 2. ed. revista melhorada. São Paulo: Edições Livraria Legislação Brasileira. 1968.</t>
  </si>
  <si>
    <r>
      <t xml:space="preserve">Embora os coeficientes de depreciação sejam os mesmos, os estados de conservação podem ser classificados de três formas diferentes:
1. </t>
    </r>
    <r>
      <rPr>
        <b/>
        <sz val="10"/>
        <rFont val="Arial Nova"/>
        <family val="2"/>
      </rPr>
      <t>pelas letras (classificação mais comum)</t>
    </r>
    <r>
      <rPr>
        <sz val="10"/>
        <rFont val="Arial Nova"/>
        <family val="2"/>
      </rPr>
      <t xml:space="preserve">: A, B, C, D, E, F, G, H, e I.
2. </t>
    </r>
    <r>
      <rPr>
        <b/>
        <sz val="10"/>
        <rFont val="Arial Nova"/>
        <family val="2"/>
      </rPr>
      <t>por números</t>
    </r>
    <r>
      <rPr>
        <sz val="10"/>
        <rFont val="Arial Nova"/>
        <family val="2"/>
      </rPr>
      <t xml:space="preserve">: 1; 1,5; 2; 2,5; 3; 3,5; 4; 4,5, e 5.
3. </t>
    </r>
    <r>
      <rPr>
        <b/>
        <sz val="10"/>
        <rFont val="Arial Nova"/>
        <family val="2"/>
      </rPr>
      <t>pela situação das edificações</t>
    </r>
    <r>
      <rPr>
        <sz val="10"/>
        <rFont val="Arial Nova"/>
        <family val="2"/>
      </rPr>
      <t xml:space="preserve">: ótimo, muito bom, bom, intermédio, regular, deficiente, mau, muito mau, e demolição.
</t>
    </r>
    <r>
      <rPr>
        <b/>
        <sz val="10"/>
        <rFont val="Arial Nova"/>
        <family val="2"/>
      </rPr>
      <t>4. pelos códigos</t>
    </r>
    <r>
      <rPr>
        <sz val="10"/>
        <rFont val="Arial Nova"/>
        <family val="2"/>
      </rPr>
      <t>: O, MB, B, I, R, D, M, MM, e DM.</t>
    </r>
  </si>
  <si>
    <r>
      <t xml:space="preserve">Valores relativos (perda de valor) calculados de acordo com o método Ross-Heidecke ( </t>
    </r>
    <r>
      <rPr>
        <i/>
        <sz val="10"/>
        <rFont val="Arial Nova"/>
        <family val="2"/>
      </rPr>
      <t>k</t>
    </r>
    <r>
      <rPr>
        <i/>
        <vertAlign val="subscript"/>
        <sz val="10"/>
        <rFont val="Arial Nova"/>
        <family val="2"/>
      </rPr>
      <t>d</t>
    </r>
    <r>
      <rPr>
        <vertAlign val="subscript"/>
        <sz val="10"/>
        <rFont val="Arial Nova"/>
        <family val="2"/>
      </rPr>
      <t xml:space="preserve"> </t>
    </r>
    <r>
      <rPr>
        <sz val="10"/>
        <rFont val="Arial Nova"/>
        <family val="2"/>
      </rPr>
      <t>)</t>
    </r>
  </si>
  <si>
    <r>
      <t xml:space="preserve">Fatores diretos de depreciação calculados de acordo com o método Ross-Heidecke ( </t>
    </r>
    <r>
      <rPr>
        <i/>
        <sz val="10"/>
        <rFont val="Arial Nova"/>
        <family val="2"/>
      </rPr>
      <t>f</t>
    </r>
    <r>
      <rPr>
        <i/>
        <vertAlign val="subscript"/>
        <sz val="10"/>
        <rFont val="Arial Nova"/>
        <family val="2"/>
      </rPr>
      <t>d</t>
    </r>
    <r>
      <rPr>
        <i/>
        <sz val="10"/>
        <rFont val="Arial Nova"/>
        <family val="2"/>
      </rPr>
      <t xml:space="preserve"> = 1 + k</t>
    </r>
    <r>
      <rPr>
        <i/>
        <vertAlign val="subscript"/>
        <sz val="10"/>
        <rFont val="Arial Nova"/>
        <family val="2"/>
      </rPr>
      <t>d</t>
    </r>
    <r>
      <rPr>
        <sz val="10"/>
        <rFont val="Arial Nova"/>
        <family val="2"/>
      </rPr>
      <t xml:space="preserve"> )</t>
    </r>
  </si>
  <si>
    <t>Preço</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</si>
  <si>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</si>
  <si>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 1978.</t>
  </si>
  <si>
    <t>MEDEIROS JÚNIOR, J.R.; PELLEGRINO, José Carlos. Método do custo: o terceiro componente. In: Avaliações para garantias: Instituto Brasileiro de Avaliações e Perícias de Engenharia. São Paulo: Pini, 1983.</t>
  </si>
  <si>
    <t>______. Prática de avaliação de imóveis: método moderno. 2. ed. revista melhorada. São Paulo: Edições Livraria Legislação Brasileira, 1968.</t>
  </si>
  <si>
    <t>Frente padrão para a zona</t>
  </si>
  <si>
    <t>Plano, em nível</t>
  </si>
  <si>
    <t>Seco</t>
  </si>
  <si>
    <t>Dentro dos limites mínimo e máximo</t>
  </si>
  <si>
    <t>Meio de quadra</t>
  </si>
  <si>
    <t>Característica do terreno padrão</t>
  </si>
  <si>
    <t>Fator do terreno padrão</t>
  </si>
  <si>
    <t>Área da benfeitoria:</t>
  </si>
  <si>
    <t>Terreno à venda</t>
  </si>
  <si>
    <t>Elemento comparativo</t>
  </si>
  <si>
    <t>INTERVALO DE CONFIANÇA E GRAU DE PRECISÃO</t>
  </si>
  <si>
    <t>Água</t>
  </si>
  <si>
    <t>Esgoto</t>
  </si>
  <si>
    <t>Luz pública</t>
  </si>
  <si>
    <t>Luz domiciliar</t>
  </si>
  <si>
    <t>Guias-sarjetas</t>
  </si>
  <si>
    <t>Telefone</t>
  </si>
  <si>
    <t>Melhoramentos públicos do bem avaliando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</si>
</sst>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_ ;[Red]\-#,##0.00\ "/>
    <numFmt numFmtId="165" formatCode="0.000000"/>
    <numFmt numFmtId="166" formatCode="0.0000"/>
    <numFmt numFmtId="167" formatCode="#,##0.0000"/>
    <numFmt numFmtId="168" formatCode="_-[$R$-416]\ * #,##0.00_-;\-[$R$-416]\ * #,##0.00_-;_-[$R$-416]\ * &quot;-&quot;??_-;_-@_-"/>
    <numFmt numFmtId="169" formatCode="#,##0.00_ ;\-#,##0.00\ "/>
    <numFmt numFmtId="170" formatCode="0.000"/>
    <numFmt numFmtId="171" formatCode="#,##0_ ;[Red]\-#,##0\ "/>
    <numFmt numFmtId="172" formatCode="#,##0.000000_ ;[Red]\-#,##0.000000\ "/>
    <numFmt numFmtId="173" formatCode="#,##0.00000_ ;[Red]\-#,##0.00000\ "/>
    <numFmt numFmtId="174" formatCode="0.0"/>
    <numFmt numFmtId="175" formatCode="#,##0.0000_ ;[Red]\-#,##0.0000\ "/>
    <numFmt numFmtId="176" formatCode="0.0%"/>
  </numFmts>
  <fonts count="23" x14ac:knownFonts="1">
    <font>
      <sz val="11"/>
      <color theme="1"/>
      <name val="Aptos"/>
      <family val="2"/>
    </font>
    <font>
      <sz val="11"/>
      <color theme="1"/>
      <name val="Aptos"/>
      <family val="2"/>
    </font>
    <font>
      <b/>
      <sz val="10"/>
      <name val="Arial Nova"/>
      <family val="2"/>
    </font>
    <font>
      <sz val="10"/>
      <name val="Arial Nova"/>
      <family val="2"/>
    </font>
    <font>
      <i/>
      <sz val="10"/>
      <name val="Arial Nova"/>
      <family val="2"/>
    </font>
    <font>
      <vertAlign val="subscript"/>
      <sz val="10"/>
      <name val="Arial Nova"/>
      <family val="2"/>
    </font>
    <font>
      <b/>
      <sz val="11"/>
      <name val="Aptos"/>
      <family val="2"/>
    </font>
    <font>
      <sz val="11"/>
      <name val="Aptos"/>
      <family val="2"/>
    </font>
    <font>
      <b/>
      <sz val="11"/>
      <color theme="1"/>
      <name val="Aptos"/>
      <family val="2"/>
    </font>
    <font>
      <b/>
      <sz val="14"/>
      <color theme="1"/>
      <name val="Aptos"/>
      <family val="2"/>
    </font>
    <font>
      <sz val="14"/>
      <color theme="1"/>
      <name val="Aptos"/>
      <family val="2"/>
    </font>
    <font>
      <b/>
      <i/>
      <sz val="10"/>
      <name val="Arial Nova"/>
      <family val="2"/>
    </font>
    <font>
      <b/>
      <i/>
      <vertAlign val="subscript"/>
      <sz val="10"/>
      <name val="Arial Nova"/>
      <family val="2"/>
    </font>
    <font>
      <i/>
      <vertAlign val="subscript"/>
      <sz val="10"/>
      <name val="Arial Nova"/>
      <family val="2"/>
    </font>
    <font>
      <b/>
      <sz val="10"/>
      <name val="Aptos"/>
      <family val="2"/>
    </font>
    <font>
      <sz val="10"/>
      <name val="Aptos"/>
      <family val="2"/>
    </font>
    <font>
      <i/>
      <sz val="10"/>
      <name val="Aptos"/>
      <family val="2"/>
    </font>
    <font>
      <vertAlign val="subscript"/>
      <sz val="10"/>
      <name val="Aptos"/>
      <family val="2"/>
    </font>
    <font>
      <b/>
      <sz val="10.5"/>
      <name val="Aptos"/>
      <family val="2"/>
    </font>
    <font>
      <sz val="11"/>
      <color theme="0"/>
      <name val="Aptos"/>
      <family val="2"/>
    </font>
    <font>
      <sz val="10"/>
      <color theme="0"/>
      <name val="Aptos"/>
      <family val="2"/>
    </font>
    <font>
      <sz val="10"/>
      <color theme="0"/>
      <name val="Arial Nova"/>
      <family val="2"/>
    </font>
    <font>
      <b/>
      <sz val="11"/>
      <color theme="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4.9989318521683403E-2"/>
        <bgColor rgb="FF3465A4"/>
      </patternFill>
    </fill>
    <fill>
      <patternFill patternType="solid">
        <fgColor theme="0" tint="-4.9989318521683403E-2"/>
        <bgColor rgb="FF336699"/>
      </patternFill>
    </fill>
    <fill>
      <patternFill patternType="solid">
        <fgColor theme="0" tint="-0.14999847407452621"/>
        <bgColor rgb="FF336699"/>
      </patternFill>
    </fill>
    <fill>
      <patternFill patternType="solid">
        <fgColor theme="0"/>
        <bgColor indexed="64"/>
      </patternFill>
    </fill>
  </fills>
  <borders count="4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24">
    <xf numFmtId="0" fontId="0" fillId="0" borderId="0" xfId="0"/>
    <xf numFmtId="0" fontId="3" fillId="0" borderId="0" xfId="0" applyFont="1" applyAlignment="1" applyProtection="1">
      <alignment horizontal="justify" vertical="center" wrapText="1"/>
      <protection hidden="1"/>
    </xf>
    <xf numFmtId="0" fontId="4" fillId="0" borderId="0" xfId="0" applyFont="1" applyAlignment="1" applyProtection="1">
      <alignment vertical="center" wrapText="1"/>
      <protection hidden="1"/>
    </xf>
    <xf numFmtId="0" fontId="3" fillId="0" borderId="0" xfId="0" applyFont="1" applyAlignment="1" applyProtection="1">
      <alignment wrapText="1"/>
      <protection hidden="1"/>
    </xf>
    <xf numFmtId="0" fontId="3" fillId="0" borderId="0" xfId="0" applyFont="1" applyAlignment="1" applyProtection="1">
      <alignment horizontal="justify" vertical="top" wrapText="1"/>
      <protection hidden="1"/>
    </xf>
    <xf numFmtId="0" fontId="3" fillId="0" borderId="26" xfId="0" applyFont="1" applyBorder="1" applyAlignment="1" applyProtection="1">
      <alignment horizontal="justify" vertical="center" wrapText="1"/>
      <protection hidden="1"/>
    </xf>
    <xf numFmtId="0" fontId="3" fillId="0" borderId="31" xfId="0" applyFont="1" applyBorder="1" applyAlignment="1" applyProtection="1">
      <alignment horizontal="center" vertical="center" wrapText="1"/>
      <protection hidden="1"/>
    </xf>
    <xf numFmtId="0" fontId="4" fillId="0" borderId="0" xfId="0" applyFont="1" applyAlignment="1" applyProtection="1">
      <alignment horizontal="right" vertical="center" wrapText="1"/>
      <protection hidden="1"/>
    </xf>
    <xf numFmtId="49" fontId="4" fillId="0" borderId="0" xfId="0" applyNumberFormat="1" applyFont="1" applyAlignment="1" applyProtection="1">
      <alignment vertical="center" wrapText="1"/>
      <protection hidden="1"/>
    </xf>
    <xf numFmtId="0" fontId="0" fillId="0" borderId="0" xfId="0" applyProtection="1">
      <protection hidden="1"/>
    </xf>
    <xf numFmtId="0" fontId="15" fillId="4" borderId="0" xfId="0" applyFont="1" applyFill="1" applyAlignment="1" applyProtection="1">
      <alignment vertical="center" wrapText="1"/>
      <protection hidden="1"/>
    </xf>
    <xf numFmtId="0" fontId="15" fillId="0" borderId="0" xfId="0" applyFont="1" applyAlignment="1" applyProtection="1">
      <alignment vertical="center" wrapText="1"/>
      <protection hidden="1"/>
    </xf>
    <xf numFmtId="0" fontId="15" fillId="3" borderId="2" xfId="0" applyFont="1" applyFill="1" applyBorder="1" applyAlignment="1" applyProtection="1">
      <alignment horizontal="center" vertical="center" wrapText="1"/>
      <protection hidden="1"/>
    </xf>
    <xf numFmtId="0" fontId="15" fillId="0" borderId="5" xfId="0" applyFont="1" applyBorder="1" applyAlignment="1" applyProtection="1">
      <alignment vertical="center" wrapText="1"/>
      <protection hidden="1"/>
    </xf>
    <xf numFmtId="164" fontId="15" fillId="0" borderId="5" xfId="0" applyNumberFormat="1" applyFont="1" applyBorder="1" applyAlignment="1" applyProtection="1">
      <alignment vertical="center" wrapText="1"/>
      <protection locked="0"/>
    </xf>
    <xf numFmtId="164" fontId="15" fillId="0" borderId="14" xfId="0" applyNumberFormat="1" applyFont="1" applyBorder="1" applyAlignment="1" applyProtection="1">
      <alignment vertical="center" wrapText="1"/>
      <protection locked="0"/>
    </xf>
    <xf numFmtId="164" fontId="15" fillId="0" borderId="0" xfId="0" applyNumberFormat="1" applyFont="1" applyAlignment="1" applyProtection="1">
      <alignment vertical="center" wrapText="1"/>
      <protection hidden="1"/>
    </xf>
    <xf numFmtId="0" fontId="16" fillId="0" borderId="0" xfId="0" applyFont="1" applyAlignment="1" applyProtection="1">
      <alignment horizontal="center" vertical="center" wrapText="1"/>
      <protection hidden="1"/>
    </xf>
    <xf numFmtId="2" fontId="15" fillId="0" borderId="5" xfId="0" applyNumberFormat="1" applyFont="1" applyBorder="1" applyAlignment="1" applyProtection="1">
      <alignment vertical="center" wrapText="1"/>
      <protection hidden="1"/>
    </xf>
    <xf numFmtId="164" fontId="15" fillId="3" borderId="14" xfId="0" applyNumberFormat="1" applyFont="1" applyFill="1" applyBorder="1" applyAlignment="1" applyProtection="1">
      <alignment vertical="center" wrapText="1"/>
      <protection hidden="1"/>
    </xf>
    <xf numFmtId="9" fontId="15" fillId="0" borderId="0" xfId="2" applyFont="1" applyAlignment="1" applyProtection="1">
      <alignment vertical="center" wrapText="1"/>
      <protection hidden="1"/>
    </xf>
    <xf numFmtId="9" fontId="15" fillId="0" borderId="0" xfId="0" applyNumberFormat="1" applyFont="1" applyAlignment="1" applyProtection="1">
      <alignment vertical="center" wrapText="1"/>
      <protection hidden="1"/>
    </xf>
    <xf numFmtId="43" fontId="15" fillId="0" borderId="0" xfId="1" applyFont="1" applyAlignment="1" applyProtection="1">
      <alignment vertical="center" wrapText="1"/>
      <protection hidden="1"/>
    </xf>
    <xf numFmtId="0" fontId="15" fillId="3" borderId="2" xfId="0" applyFont="1" applyFill="1" applyBorder="1" applyAlignment="1" applyProtection="1">
      <alignment vertical="center" wrapText="1"/>
      <protection hidden="1"/>
    </xf>
    <xf numFmtId="4" fontId="15" fillId="0" borderId="5" xfId="2" applyNumberFormat="1" applyFont="1" applyFill="1" applyBorder="1" applyAlignment="1" applyProtection="1">
      <alignment horizontal="right" vertical="center" wrapText="1" readingOrder="1"/>
      <protection locked="0"/>
    </xf>
    <xf numFmtId="4" fontId="15" fillId="0" borderId="14" xfId="2" applyNumberFormat="1" applyFont="1" applyFill="1" applyBorder="1" applyAlignment="1" applyProtection="1">
      <alignment horizontal="right" vertical="center" wrapText="1" readingOrder="1"/>
      <protection locked="0"/>
    </xf>
    <xf numFmtId="10" fontId="15" fillId="0" borderId="0" xfId="2" applyNumberFormat="1" applyFont="1" applyBorder="1" applyAlignment="1" applyProtection="1">
      <alignment horizontal="right" vertical="center" wrapText="1"/>
      <protection hidden="1"/>
    </xf>
    <xf numFmtId="0" fontId="15" fillId="0" borderId="0" xfId="0" applyFont="1" applyAlignment="1" applyProtection="1">
      <alignment horizontal="justify" wrapText="1"/>
      <protection hidden="1"/>
    </xf>
    <xf numFmtId="0" fontId="3" fillId="0" borderId="0" xfId="0" applyFont="1" applyAlignment="1" applyProtection="1">
      <alignment vertical="center" wrapText="1"/>
      <protection hidden="1"/>
    </xf>
    <xf numFmtId="4" fontId="15" fillId="0" borderId="1" xfId="2" applyNumberFormat="1" applyFont="1" applyFill="1" applyBorder="1" applyAlignment="1" applyProtection="1">
      <alignment horizontal="right" vertical="center" wrapText="1" readingOrder="1"/>
      <protection hidden="1"/>
    </xf>
    <xf numFmtId="0" fontId="7" fillId="0" borderId="0" xfId="0" applyFont="1" applyAlignment="1" applyProtection="1">
      <alignment vertical="center" wrapText="1"/>
      <protection hidden="1"/>
    </xf>
    <xf numFmtId="0" fontId="7" fillId="0" borderId="0" xfId="0" applyFont="1" applyAlignment="1" applyProtection="1">
      <alignment horizontal="justify" vertical="center" wrapText="1" readingOrder="1"/>
      <protection hidden="1"/>
    </xf>
    <xf numFmtId="0" fontId="6" fillId="0" borderId="2" xfId="0" applyFont="1" applyBorder="1" applyAlignment="1" applyProtection="1">
      <alignment vertical="center" wrapText="1"/>
      <protection hidden="1"/>
    </xf>
    <xf numFmtId="0" fontId="3" fillId="0" borderId="35" xfId="0" applyFont="1" applyBorder="1" applyAlignment="1" applyProtection="1">
      <alignment vertical="center" wrapText="1"/>
      <protection hidden="1"/>
    </xf>
    <xf numFmtId="0" fontId="3" fillId="0" borderId="8" xfId="0" applyFont="1" applyBorder="1" applyAlignment="1" applyProtection="1">
      <alignment vertical="center" wrapText="1"/>
      <protection hidden="1"/>
    </xf>
    <xf numFmtId="0" fontId="3" fillId="0" borderId="8" xfId="0" applyFont="1" applyBorder="1" applyProtection="1">
      <protection hidden="1"/>
    </xf>
    <xf numFmtId="0" fontId="3" fillId="0" borderId="36" xfId="0" applyFont="1" applyBorder="1" applyAlignment="1" applyProtection="1">
      <alignment vertical="center" wrapText="1"/>
      <protection hidden="1"/>
    </xf>
    <xf numFmtId="0" fontId="3" fillId="0" borderId="16" xfId="0" applyFont="1" applyBorder="1" applyAlignment="1" applyProtection="1">
      <alignment vertical="center" wrapText="1"/>
      <protection hidden="1"/>
    </xf>
    <xf numFmtId="0" fontId="3" fillId="0" borderId="39" xfId="0" applyFont="1" applyBorder="1" applyAlignment="1" applyProtection="1">
      <alignment vertical="center" wrapText="1"/>
      <protection hidden="1"/>
    </xf>
    <xf numFmtId="0" fontId="3" fillId="0" borderId="37" xfId="0" applyFont="1" applyBorder="1" applyAlignment="1" applyProtection="1">
      <alignment vertical="center" wrapText="1"/>
      <protection hidden="1"/>
    </xf>
    <xf numFmtId="0" fontId="3" fillId="0" borderId="2" xfId="0" applyFont="1" applyBorder="1" applyAlignment="1" applyProtection="1">
      <alignment vertical="center" wrapText="1"/>
      <protection hidden="1"/>
    </xf>
    <xf numFmtId="0" fontId="3" fillId="0" borderId="0" xfId="0" applyFont="1" applyAlignment="1" applyProtection="1">
      <alignment horizontal="justify" wrapText="1"/>
      <protection hidden="1"/>
    </xf>
    <xf numFmtId="0" fontId="3" fillId="0" borderId="38" xfId="0" applyFont="1" applyBorder="1" applyAlignment="1" applyProtection="1">
      <alignment vertical="center" wrapText="1"/>
      <protection hidden="1"/>
    </xf>
    <xf numFmtId="0" fontId="3" fillId="0" borderId="5" xfId="0" applyFont="1" applyBorder="1" applyAlignment="1" applyProtection="1">
      <alignment vertical="center" wrapText="1"/>
      <protection hidden="1"/>
    </xf>
    <xf numFmtId="0" fontId="3" fillId="0" borderId="0" xfId="0" applyFont="1" applyProtection="1">
      <protection hidden="1"/>
    </xf>
    <xf numFmtId="0" fontId="3" fillId="0" borderId="0" xfId="0" applyFont="1" applyAlignment="1" applyProtection="1">
      <alignment horizontal="distributed" wrapText="1"/>
      <protection hidden="1"/>
    </xf>
    <xf numFmtId="0" fontId="20" fillId="0" borderId="0" xfId="0" applyFont="1" applyAlignment="1" applyProtection="1">
      <alignment vertical="center" wrapText="1"/>
      <protection hidden="1"/>
    </xf>
    <xf numFmtId="164" fontId="20" fillId="0" borderId="0" xfId="0" applyNumberFormat="1" applyFont="1" applyAlignment="1" applyProtection="1">
      <alignment vertical="center" wrapText="1"/>
      <protection hidden="1"/>
    </xf>
    <xf numFmtId="0" fontId="19" fillId="0" borderId="0" xfId="0" applyFont="1" applyAlignment="1" applyProtection="1">
      <alignment vertical="center" wrapText="1"/>
      <protection hidden="1"/>
    </xf>
    <xf numFmtId="0" fontId="19" fillId="0" borderId="0" xfId="0" applyFont="1" applyAlignment="1" applyProtection="1">
      <alignment horizontal="left" vertical="center" wrapText="1"/>
      <protection hidden="1"/>
    </xf>
    <xf numFmtId="0" fontId="21" fillId="0" borderId="0" xfId="0" applyFont="1" applyAlignment="1" applyProtection="1">
      <alignment vertical="center" wrapText="1"/>
      <protection hidden="1"/>
    </xf>
    <xf numFmtId="0" fontId="21" fillId="0" borderId="0" xfId="0" applyFont="1" applyAlignment="1" applyProtection="1">
      <alignment wrapText="1"/>
      <protection hidden="1"/>
    </xf>
    <xf numFmtId="0" fontId="3" fillId="0" borderId="2" xfId="0" applyFont="1" applyBorder="1" applyAlignment="1" applyProtection="1">
      <alignment horizontal="center" vertical="center" wrapText="1"/>
      <protection locked="0"/>
    </xf>
    <xf numFmtId="0" fontId="19" fillId="0" borderId="0" xfId="0" applyFont="1" applyAlignment="1" applyProtection="1">
      <alignment horizontal="justify" vertical="top" wrapText="1"/>
      <protection hidden="1"/>
    </xf>
    <xf numFmtId="0" fontId="19" fillId="0" borderId="0" xfId="0" applyFont="1" applyAlignment="1" applyProtection="1">
      <alignment horizontal="justify" wrapText="1"/>
      <protection hidden="1"/>
    </xf>
    <xf numFmtId="0" fontId="22" fillId="0" borderId="0" xfId="0" applyFont="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10" fontId="19" fillId="0" borderId="0" xfId="0" applyNumberFormat="1" applyFont="1" applyAlignment="1" applyProtection="1">
      <alignment horizontal="center" vertical="center" wrapText="1"/>
      <protection hidden="1"/>
    </xf>
    <xf numFmtId="0" fontId="19" fillId="0" borderId="0" xfId="0" applyFont="1" applyAlignment="1" applyProtection="1">
      <alignment horizontal="right" vertical="center" wrapText="1"/>
      <protection hidden="1"/>
    </xf>
    <xf numFmtId="170" fontId="19" fillId="0" borderId="0" xfId="0" applyNumberFormat="1" applyFont="1" applyAlignment="1" applyProtection="1">
      <alignment horizontal="right" vertical="center" wrapText="1"/>
      <protection hidden="1"/>
    </xf>
    <xf numFmtId="170" fontId="19" fillId="0" borderId="0" xfId="0" applyNumberFormat="1" applyFont="1" applyAlignment="1" applyProtection="1">
      <alignment horizontal="justify" vertical="top" wrapText="1"/>
      <protection hidden="1"/>
    </xf>
    <xf numFmtId="0" fontId="21" fillId="0" borderId="0" xfId="0" applyFont="1" applyAlignment="1" applyProtection="1">
      <alignment horizontal="justify" vertical="top" wrapText="1"/>
      <protection hidden="1"/>
    </xf>
    <xf numFmtId="0" fontId="21" fillId="0" borderId="0" xfId="0" applyFont="1" applyAlignment="1" applyProtection="1">
      <alignment vertical="center"/>
      <protection hidden="1"/>
    </xf>
    <xf numFmtId="0" fontId="21" fillId="0" borderId="0" xfId="0" applyFont="1" applyAlignment="1" applyProtection="1">
      <alignment horizontal="justify" vertical="center" wrapText="1"/>
      <protection hidden="1"/>
    </xf>
    <xf numFmtId="171" fontId="3" fillId="0" borderId="0" xfId="0" applyNumberFormat="1" applyFont="1" applyAlignment="1" applyProtection="1">
      <alignment horizontal="right" vertical="center" wrapText="1" readingOrder="1"/>
      <protection hidden="1"/>
    </xf>
    <xf numFmtId="172" fontId="3" fillId="0" borderId="0" xfId="0" applyNumberFormat="1" applyFont="1" applyAlignment="1" applyProtection="1">
      <alignment horizontal="right" vertical="center" wrapText="1" readingOrder="1"/>
      <protection hidden="1"/>
    </xf>
    <xf numFmtId="173" fontId="3" fillId="0" borderId="0" xfId="0" applyNumberFormat="1" applyFont="1" applyAlignment="1" applyProtection="1">
      <alignment horizontal="right" vertical="center" wrapText="1" readingOrder="1"/>
      <protection hidden="1"/>
    </xf>
    <xf numFmtId="0" fontId="3" fillId="0" borderId="0" xfId="0" applyFont="1" applyAlignment="1" applyProtection="1">
      <alignment horizontal="right" vertical="center" wrapText="1" readingOrder="1"/>
      <protection hidden="1"/>
    </xf>
    <xf numFmtId="1" fontId="3" fillId="0" borderId="31" xfId="0" applyNumberFormat="1" applyFont="1" applyBorder="1" applyAlignment="1" applyProtection="1">
      <alignment horizontal="right" vertical="center" wrapText="1"/>
      <protection hidden="1"/>
    </xf>
    <xf numFmtId="0" fontId="3" fillId="0" borderId="3" xfId="0" applyFont="1" applyBorder="1" applyAlignment="1" applyProtection="1">
      <alignment horizontal="center" vertical="center" wrapText="1"/>
      <protection hidden="1"/>
    </xf>
    <xf numFmtId="9" fontId="3" fillId="3" borderId="3" xfId="2" applyFont="1" applyFill="1" applyBorder="1" applyAlignment="1" applyProtection="1">
      <alignment horizontal="center" vertical="center" wrapText="1"/>
      <protection hidden="1"/>
    </xf>
    <xf numFmtId="4" fontId="3" fillId="0" borderId="3" xfId="0" applyNumberFormat="1" applyFont="1" applyBorder="1" applyAlignment="1" applyProtection="1">
      <alignment horizontal="right" vertical="center" wrapText="1"/>
      <protection hidden="1"/>
    </xf>
    <xf numFmtId="0" fontId="15" fillId="0" borderId="0" xfId="0" applyFont="1" applyAlignment="1" applyProtection="1">
      <alignment vertical="center"/>
      <protection hidden="1"/>
    </xf>
    <xf numFmtId="9" fontId="3" fillId="0" borderId="3" xfId="2" applyFont="1" applyBorder="1" applyAlignment="1" applyProtection="1">
      <alignment horizontal="center" vertical="center" wrapText="1"/>
      <protection hidden="1"/>
    </xf>
    <xf numFmtId="10" fontId="3" fillId="0" borderId="3" xfId="2" applyNumberFormat="1" applyFont="1" applyBorder="1" applyAlignment="1" applyProtection="1">
      <alignment horizontal="right" vertical="center" wrapText="1"/>
      <protection hidden="1"/>
    </xf>
    <xf numFmtId="0" fontId="7" fillId="0" borderId="0" xfId="0" applyFont="1" applyProtection="1">
      <protection hidden="1"/>
    </xf>
    <xf numFmtId="167" fontId="3" fillId="0" borderId="3" xfId="0" applyNumberFormat="1" applyFont="1" applyBorder="1" applyAlignment="1" applyProtection="1">
      <alignment horizontal="right" vertical="center" wrapText="1"/>
      <protection hidden="1"/>
    </xf>
    <xf numFmtId="0" fontId="0" fillId="0" borderId="0" xfId="0" applyAlignment="1" applyProtection="1">
      <alignment vertical="center"/>
      <protection hidden="1"/>
    </xf>
    <xf numFmtId="0" fontId="10" fillId="0" borderId="0" xfId="0" applyFont="1" applyAlignment="1" applyProtection="1">
      <alignment horizontal="center" vertical="center"/>
      <protection hidden="1"/>
    </xf>
    <xf numFmtId="0" fontId="0" fillId="0" borderId="1"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10" xfId="0" applyBorder="1" applyProtection="1">
      <protection hidden="1"/>
    </xf>
    <xf numFmtId="0" fontId="0" fillId="0" borderId="3" xfId="0" applyBorder="1" applyAlignment="1" applyProtection="1">
      <alignment vertical="center"/>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0" borderId="21" xfId="0" applyBorder="1" applyProtection="1">
      <protection hidden="1"/>
    </xf>
    <xf numFmtId="0" fontId="6" fillId="0" borderId="0" xfId="0" applyFont="1" applyAlignment="1" applyProtection="1">
      <alignment vertical="center"/>
      <protection hidden="1"/>
    </xf>
    <xf numFmtId="0" fontId="6" fillId="0" borderId="10" xfId="0" applyFont="1" applyBorder="1" applyAlignment="1" applyProtection="1">
      <alignment vertical="center"/>
      <protection hidden="1"/>
    </xf>
    <xf numFmtId="0" fontId="7" fillId="0" borderId="0" xfId="0" applyFont="1" applyAlignment="1" applyProtection="1">
      <alignment vertical="center"/>
      <protection hidden="1"/>
    </xf>
    <xf numFmtId="0" fontId="7" fillId="0" borderId="16"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0" fillId="0" borderId="1" xfId="0" applyBorder="1" applyAlignment="1" applyProtection="1">
      <alignment vertical="center"/>
      <protection hidden="1"/>
    </xf>
    <xf numFmtId="0" fontId="7" fillId="0" borderId="1" xfId="0" applyFont="1" applyBorder="1" applyAlignment="1" applyProtection="1">
      <alignment vertical="center"/>
      <protection hidden="1"/>
    </xf>
    <xf numFmtId="0" fontId="6" fillId="0" borderId="0" xfId="0" applyFont="1" applyAlignment="1" applyProtection="1">
      <alignment vertical="center" wrapText="1"/>
      <protection hidden="1"/>
    </xf>
    <xf numFmtId="14" fontId="7" fillId="0" borderId="0" xfId="0" applyNumberFormat="1" applyFont="1" applyAlignment="1" applyProtection="1">
      <alignment vertical="center"/>
      <protection hidden="1"/>
    </xf>
    <xf numFmtId="49" fontId="7" fillId="0" borderId="0" xfId="0" applyNumberFormat="1" applyFont="1" applyAlignment="1" applyProtection="1">
      <alignment vertical="center"/>
      <protection hidden="1"/>
    </xf>
    <xf numFmtId="0" fontId="6" fillId="0" borderId="10" xfId="0" applyFont="1" applyBorder="1" applyAlignment="1" applyProtection="1">
      <alignment vertical="center" wrapText="1"/>
      <protection hidden="1"/>
    </xf>
    <xf numFmtId="0" fontId="7" fillId="0" borderId="3" xfId="0" applyFont="1" applyBorder="1" applyAlignment="1" applyProtection="1">
      <alignment vertical="center"/>
      <protection hidden="1"/>
    </xf>
    <xf numFmtId="0" fontId="7" fillId="0" borderId="17" xfId="0" applyFont="1" applyBorder="1" applyAlignment="1" applyProtection="1">
      <alignment vertical="center"/>
      <protection hidden="1"/>
    </xf>
    <xf numFmtId="0" fontId="6" fillId="0" borderId="13" xfId="0" applyFont="1" applyBorder="1" applyAlignment="1" applyProtection="1">
      <alignment vertical="center" wrapText="1"/>
      <protection hidden="1"/>
    </xf>
    <xf numFmtId="0" fontId="6" fillId="0" borderId="1" xfId="0" applyFont="1" applyBorder="1" applyAlignment="1" applyProtection="1">
      <alignment vertical="center" wrapText="1"/>
      <protection hidden="1"/>
    </xf>
    <xf numFmtId="0" fontId="8" fillId="0" borderId="0" xfId="0" applyFont="1" applyAlignment="1" applyProtection="1">
      <alignment vertical="center"/>
      <protection hidden="1"/>
    </xf>
    <xf numFmtId="0" fontId="6" fillId="0" borderId="3" xfId="0" applyFont="1" applyBorder="1" applyAlignment="1" applyProtection="1">
      <alignment vertical="center"/>
      <protection hidden="1"/>
    </xf>
    <xf numFmtId="0" fontId="0" fillId="0" borderId="0" xfId="0" applyAlignment="1" applyProtection="1">
      <alignment horizontal="left" vertical="center"/>
      <protection hidden="1"/>
    </xf>
    <xf numFmtId="165" fontId="20" fillId="0" borderId="0" xfId="1" applyNumberFormat="1" applyFont="1" applyBorder="1" applyAlignment="1" applyProtection="1">
      <alignment horizontal="right" vertical="center" wrapText="1"/>
      <protection hidden="1"/>
    </xf>
    <xf numFmtId="10" fontId="20" fillId="0" borderId="0" xfId="0" applyNumberFormat="1" applyFont="1" applyAlignment="1" applyProtection="1">
      <alignment vertical="center" wrapText="1"/>
      <protection hidden="1"/>
    </xf>
    <xf numFmtId="4" fontId="20" fillId="0" borderId="0" xfId="0" applyNumberFormat="1" applyFont="1" applyAlignment="1" applyProtection="1">
      <alignment vertical="center" wrapText="1"/>
      <protection hidden="1"/>
    </xf>
    <xf numFmtId="10" fontId="21" fillId="0" borderId="0" xfId="2" applyNumberFormat="1" applyFont="1" applyAlignment="1" applyProtection="1">
      <alignment vertical="center" wrapText="1"/>
      <protection hidden="1"/>
    </xf>
    <xf numFmtId="176" fontId="21" fillId="0" borderId="0" xfId="2" applyNumberFormat="1" applyFont="1" applyAlignment="1" applyProtection="1">
      <alignment vertical="center" wrapText="1"/>
      <protection hidden="1"/>
    </xf>
    <xf numFmtId="0" fontId="3" fillId="0" borderId="5" xfId="0" applyFont="1" applyBorder="1" applyAlignment="1" applyProtection="1">
      <alignment vertical="center" wrapText="1"/>
      <protection hidden="1"/>
    </xf>
    <xf numFmtId="164" fontId="3" fillId="0" borderId="5" xfId="0" applyNumberFormat="1" applyFont="1" applyBorder="1" applyAlignment="1" applyProtection="1">
      <alignment vertical="center" wrapText="1"/>
      <protection hidden="1"/>
    </xf>
    <xf numFmtId="176" fontId="3" fillId="0" borderId="3" xfId="2" applyNumberFormat="1" applyFont="1" applyBorder="1" applyAlignment="1" applyProtection="1">
      <alignment horizontal="right" wrapText="1"/>
      <protection hidden="1"/>
    </xf>
    <xf numFmtId="0" fontId="3" fillId="0" borderId="3" xfId="0" applyFont="1" applyBorder="1" applyAlignment="1" applyProtection="1">
      <alignment horizontal="center" wrapText="1"/>
      <protection locked="0"/>
    </xf>
    <xf numFmtId="0" fontId="3" fillId="0" borderId="3" xfId="0" applyFont="1" applyBorder="1" applyAlignment="1" applyProtection="1">
      <alignment wrapText="1"/>
      <protection hidden="1"/>
    </xf>
    <xf numFmtId="2" fontId="3" fillId="0" borderId="3" xfId="0" applyNumberFormat="1" applyFont="1" applyBorder="1" applyAlignment="1" applyProtection="1">
      <alignment horizontal="right" wrapText="1"/>
      <protection hidden="1"/>
    </xf>
    <xf numFmtId="175" fontId="3" fillId="0" borderId="3" xfId="2" applyNumberFormat="1" applyFont="1" applyBorder="1" applyAlignment="1" applyProtection="1">
      <alignment horizontal="right" wrapText="1"/>
      <protection hidden="1"/>
    </xf>
    <xf numFmtId="0" fontId="3" fillId="0" borderId="0" xfId="0" applyFont="1" applyAlignment="1" applyProtection="1">
      <alignment vertical="center" wrapText="1"/>
      <protection hidden="1"/>
    </xf>
    <xf numFmtId="10" fontId="3" fillId="0" borderId="5" xfId="2" applyNumberFormat="1" applyFont="1" applyFill="1" applyBorder="1" applyAlignment="1" applyProtection="1">
      <alignment vertical="center" wrapText="1"/>
      <protection hidden="1"/>
    </xf>
    <xf numFmtId="0" fontId="3" fillId="0" borderId="2" xfId="0" applyFont="1" applyBorder="1" applyAlignment="1" applyProtection="1">
      <alignment vertical="center" wrapText="1"/>
      <protection hidden="1"/>
    </xf>
    <xf numFmtId="164" fontId="3" fillId="0" borderId="2" xfId="0" applyNumberFormat="1" applyFont="1" applyBorder="1" applyAlignment="1" applyProtection="1">
      <alignment horizontal="right" vertical="center" wrapText="1"/>
      <protection hidden="1"/>
    </xf>
    <xf numFmtId="175" fontId="3" fillId="0" borderId="5" xfId="0" applyNumberFormat="1" applyFont="1" applyBorder="1" applyAlignment="1" applyProtection="1">
      <alignment horizontal="right" vertical="center" wrapText="1"/>
      <protection hidden="1"/>
    </xf>
    <xf numFmtId="0" fontId="3" fillId="0" borderId="5" xfId="0" applyFont="1" applyBorder="1" applyAlignment="1" applyProtection="1">
      <alignment horizontal="right" vertical="center" wrapText="1"/>
      <protection hidden="1"/>
    </xf>
    <xf numFmtId="2" fontId="3" fillId="0" borderId="2" xfId="0" applyNumberFormat="1" applyFont="1" applyBorder="1" applyAlignment="1" applyProtection="1">
      <alignment vertical="center" wrapText="1"/>
      <protection hidden="1"/>
    </xf>
    <xf numFmtId="10" fontId="3" fillId="0" borderId="2" xfId="2" applyNumberFormat="1" applyFont="1" applyBorder="1" applyAlignment="1" applyProtection="1">
      <alignment vertical="center" wrapText="1"/>
      <protection hidden="1"/>
    </xf>
    <xf numFmtId="175" fontId="3" fillId="0" borderId="5" xfId="0" applyNumberFormat="1" applyFont="1" applyBorder="1" applyAlignment="1" applyProtection="1">
      <alignment vertical="center" wrapText="1"/>
      <protection hidden="1"/>
    </xf>
    <xf numFmtId="0" fontId="3" fillId="0" borderId="0" xfId="0" applyFont="1" applyAlignment="1" applyProtection="1">
      <alignment horizontal="justify" wrapText="1"/>
      <protection hidden="1"/>
    </xf>
    <xf numFmtId="0" fontId="3" fillId="0" borderId="2" xfId="0" applyFont="1" applyBorder="1" applyAlignment="1" applyProtection="1">
      <alignment horizontal="justify" wrapText="1"/>
      <protection hidden="1"/>
    </xf>
    <xf numFmtId="175" fontId="3" fillId="0" borderId="2" xfId="0" applyNumberFormat="1" applyFont="1" applyBorder="1" applyAlignment="1" applyProtection="1">
      <alignment wrapText="1"/>
      <protection hidden="1"/>
    </xf>
    <xf numFmtId="10" fontId="3" fillId="0" borderId="2" xfId="2" applyNumberFormat="1" applyFont="1" applyBorder="1" applyAlignment="1" applyProtection="1">
      <alignment horizontal="right" wrapText="1" indent="1"/>
      <protection hidden="1"/>
    </xf>
    <xf numFmtId="0" fontId="2" fillId="0" borderId="2" xfId="0" applyFont="1" applyBorder="1" applyAlignment="1" applyProtection="1">
      <alignment wrapText="1"/>
      <protection hidden="1"/>
    </xf>
    <xf numFmtId="175" fontId="3" fillId="0" borderId="2" xfId="0" applyNumberFormat="1" applyFont="1" applyBorder="1" applyAlignment="1" applyProtection="1">
      <alignment vertical="center" wrapText="1"/>
      <protection hidden="1"/>
    </xf>
    <xf numFmtId="0" fontId="2" fillId="9" borderId="3" xfId="0" applyFont="1" applyFill="1" applyBorder="1" applyAlignment="1" applyProtection="1">
      <alignment horizontal="center" vertical="center" wrapText="1"/>
      <protection hidden="1"/>
    </xf>
    <xf numFmtId="176" fontId="3" fillId="0" borderId="3" xfId="2" applyNumberFormat="1" applyFont="1" applyBorder="1" applyAlignment="1" applyProtection="1">
      <alignment horizontal="right" vertical="top" wrapText="1"/>
      <protection hidden="1"/>
    </xf>
    <xf numFmtId="0" fontId="3" fillId="0" borderId="3" xfId="0" applyFont="1" applyBorder="1" applyAlignment="1" applyProtection="1">
      <alignment vertical="top" wrapText="1"/>
      <protection hidden="1"/>
    </xf>
    <xf numFmtId="171" fontId="3" fillId="9" borderId="4" xfId="0" applyNumberFormat="1" applyFont="1" applyFill="1" applyBorder="1" applyAlignment="1" applyProtection="1">
      <alignment horizontal="center" vertical="top" wrapText="1"/>
      <protection hidden="1"/>
    </xf>
    <xf numFmtId="171" fontId="3" fillId="9" borderId="6" xfId="0" applyNumberFormat="1" applyFont="1" applyFill="1" applyBorder="1" applyAlignment="1" applyProtection="1">
      <alignment horizontal="center" vertical="top" wrapText="1"/>
      <protection hidden="1"/>
    </xf>
    <xf numFmtId="171" fontId="3" fillId="9" borderId="35" xfId="0" applyNumberFormat="1" applyFont="1" applyFill="1" applyBorder="1" applyAlignment="1" applyProtection="1">
      <alignment horizontal="center" vertical="top" wrapText="1"/>
      <protection hidden="1"/>
    </xf>
    <xf numFmtId="171" fontId="3" fillId="9" borderId="36" xfId="0" applyNumberFormat="1" applyFont="1" applyFill="1" applyBorder="1" applyAlignment="1" applyProtection="1">
      <alignment horizontal="center" vertical="top" wrapText="1"/>
      <protection hidden="1"/>
    </xf>
    <xf numFmtId="171" fontId="3" fillId="9" borderId="37" xfId="0" applyNumberFormat="1" applyFont="1" applyFill="1" applyBorder="1" applyAlignment="1" applyProtection="1">
      <alignment horizontal="center" vertical="top" wrapText="1"/>
      <protection hidden="1"/>
    </xf>
    <xf numFmtId="171" fontId="3" fillId="9" borderId="38" xfId="0" applyNumberFormat="1" applyFont="1" applyFill="1" applyBorder="1" applyAlignment="1" applyProtection="1">
      <alignment horizontal="center" vertical="top" wrapText="1"/>
      <protection hidden="1"/>
    </xf>
    <xf numFmtId="0" fontId="2" fillId="0" borderId="2" xfId="0" applyFont="1" applyBorder="1" applyAlignment="1" applyProtection="1">
      <alignment vertical="center" wrapText="1"/>
      <protection hidden="1"/>
    </xf>
    <xf numFmtId="0" fontId="3" fillId="0" borderId="2" xfId="0" applyFont="1" applyBorder="1" applyAlignment="1" applyProtection="1">
      <alignment vertical="center" wrapText="1"/>
      <protection locked="0"/>
    </xf>
    <xf numFmtId="0" fontId="4" fillId="0" borderId="2" xfId="0" applyFont="1" applyBorder="1" applyAlignment="1" applyProtection="1">
      <alignment vertical="center" wrapText="1"/>
      <protection hidden="1"/>
    </xf>
    <xf numFmtId="170" fontId="3" fillId="0" borderId="2" xfId="0" applyNumberFormat="1" applyFont="1" applyBorder="1" applyAlignment="1" applyProtection="1">
      <alignment vertical="center" wrapText="1"/>
      <protection hidden="1"/>
    </xf>
    <xf numFmtId="170" fontId="3" fillId="0" borderId="38" xfId="0" applyNumberFormat="1" applyFont="1" applyBorder="1" applyAlignment="1" applyProtection="1">
      <alignment vertical="center" wrapText="1"/>
      <protection hidden="1"/>
    </xf>
    <xf numFmtId="0" fontId="3" fillId="0" borderId="0" xfId="0" applyFont="1" applyAlignment="1" applyProtection="1">
      <alignment horizontal="justify" vertical="center" wrapText="1"/>
      <protection hidden="1"/>
    </xf>
    <xf numFmtId="0" fontId="3" fillId="0" borderId="2" xfId="0" applyFont="1" applyBorder="1" applyAlignment="1" applyProtection="1">
      <alignment horizontal="justify" vertical="center" wrapText="1"/>
      <protection hidden="1"/>
    </xf>
    <xf numFmtId="0" fontId="3"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164" fontId="2" fillId="0" borderId="2" xfId="0" applyNumberFormat="1" applyFont="1" applyBorder="1" applyAlignment="1" applyProtection="1">
      <alignment horizontal="right" vertical="center" wrapText="1"/>
      <protection hidden="1"/>
    </xf>
    <xf numFmtId="0" fontId="3" fillId="0" borderId="2" xfId="0" applyFont="1" applyBorder="1" applyAlignment="1" applyProtection="1">
      <alignment horizontal="center" vertical="center" wrapText="1"/>
      <protection hidden="1"/>
    </xf>
    <xf numFmtId="171" fontId="3" fillId="9" borderId="4" xfId="0" applyNumberFormat="1" applyFont="1" applyFill="1" applyBorder="1" applyAlignment="1" applyProtection="1">
      <alignment horizontal="center" vertical="center" wrapText="1"/>
      <protection hidden="1"/>
    </xf>
    <xf numFmtId="171" fontId="3" fillId="9" borderId="6" xfId="0" applyNumberFormat="1" applyFont="1" applyFill="1" applyBorder="1" applyAlignment="1" applyProtection="1">
      <alignment horizontal="center" vertical="center" wrapText="1"/>
      <protection hidden="1"/>
    </xf>
    <xf numFmtId="0" fontId="2" fillId="9" borderId="4" xfId="0" applyFont="1" applyFill="1" applyBorder="1" applyAlignment="1" applyProtection="1">
      <alignment horizontal="center" vertical="center" wrapText="1"/>
      <protection hidden="1"/>
    </xf>
    <xf numFmtId="0" fontId="2" fillId="9" borderId="6" xfId="0" applyFont="1" applyFill="1" applyBorder="1" applyAlignment="1" applyProtection="1">
      <alignment horizontal="center" vertical="center" wrapText="1"/>
      <protection hidden="1"/>
    </xf>
    <xf numFmtId="0" fontId="15" fillId="0" borderId="2"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xf numFmtId="0" fontId="7" fillId="0" borderId="5" xfId="0" applyFont="1" applyBorder="1" applyAlignment="1" applyProtection="1">
      <alignment horizontal="left" vertical="center" wrapText="1"/>
      <protection locked="0"/>
    </xf>
    <xf numFmtId="0" fontId="7" fillId="0" borderId="5" xfId="0" applyFont="1" applyBorder="1" applyAlignment="1" applyProtection="1">
      <alignment vertical="center" wrapText="1"/>
      <protection locked="0"/>
    </xf>
    <xf numFmtId="164" fontId="15" fillId="0" borderId="2" xfId="0" applyNumberFormat="1" applyFont="1" applyBorder="1" applyAlignment="1" applyProtection="1">
      <alignment horizontal="right" vertical="center" wrapText="1"/>
      <protection locked="0"/>
    </xf>
    <xf numFmtId="164" fontId="15" fillId="0" borderId="2" xfId="0" applyNumberFormat="1" applyFont="1" applyBorder="1" applyAlignment="1" applyProtection="1">
      <alignment horizontal="right" vertical="center" wrapText="1"/>
      <protection hidden="1"/>
    </xf>
    <xf numFmtId="9" fontId="15" fillId="0" borderId="3" xfId="2" applyFont="1" applyFill="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0" xfId="0" applyFont="1" applyAlignment="1" applyProtection="1">
      <alignment horizontal="justify" vertical="center" wrapText="1"/>
      <protection hidden="1"/>
    </xf>
    <xf numFmtId="0" fontId="15" fillId="0" borderId="5"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3" borderId="2" xfId="0" applyFont="1" applyFill="1" applyBorder="1" applyAlignment="1" applyProtection="1">
      <alignment horizontal="center" vertical="center" wrapText="1"/>
      <protection hidden="1"/>
    </xf>
    <xf numFmtId="0" fontId="15" fillId="0" borderId="0" xfId="0" applyFont="1" applyAlignment="1" applyProtection="1">
      <alignment horizontal="justify" wrapText="1"/>
      <protection hidden="1"/>
    </xf>
    <xf numFmtId="0" fontId="15" fillId="0" borderId="0" xfId="0" applyFont="1" applyAlignment="1" applyProtection="1">
      <alignment vertical="center" wrapText="1"/>
      <protection hidden="1"/>
    </xf>
    <xf numFmtId="0" fontId="15" fillId="0" borderId="0" xfId="0" applyFont="1" applyAlignment="1" applyProtection="1">
      <alignment horizontal="right" vertical="center" wrapText="1"/>
      <protection hidden="1"/>
    </xf>
    <xf numFmtId="0" fontId="6" fillId="5" borderId="2" xfId="0" applyFont="1" applyFill="1" applyBorder="1" applyAlignment="1" applyProtection="1">
      <alignment vertical="center" wrapText="1"/>
      <protection hidden="1"/>
    </xf>
    <xf numFmtId="0" fontId="7" fillId="0" borderId="0" xfId="0" applyFont="1" applyAlignment="1" applyProtection="1">
      <alignment horizontal="justify" wrapText="1"/>
      <protection hidden="1"/>
    </xf>
    <xf numFmtId="0" fontId="7" fillId="0" borderId="2" xfId="0" applyFont="1" applyBorder="1" applyAlignment="1" applyProtection="1">
      <alignment vertical="center" wrapText="1"/>
      <protection hidden="1"/>
    </xf>
    <xf numFmtId="0" fontId="7" fillId="0" borderId="2" xfId="0" applyFont="1" applyBorder="1" applyAlignment="1" applyProtection="1">
      <alignment vertical="center" wrapText="1"/>
      <protection locked="0"/>
    </xf>
    <xf numFmtId="164" fontId="7" fillId="0" borderId="2" xfId="0" applyNumberFormat="1" applyFont="1" applyBorder="1" applyAlignment="1" applyProtection="1">
      <alignment horizontal="left" vertical="center" wrapText="1"/>
      <protection locked="0"/>
    </xf>
    <xf numFmtId="0" fontId="14" fillId="5" borderId="2" xfId="0" applyFont="1" applyFill="1" applyBorder="1" applyAlignment="1" applyProtection="1">
      <alignment vertical="center" wrapText="1"/>
      <protection hidden="1"/>
    </xf>
    <xf numFmtId="0" fontId="2" fillId="0" borderId="2" xfId="0" applyFont="1" applyBorder="1" applyAlignment="1" applyProtection="1">
      <alignment horizontal="left" vertical="center" wrapText="1"/>
      <protection hidden="1"/>
    </xf>
    <xf numFmtId="164" fontId="7" fillId="0" borderId="5" xfId="0" applyNumberFormat="1" applyFont="1" applyBorder="1" applyAlignment="1" applyProtection="1">
      <alignment horizontal="right" vertical="center" wrapText="1"/>
      <protection hidden="1"/>
    </xf>
    <xf numFmtId="164" fontId="7" fillId="0" borderId="2" xfId="0" applyNumberFormat="1" applyFont="1" applyBorder="1" applyAlignment="1" applyProtection="1">
      <alignment horizontal="right" vertical="center" wrapText="1"/>
      <protection hidden="1"/>
    </xf>
    <xf numFmtId="164" fontId="7" fillId="0" borderId="2" xfId="0" applyNumberFormat="1" applyFont="1" applyBorder="1" applyAlignment="1" applyProtection="1">
      <alignment horizontal="right" vertical="center" wrapText="1"/>
      <protection locked="0"/>
    </xf>
    <xf numFmtId="0" fontId="6" fillId="0" borderId="2" xfId="0" applyFont="1" applyBorder="1" applyAlignment="1" applyProtection="1">
      <alignment vertical="center" wrapText="1"/>
      <protection hidden="1"/>
    </xf>
    <xf numFmtId="0" fontId="7" fillId="0" borderId="5" xfId="0" applyFont="1" applyBorder="1" applyAlignment="1" applyProtection="1">
      <alignment horizontal="right" vertical="center" wrapText="1"/>
      <protection locked="0"/>
    </xf>
    <xf numFmtId="10" fontId="7" fillId="0" borderId="5" xfId="2" applyNumberFormat="1" applyFont="1" applyBorder="1" applyAlignment="1" applyProtection="1">
      <alignment vertical="center" wrapText="1"/>
      <protection hidden="1"/>
    </xf>
    <xf numFmtId="168" fontId="7" fillId="0" borderId="5" xfId="0" applyNumberFormat="1" applyFont="1" applyBorder="1" applyAlignment="1" applyProtection="1">
      <alignment vertical="center" wrapText="1"/>
      <protection locked="0"/>
    </xf>
    <xf numFmtId="0" fontId="15" fillId="0" borderId="5" xfId="0" applyFont="1" applyBorder="1" applyAlignment="1" applyProtection="1">
      <alignment horizontal="right" vertical="center" wrapText="1"/>
      <protection hidden="1"/>
    </xf>
    <xf numFmtId="0" fontId="14" fillId="5" borderId="0" xfId="0" applyFont="1" applyFill="1" applyAlignment="1" applyProtection="1">
      <alignment horizontal="center" vertical="center" wrapText="1"/>
      <protection hidden="1"/>
    </xf>
    <xf numFmtId="10" fontId="15" fillId="0" borderId="0" xfId="0" applyNumberFormat="1" applyFont="1" applyAlignment="1" applyProtection="1">
      <alignment vertical="center" wrapText="1"/>
      <protection hidden="1"/>
    </xf>
    <xf numFmtId="0" fontId="15" fillId="0" borderId="5" xfId="0" applyFont="1" applyBorder="1" applyAlignment="1" applyProtection="1">
      <alignment vertical="center" wrapText="1"/>
      <protection hidden="1"/>
    </xf>
    <xf numFmtId="166" fontId="15" fillId="0" borderId="5" xfId="0" applyNumberFormat="1" applyFont="1" applyBorder="1" applyAlignment="1" applyProtection="1">
      <alignment horizontal="right" vertical="center" wrapText="1"/>
      <protection hidden="1"/>
    </xf>
    <xf numFmtId="164" fontId="15" fillId="0" borderId="5" xfId="0" applyNumberFormat="1" applyFont="1" applyBorder="1" applyAlignment="1" applyProtection="1">
      <alignment vertical="center" wrapText="1"/>
      <protection hidden="1"/>
    </xf>
    <xf numFmtId="0" fontId="15" fillId="0" borderId="2" xfId="0" applyFont="1" applyBorder="1" applyAlignment="1" applyProtection="1">
      <alignment horizontal="right" vertical="center" wrapText="1"/>
      <protection hidden="1"/>
    </xf>
    <xf numFmtId="164" fontId="15" fillId="0" borderId="5" xfId="0" applyNumberFormat="1" applyFont="1" applyBorder="1" applyAlignment="1" applyProtection="1">
      <alignment horizontal="right" vertical="center" wrapText="1"/>
      <protection hidden="1"/>
    </xf>
    <xf numFmtId="0" fontId="14" fillId="0" borderId="3"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3" borderId="3" xfId="0" applyFont="1" applyFill="1" applyBorder="1" applyAlignment="1" applyProtection="1">
      <alignment horizontal="center" vertical="center" wrapText="1"/>
      <protection hidden="1"/>
    </xf>
    <xf numFmtId="4" fontId="15" fillId="0" borderId="2" xfId="0" applyNumberFormat="1" applyFont="1" applyBorder="1" applyAlignment="1" applyProtection="1">
      <alignment horizontal="right" vertical="center" wrapText="1"/>
      <protection hidden="1"/>
    </xf>
    <xf numFmtId="4" fontId="15" fillId="0" borderId="0" xfId="2" applyNumberFormat="1" applyFont="1" applyFill="1" applyAlignment="1" applyProtection="1">
      <alignment horizontal="right" vertical="center" wrapText="1" readingOrder="1"/>
      <protection hidden="1"/>
    </xf>
    <xf numFmtId="4" fontId="15" fillId="0" borderId="5" xfId="2" applyNumberFormat="1" applyFont="1" applyFill="1" applyBorder="1" applyAlignment="1" applyProtection="1">
      <alignment horizontal="right" vertical="center" wrapText="1" readingOrder="1"/>
      <protection hidden="1"/>
    </xf>
    <xf numFmtId="164" fontId="15" fillId="0" borderId="2" xfId="0" applyNumberFormat="1" applyFont="1" applyBorder="1" applyAlignment="1" applyProtection="1">
      <alignment vertical="center" wrapText="1"/>
      <protection hidden="1"/>
    </xf>
    <xf numFmtId="10" fontId="15" fillId="0" borderId="2" xfId="2" applyNumberFormat="1" applyFont="1" applyBorder="1" applyAlignment="1" applyProtection="1">
      <alignment horizontal="right" vertical="center" wrapText="1"/>
      <protection hidden="1"/>
    </xf>
    <xf numFmtId="0" fontId="20" fillId="0" borderId="0" xfId="0" applyFont="1" applyAlignment="1" applyProtection="1">
      <alignment vertical="center" wrapText="1"/>
      <protection hidden="1"/>
    </xf>
    <xf numFmtId="0" fontId="18" fillId="0" borderId="3" xfId="0" applyFont="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14" fillId="2" borderId="2" xfId="0" applyFont="1" applyFill="1" applyBorder="1" applyAlignment="1" applyProtection="1">
      <alignment vertical="center" wrapText="1"/>
      <protection hidden="1"/>
    </xf>
    <xf numFmtId="10" fontId="15" fillId="0" borderId="2" xfId="0" applyNumberFormat="1" applyFont="1" applyBorder="1" applyAlignment="1" applyProtection="1">
      <alignment vertical="center" wrapText="1"/>
      <protection hidden="1"/>
    </xf>
    <xf numFmtId="0" fontId="15" fillId="0" borderId="0" xfId="0" applyFont="1" applyAlignment="1" applyProtection="1">
      <alignment horizontal="center" vertical="center" wrapText="1"/>
      <protection hidden="1"/>
    </xf>
    <xf numFmtId="165" fontId="15" fillId="0" borderId="5" xfId="1" applyNumberFormat="1" applyFont="1" applyBorder="1" applyAlignment="1" applyProtection="1">
      <alignment horizontal="right" vertical="center" wrapText="1"/>
      <protection hidden="1"/>
    </xf>
    <xf numFmtId="164" fontId="15" fillId="0" borderId="5" xfId="0" applyNumberFormat="1" applyFont="1" applyBorder="1" applyAlignment="1" applyProtection="1">
      <alignment vertical="center" wrapText="1"/>
      <protection locked="0"/>
    </xf>
    <xf numFmtId="164" fontId="15" fillId="0" borderId="0" xfId="0" applyNumberFormat="1" applyFont="1" applyAlignment="1" applyProtection="1">
      <alignment vertical="center" wrapText="1"/>
      <protection locked="0"/>
    </xf>
    <xf numFmtId="164" fontId="15" fillId="0" borderId="0" xfId="0" applyNumberFormat="1" applyFont="1" applyAlignment="1" applyProtection="1">
      <alignment vertical="center" wrapText="1"/>
      <protection hidden="1"/>
    </xf>
    <xf numFmtId="164" fontId="15" fillId="0" borderId="14" xfId="0" applyNumberFormat="1" applyFont="1" applyBorder="1" applyAlignment="1" applyProtection="1">
      <alignment vertical="center" wrapText="1"/>
      <protection hidden="1"/>
    </xf>
    <xf numFmtId="164" fontId="15" fillId="0" borderId="14" xfId="0" applyNumberFormat="1" applyFont="1" applyBorder="1" applyAlignment="1" applyProtection="1">
      <alignment horizontal="right" vertical="center" wrapText="1"/>
      <protection hidden="1"/>
    </xf>
    <xf numFmtId="164" fontId="15" fillId="0" borderId="5" xfId="0" applyNumberFormat="1" applyFont="1" applyBorder="1" applyAlignment="1" applyProtection="1">
      <alignment horizontal="center" vertical="center" wrapText="1"/>
      <protection hidden="1"/>
    </xf>
    <xf numFmtId="164" fontId="15" fillId="0" borderId="14" xfId="0" applyNumberFormat="1" applyFont="1" applyBorder="1" applyAlignment="1" applyProtection="1">
      <alignment horizontal="center" vertical="center" wrapText="1"/>
      <protection hidden="1"/>
    </xf>
    <xf numFmtId="164" fontId="15" fillId="0" borderId="0" xfId="0" applyNumberFormat="1" applyFont="1" applyAlignment="1" applyProtection="1">
      <alignment horizontal="right" vertical="center" wrapText="1"/>
      <protection hidden="1"/>
    </xf>
    <xf numFmtId="0" fontId="15" fillId="0" borderId="14" xfId="0" applyFont="1" applyBorder="1" applyAlignment="1" applyProtection="1">
      <alignment vertical="center" wrapText="1"/>
      <protection hidden="1"/>
    </xf>
    <xf numFmtId="0" fontId="15" fillId="0" borderId="2" xfId="0" applyFont="1" applyBorder="1" applyAlignment="1" applyProtection="1">
      <alignment horizontal="justify" vertical="center" wrapText="1"/>
      <protection hidden="1"/>
    </xf>
    <xf numFmtId="10" fontId="15" fillId="0" borderId="2" xfId="2" applyNumberFormat="1" applyFont="1" applyBorder="1" applyAlignment="1" applyProtection="1">
      <alignment vertical="center" wrapText="1"/>
      <protection hidden="1"/>
    </xf>
    <xf numFmtId="0" fontId="15" fillId="3" borderId="0" xfId="0" applyFont="1" applyFill="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0" xfId="0" applyFont="1" applyFill="1" applyAlignment="1" applyProtection="1">
      <alignment horizontal="center" vertical="center" wrapText="1"/>
      <protection hidden="1"/>
    </xf>
    <xf numFmtId="164" fontId="15" fillId="0" borderId="14" xfId="0" applyNumberFormat="1" applyFont="1" applyBorder="1" applyAlignment="1" applyProtection="1">
      <alignment vertical="center" wrapText="1"/>
      <protection locked="0"/>
    </xf>
    <xf numFmtId="0" fontId="14" fillId="0" borderId="1" xfId="0" applyFont="1" applyBorder="1" applyAlignment="1" applyProtection="1">
      <alignment horizontal="center" vertical="center" wrapText="1"/>
      <protection hidden="1"/>
    </xf>
    <xf numFmtId="0" fontId="14" fillId="5" borderId="0" xfId="0" applyFont="1" applyFill="1" applyAlignment="1" applyProtection="1">
      <alignment vertical="center" wrapText="1"/>
      <protection hidden="1"/>
    </xf>
    <xf numFmtId="0" fontId="15" fillId="0" borderId="5" xfId="0" applyFont="1" applyBorder="1" applyAlignment="1" applyProtection="1">
      <alignment vertical="center" wrapText="1"/>
      <protection locked="0"/>
    </xf>
    <xf numFmtId="0" fontId="15" fillId="0" borderId="14" xfId="0" applyFont="1" applyBorder="1" applyAlignment="1" applyProtection="1">
      <alignment vertical="center" wrapText="1"/>
      <protection locked="0"/>
    </xf>
    <xf numFmtId="1" fontId="15" fillId="0" borderId="2" xfId="1" applyNumberFormat="1" applyFont="1" applyBorder="1" applyAlignment="1" applyProtection="1">
      <alignment horizontal="right" vertical="center" wrapText="1"/>
      <protection locked="0"/>
    </xf>
    <xf numFmtId="10" fontId="15" fillId="0" borderId="5" xfId="0" applyNumberFormat="1" applyFont="1" applyBorder="1" applyAlignment="1" applyProtection="1">
      <alignment vertical="center" wrapText="1"/>
      <protection hidden="1"/>
    </xf>
    <xf numFmtId="1" fontId="15" fillId="0" borderId="2" xfId="1" applyNumberFormat="1" applyFont="1" applyBorder="1" applyAlignment="1" applyProtection="1">
      <alignment vertical="center" wrapText="1"/>
      <protection locked="0"/>
    </xf>
    <xf numFmtId="10" fontId="15" fillId="0" borderId="5" xfId="2" applyNumberFormat="1" applyFont="1" applyBorder="1" applyAlignment="1" applyProtection="1">
      <alignment vertical="center" wrapText="1"/>
      <protection hidden="1"/>
    </xf>
    <xf numFmtId="1" fontId="15" fillId="0" borderId="5" xfId="1" applyNumberFormat="1" applyFont="1" applyBorder="1" applyAlignment="1" applyProtection="1">
      <alignment horizontal="right" vertical="center" wrapText="1"/>
      <protection hidden="1"/>
    </xf>
    <xf numFmtId="0" fontId="15" fillId="0" borderId="5" xfId="0" applyFont="1" applyBorder="1" applyAlignment="1" applyProtection="1">
      <alignment horizontal="right" vertical="center" wrapText="1"/>
      <protection locked="0"/>
    </xf>
    <xf numFmtId="9" fontId="15" fillId="0" borderId="5" xfId="2" applyFont="1" applyBorder="1" applyAlignment="1" applyProtection="1">
      <alignment horizontal="right" vertical="center" wrapText="1"/>
      <protection hidden="1"/>
    </xf>
    <xf numFmtId="10" fontId="15" fillId="0" borderId="2" xfId="2" applyNumberFormat="1" applyFont="1" applyFill="1" applyBorder="1" applyAlignment="1" applyProtection="1">
      <alignment horizontal="right" vertical="center" wrapText="1"/>
      <protection hidden="1"/>
    </xf>
    <xf numFmtId="0" fontId="7" fillId="0" borderId="0" xfId="0" applyFont="1" applyAlignment="1" applyProtection="1">
      <alignment horizontal="right" vertical="center" wrapText="1"/>
      <protection locked="0"/>
    </xf>
    <xf numFmtId="164" fontId="15" fillId="0" borderId="1" xfId="0" applyNumberFormat="1" applyFont="1" applyBorder="1" applyAlignment="1" applyProtection="1">
      <alignment horizontal="center" vertical="center" wrapText="1"/>
      <protection hidden="1"/>
    </xf>
    <xf numFmtId="0" fontId="14" fillId="3" borderId="2" xfId="0" applyFont="1" applyFill="1" applyBorder="1" applyAlignment="1" applyProtection="1">
      <alignment horizontal="center" vertical="center" wrapText="1"/>
      <protection hidden="1"/>
    </xf>
    <xf numFmtId="0" fontId="14" fillId="3" borderId="1" xfId="0" applyFont="1" applyFill="1" applyBorder="1" applyAlignment="1" applyProtection="1">
      <alignment horizontal="center" vertical="center" wrapText="1"/>
      <protection hidden="1"/>
    </xf>
    <xf numFmtId="9" fontId="15" fillId="0" borderId="2" xfId="2" applyFont="1" applyBorder="1" applyAlignment="1" applyProtection="1">
      <alignment vertical="center" wrapText="1"/>
      <protection hidden="1"/>
    </xf>
    <xf numFmtId="10" fontId="3" fillId="0" borderId="24" xfId="0" applyNumberFormat="1" applyFont="1" applyBorder="1" applyAlignment="1" applyProtection="1">
      <alignment horizontal="center" vertical="center" wrapTex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vertical="top" wrapText="1"/>
      <protection hidden="1"/>
    </xf>
    <xf numFmtId="0" fontId="3" fillId="6" borderId="24" xfId="0" applyFont="1" applyFill="1" applyBorder="1" applyAlignment="1" applyProtection="1">
      <alignment horizontal="justify" vertical="center" wrapText="1"/>
      <protection hidden="1"/>
    </xf>
    <xf numFmtId="0" fontId="22" fillId="0" borderId="0" xfId="0" applyFont="1" applyAlignment="1" applyProtection="1">
      <alignment horizontal="center" vertical="center" wrapText="1"/>
      <protection hidden="1"/>
    </xf>
    <xf numFmtId="0" fontId="22" fillId="0" borderId="0" xfId="0" applyFont="1" applyAlignment="1" applyProtection="1">
      <alignment horizontal="center" vertical="center" textRotation="90" wrapText="1"/>
      <protection hidden="1"/>
    </xf>
    <xf numFmtId="0" fontId="22" fillId="0" borderId="0" xfId="0" applyFont="1" applyAlignment="1" applyProtection="1">
      <alignment horizontal="justify" wrapText="1"/>
      <protection hidden="1"/>
    </xf>
    <xf numFmtId="0" fontId="2" fillId="3" borderId="1" xfId="0" applyFont="1" applyFill="1" applyBorder="1" applyAlignment="1" applyProtection="1">
      <alignment horizontal="left" vertical="center" wrapText="1"/>
      <protection hidden="1"/>
    </xf>
    <xf numFmtId="0" fontId="3" fillId="0" borderId="0" xfId="0" applyFont="1" applyAlignment="1" applyProtection="1">
      <alignment wrapText="1"/>
      <protection hidden="1"/>
    </xf>
    <xf numFmtId="0" fontId="2" fillId="6" borderId="24" xfId="0" applyFont="1" applyFill="1" applyBorder="1" applyAlignment="1" applyProtection="1">
      <alignment horizontal="center" vertical="center" wrapText="1"/>
      <protection hidden="1"/>
    </xf>
    <xf numFmtId="0" fontId="2" fillId="7" borderId="32" xfId="0" applyFont="1" applyFill="1" applyBorder="1" applyAlignment="1" applyProtection="1">
      <alignment horizontal="center" vertical="center" wrapText="1"/>
      <protection hidden="1"/>
    </xf>
    <xf numFmtId="0" fontId="2" fillId="7" borderId="33"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8" borderId="3"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8" borderId="5"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10" fontId="3" fillId="0" borderId="3" xfId="0" applyNumberFormat="1" applyFont="1" applyBorder="1" applyAlignment="1" applyProtection="1">
      <alignment horizontal="right" vertical="center" wrapText="1"/>
      <protection hidden="1"/>
    </xf>
    <xf numFmtId="0" fontId="3" fillId="0" borderId="3" xfId="0" applyFont="1" applyBorder="1" applyAlignment="1" applyProtection="1">
      <alignment horizontal="right" vertical="center" wrapText="1"/>
      <protection hidden="1"/>
    </xf>
    <xf numFmtId="0" fontId="2" fillId="3" borderId="0" xfId="0" applyFont="1" applyFill="1" applyAlignment="1" applyProtection="1">
      <alignment horizontal="center" vertical="center" wrapText="1" readingOrder="1"/>
      <protection hidden="1"/>
    </xf>
    <xf numFmtId="0" fontId="3" fillId="0" borderId="31" xfId="0" applyFont="1" applyBorder="1" applyAlignment="1" applyProtection="1">
      <alignment horizontal="left" vertical="center" wrapText="1"/>
      <protection hidden="1"/>
    </xf>
    <xf numFmtId="0" fontId="3" fillId="0" borderId="31" xfId="0" applyFont="1" applyBorder="1" applyAlignment="1" applyProtection="1">
      <alignment horizontal="justify" vertical="center" wrapText="1"/>
      <protection hidden="1"/>
    </xf>
    <xf numFmtId="0" fontId="3" fillId="0" borderId="24" xfId="0" applyFont="1" applyBorder="1" applyAlignment="1" applyProtection="1">
      <alignment horizontal="center" vertical="center" wrapText="1"/>
      <protection hidden="1"/>
    </xf>
    <xf numFmtId="0" fontId="3" fillId="0" borderId="24" xfId="0" applyFont="1" applyBorder="1" applyAlignment="1" applyProtection="1">
      <alignment horizontal="left" vertical="center" wrapText="1"/>
      <protection hidden="1"/>
    </xf>
    <xf numFmtId="174" fontId="3" fillId="0" borderId="24" xfId="0" applyNumberFormat="1" applyFont="1" applyBorder="1" applyAlignment="1" applyProtection="1">
      <alignment horizontal="right" vertical="center" wrapText="1"/>
      <protection hidden="1"/>
    </xf>
    <xf numFmtId="0" fontId="3" fillId="0" borderId="24" xfId="0" applyFont="1" applyBorder="1" applyAlignment="1" applyProtection="1">
      <alignment horizontal="justify" vertical="center" wrapText="1"/>
      <protection hidden="1"/>
    </xf>
    <xf numFmtId="2" fontId="3" fillId="0" borderId="24" xfId="0" applyNumberFormat="1" applyFont="1" applyBorder="1" applyAlignment="1" applyProtection="1">
      <alignment horizontal="right" vertical="center" wrapText="1"/>
      <protection hidden="1"/>
    </xf>
    <xf numFmtId="0" fontId="3" fillId="3" borderId="0" xfId="0" applyFont="1" applyFill="1" applyAlignment="1" applyProtection="1">
      <alignment horizontal="center" vertical="center" wrapText="1" readingOrder="1"/>
      <protection hidden="1"/>
    </xf>
    <xf numFmtId="0" fontId="3" fillId="3" borderId="25" xfId="0" applyFont="1" applyFill="1" applyBorder="1" applyAlignment="1" applyProtection="1">
      <alignment horizontal="center" vertical="center" wrapText="1" readingOrder="1"/>
      <protection hidden="1"/>
    </xf>
    <xf numFmtId="0" fontId="3" fillId="3" borderId="24"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wrapText="1"/>
      <protection hidden="1"/>
    </xf>
    <xf numFmtId="0" fontId="3" fillId="0" borderId="24" xfId="0" applyFont="1" applyBorder="1" applyAlignment="1" applyProtection="1">
      <alignment horizontal="right" vertical="center" wrapText="1"/>
      <protection hidden="1"/>
    </xf>
    <xf numFmtId="9" fontId="3" fillId="0" borderId="24" xfId="0" applyNumberFormat="1" applyFont="1" applyBorder="1" applyAlignment="1" applyProtection="1">
      <alignment horizontal="right" vertical="center" wrapText="1"/>
      <protection hidden="1"/>
    </xf>
    <xf numFmtId="0" fontId="3" fillId="7" borderId="24" xfId="0" applyFont="1" applyFill="1" applyBorder="1" applyAlignment="1" applyProtection="1">
      <alignment horizontal="center" vertical="center" textRotation="90" wrapText="1"/>
      <protection hidden="1"/>
    </xf>
    <xf numFmtId="0" fontId="2" fillId="3" borderId="25" xfId="0" applyFont="1" applyFill="1" applyBorder="1" applyAlignment="1" applyProtection="1">
      <alignment horizontal="center" vertical="center" wrapText="1" readingOrder="1"/>
      <protection hidden="1"/>
    </xf>
    <xf numFmtId="0" fontId="3" fillId="7" borderId="27" xfId="0" applyFont="1" applyFill="1" applyBorder="1" applyAlignment="1" applyProtection="1">
      <alignment horizontal="center" vertical="center" wrapText="1"/>
      <protection hidden="1"/>
    </xf>
    <xf numFmtId="0" fontId="3" fillId="7" borderId="28" xfId="0" applyFont="1" applyFill="1" applyBorder="1" applyAlignment="1" applyProtection="1">
      <alignment horizontal="center" vertical="center" wrapText="1"/>
      <protection hidden="1"/>
    </xf>
    <xf numFmtId="0" fontId="3" fillId="7" borderId="29" xfId="0" applyFont="1" applyFill="1" applyBorder="1" applyAlignment="1" applyProtection="1">
      <alignment horizontal="center" vertical="center" wrapText="1"/>
      <protection hidden="1"/>
    </xf>
    <xf numFmtId="0" fontId="3" fillId="7" borderId="30" xfId="0" applyFont="1" applyFill="1" applyBorder="1" applyAlignment="1" applyProtection="1">
      <alignment horizontal="center" vertical="center" wrapText="1"/>
      <protection hidden="1"/>
    </xf>
    <xf numFmtId="169" fontId="6" fillId="5" borderId="11" xfId="0" applyNumberFormat="1" applyFont="1" applyFill="1" applyBorder="1" applyAlignment="1" applyProtection="1">
      <alignment horizontal="left" vertical="center"/>
      <protection hidden="1"/>
    </xf>
    <xf numFmtId="169" fontId="6" fillId="5" borderId="7" xfId="0" applyNumberFormat="1" applyFont="1" applyFill="1" applyBorder="1" applyAlignment="1" applyProtection="1">
      <alignment horizontal="left" vertical="center"/>
      <protection hidden="1"/>
    </xf>
    <xf numFmtId="169" fontId="6" fillId="5" borderId="12" xfId="0" applyNumberFormat="1" applyFont="1" applyFill="1" applyBorder="1" applyAlignment="1" applyProtection="1">
      <alignment horizontal="left" vertical="center"/>
      <protection hidden="1"/>
    </xf>
    <xf numFmtId="0" fontId="6" fillId="0" borderId="3" xfId="0" applyFont="1" applyBorder="1" applyAlignment="1" applyProtection="1">
      <alignment vertical="center" wrapText="1"/>
      <protection hidden="1"/>
    </xf>
    <xf numFmtId="0" fontId="0" fillId="0" borderId="3" xfId="0" applyBorder="1" applyAlignment="1" applyProtection="1">
      <alignment vertical="center"/>
      <protection hidden="1"/>
    </xf>
    <xf numFmtId="0" fontId="6" fillId="0" borderId="4" xfId="0" applyFont="1" applyBorder="1" applyAlignment="1" applyProtection="1">
      <alignment vertical="center" wrapText="1"/>
      <protection hidden="1"/>
    </xf>
    <xf numFmtId="0" fontId="6" fillId="0" borderId="5" xfId="0" applyFont="1" applyBorder="1" applyAlignment="1" applyProtection="1">
      <alignment vertical="center" wrapText="1"/>
      <protection hidden="1"/>
    </xf>
    <xf numFmtId="0" fontId="8" fillId="0" borderId="4" xfId="0" applyFont="1" applyBorder="1" applyProtection="1">
      <protection hidden="1"/>
    </xf>
    <xf numFmtId="0" fontId="8" fillId="0" borderId="5" xfId="0" applyFont="1" applyBorder="1" applyProtection="1">
      <protection hidden="1"/>
    </xf>
    <xf numFmtId="0" fontId="8" fillId="0" borderId="6" xfId="0" applyFont="1" applyBorder="1" applyProtection="1">
      <protection hidden="1"/>
    </xf>
    <xf numFmtId="169" fontId="6" fillId="5" borderId="9" xfId="0" applyNumberFormat="1" applyFont="1" applyFill="1" applyBorder="1" applyAlignment="1" applyProtection="1">
      <alignment horizontal="left" vertical="center"/>
      <protection hidden="1"/>
    </xf>
    <xf numFmtId="169" fontId="6" fillId="5" borderId="0" xfId="0" applyNumberFormat="1" applyFont="1" applyFill="1" applyAlignment="1" applyProtection="1">
      <alignment horizontal="left" vertical="center"/>
      <protection hidden="1"/>
    </xf>
    <xf numFmtId="169" fontId="6" fillId="5" borderId="10" xfId="0" applyNumberFormat="1" applyFont="1" applyFill="1" applyBorder="1" applyAlignment="1" applyProtection="1">
      <alignment horizontal="left" vertical="center"/>
      <protection hidden="1"/>
    </xf>
    <xf numFmtId="0" fontId="8" fillId="0" borderId="3" xfId="0" applyFont="1" applyBorder="1" applyProtection="1">
      <protection hidden="1"/>
    </xf>
    <xf numFmtId="0" fontId="6" fillId="0" borderId="0" xfId="0" applyFont="1" applyAlignment="1" applyProtection="1">
      <alignment vertical="center"/>
      <protection hidden="1"/>
    </xf>
    <xf numFmtId="0" fontId="0" fillId="0" borderId="3" xfId="0" applyBorder="1" applyProtection="1">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3" xfId="0" applyBorder="1" applyAlignment="1" applyProtection="1">
      <alignment vertical="center" shrinkToFit="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3" fontId="0" fillId="0" borderId="3" xfId="0" applyNumberFormat="1" applyBorder="1" applyAlignment="1" applyProtection="1">
      <alignment vertical="center"/>
      <protection hidden="1"/>
    </xf>
    <xf numFmtId="0" fontId="0" fillId="0" borderId="0" xfId="0" applyProtection="1">
      <protection hidden="1"/>
    </xf>
    <xf numFmtId="0" fontId="7"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0" fillId="0" borderId="18" xfId="0" applyBorder="1" applyProtection="1">
      <protection hidden="1"/>
    </xf>
    <xf numFmtId="0" fontId="0" fillId="0" borderId="19" xfId="0" applyBorder="1" applyProtection="1">
      <protection hidden="1"/>
    </xf>
    <xf numFmtId="0" fontId="0" fillId="0" borderId="20" xfId="0" applyBorder="1" applyProtection="1">
      <protection hidden="1"/>
    </xf>
    <xf numFmtId="20" fontId="0" fillId="0" borderId="22" xfId="0" applyNumberFormat="1" applyBorder="1" applyProtection="1">
      <protection hidden="1"/>
    </xf>
    <xf numFmtId="20" fontId="0" fillId="0" borderId="21" xfId="0" applyNumberFormat="1" applyBorder="1" applyProtection="1">
      <protection hidden="1"/>
    </xf>
    <xf numFmtId="20" fontId="0" fillId="0" borderId="23" xfId="0" applyNumberFormat="1" applyBorder="1" applyProtection="1">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22" xfId="0" applyBorder="1" applyAlignment="1" applyProtection="1">
      <alignment vertical="center"/>
      <protection hidden="1"/>
    </xf>
    <xf numFmtId="0" fontId="0" fillId="0" borderId="21" xfId="0" applyBorder="1" applyAlignment="1" applyProtection="1">
      <alignment vertical="center"/>
      <protection hidden="1"/>
    </xf>
    <xf numFmtId="0" fontId="0" fillId="0" borderId="23" xfId="0" applyBorder="1" applyAlignment="1" applyProtection="1">
      <alignment vertical="center"/>
      <protection hidden="1"/>
    </xf>
    <xf numFmtId="0" fontId="0" fillId="0" borderId="2" xfId="0" applyBorder="1" applyProtection="1">
      <protection hidden="1"/>
    </xf>
  </cellXfs>
  <cellStyles count="3">
    <cellStyle name="Normal" xfId="0" builtinId="0"/>
    <cellStyle name="Porcentagem" xfId="2" builtinId="5"/>
    <cellStyle name="Vírgula" xfId="1" builtinId="3"/>
  </cellStyles>
  <dxfs count="21">
    <dxf>
      <fill>
        <patternFill>
          <bgColor rgb="FFFF0000"/>
        </patternFill>
      </fill>
    </dxf>
    <dxf>
      <fill>
        <patternFill>
          <bgColor rgb="FFFF0000"/>
        </patternFill>
      </fill>
    </dxf>
    <dxf>
      <fill>
        <patternFill>
          <bgColor rgb="FFFFFF00"/>
        </patternFill>
      </fill>
    </dxf>
    <dxf>
      <font>
        <color rgb="FFFF0000"/>
      </font>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B9CFD9"/>
      <color rgb="FFB8C5EE"/>
      <color rgb="FF213A8F"/>
      <color rgb="FFE52621"/>
      <color rgb="FFFFFFFF"/>
      <color rgb="FF010101"/>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 E BENFEITORIAS'!$Z$264</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 E BENFEITORIAS'!$Z$265:$Z$269</c:f>
              <c:numCache>
                <c:formatCode>#,##0.00_ ;[Red]\-#,##0.00\ </c:formatCode>
                <c:ptCount val="5"/>
                <c:pt idx="0">
                  <c:v>552.01190476190482</c:v>
                </c:pt>
                <c:pt idx="1">
                  <c:v>552.01190476190482</c:v>
                </c:pt>
                <c:pt idx="2">
                  <c:v>552.01190476190482</c:v>
                </c:pt>
                <c:pt idx="3">
                  <c:v>552.01190476190482</c:v>
                </c:pt>
                <c:pt idx="4">
                  <c:v>552.01190476190482</c:v>
                </c:pt>
              </c:numCache>
            </c:numRef>
          </c:val>
          <c:smooth val="0"/>
          <c:extLst>
            <c:ext xmlns:c16="http://schemas.microsoft.com/office/drawing/2014/chart" uri="{C3380CC4-5D6E-409C-BE32-E72D297353CC}">
              <c16:uniqueId val="{00000000-1443-4631-873E-3E5C214F64BD}"/>
            </c:ext>
          </c:extLst>
        </c:ser>
        <c:ser>
          <c:idx val="3"/>
          <c:order val="2"/>
          <c:tx>
            <c:strRef>
              <c:f>'TERRENO E BENFEITORIAS'!$X$264</c:f>
              <c:strCache>
                <c:ptCount val="1"/>
                <c:pt idx="0">
                  <c:v>Limite inferior</c:v>
                </c:pt>
              </c:strCache>
            </c:strRef>
          </c:tx>
          <c:spPr>
            <a:ln w="12700" cap="sq">
              <a:solidFill>
                <a:srgbClr val="FF0000"/>
              </a:solidFill>
              <a:round/>
            </a:ln>
            <a:effectLst/>
          </c:spPr>
          <c:marker>
            <c:symbol val="none"/>
          </c:marker>
          <c:val>
            <c:numRef>
              <c:f>'TERRENO E BENFEITORIAS'!$X$265:$X$269</c:f>
              <c:numCache>
                <c:formatCode>#,##0.00_ ;[Red]\-#,##0.00\ </c:formatCode>
                <c:ptCount val="5"/>
                <c:pt idx="0">
                  <c:v>490.80330107486105</c:v>
                </c:pt>
                <c:pt idx="1">
                  <c:v>490.80330107486105</c:v>
                </c:pt>
                <c:pt idx="2">
                  <c:v>490.80330107486105</c:v>
                </c:pt>
                <c:pt idx="3">
                  <c:v>490.80330107486105</c:v>
                </c:pt>
                <c:pt idx="4">
                  <c:v>490.80330107486105</c:v>
                </c:pt>
              </c:numCache>
            </c:numRef>
          </c:val>
          <c:smooth val="0"/>
          <c:extLst>
            <c:ext xmlns:c16="http://schemas.microsoft.com/office/drawing/2014/chart" uri="{C3380CC4-5D6E-409C-BE32-E72D297353CC}">
              <c16:uniqueId val="{00000002-1443-4631-873E-3E5C214F64BD}"/>
            </c:ext>
          </c:extLst>
        </c:ser>
        <c:ser>
          <c:idx val="2"/>
          <c:order val="3"/>
          <c:tx>
            <c:strRef>
              <c:f>'TERRENO E BENFEITORIAS'!$Y$264</c:f>
              <c:strCache>
                <c:ptCount val="1"/>
                <c:pt idx="0">
                  <c:v>Limite superior</c:v>
                </c:pt>
              </c:strCache>
            </c:strRef>
          </c:tx>
          <c:spPr>
            <a:ln w="12700" cap="sq">
              <a:solidFill>
                <a:schemeClr val="tx2">
                  <a:lumMod val="50000"/>
                  <a:lumOff val="50000"/>
                </a:schemeClr>
              </a:solidFill>
              <a:round/>
            </a:ln>
            <a:effectLst/>
          </c:spPr>
          <c:marker>
            <c:symbol val="none"/>
          </c:marker>
          <c:val>
            <c:numRef>
              <c:f>'TERRENO E BENFEITORIAS'!$Y$265:$Y$269</c:f>
              <c:numCache>
                <c:formatCode>#,##0.00_ ;[Red]\-#,##0.00\ </c:formatCode>
                <c:ptCount val="5"/>
                <c:pt idx="0">
                  <c:v>613.22050844894852</c:v>
                </c:pt>
                <c:pt idx="1">
                  <c:v>613.22050844894852</c:v>
                </c:pt>
                <c:pt idx="2">
                  <c:v>613.22050844894852</c:v>
                </c:pt>
                <c:pt idx="3">
                  <c:v>613.22050844894852</c:v>
                </c:pt>
                <c:pt idx="4">
                  <c:v>613.22050844894852</c:v>
                </c:pt>
              </c:numCache>
            </c:numRef>
          </c:val>
          <c:smooth val="0"/>
          <c:extLst>
            <c:ext xmlns:c16="http://schemas.microsoft.com/office/drawing/2014/chart" uri="{C3380CC4-5D6E-409C-BE32-E72D297353CC}">
              <c16:uniqueId val="{00000001-1443-4631-873E-3E5C214F64BD}"/>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BENFEITORIAS'!$C$243</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BENFEITORIAS'!$C$244:$C$248</c:f>
              <c:numCache>
                <c:formatCode>#,##0.00_ ;[Red]\-#,##0.00\ </c:formatCode>
                <c:ptCount val="5"/>
                <c:pt idx="0">
                  <c:v>498.75000000000011</c:v>
                </c:pt>
                <c:pt idx="1">
                  <c:v>570.00000000000011</c:v>
                </c:pt>
                <c:pt idx="2">
                  <c:v>540</c:v>
                </c:pt>
                <c:pt idx="3">
                  <c:v>549.64285714285734</c:v>
                </c:pt>
                <c:pt idx="4">
                  <c:v>601.66666666666652</c:v>
                </c:pt>
              </c:numCache>
            </c:numRef>
          </c:yVal>
          <c:smooth val="0"/>
          <c:extLst>
            <c:ext xmlns:c16="http://schemas.microsoft.com/office/drawing/2014/chart" uri="{C3380CC4-5D6E-409C-BE32-E72D297353CC}">
              <c16:uniqueId val="{00000003-1443-4631-873E-3E5C214F64BD}"/>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 E BENFEITORIAS'!$Z$224</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 E BENFEITORIAS'!$Z$225:$Z$229</c:f>
              <c:numCache>
                <c:formatCode>#,##0.00_ ;[Red]\-#,##0.00\ </c:formatCode>
                <c:ptCount val="5"/>
                <c:pt idx="0">
                  <c:v>552.01190476190482</c:v>
                </c:pt>
                <c:pt idx="1">
                  <c:v>552.01190476190482</c:v>
                </c:pt>
                <c:pt idx="2">
                  <c:v>552.01190476190482</c:v>
                </c:pt>
                <c:pt idx="3">
                  <c:v>552.01190476190482</c:v>
                </c:pt>
                <c:pt idx="4">
                  <c:v>552.01190476190482</c:v>
                </c:pt>
              </c:numCache>
            </c:numRef>
          </c:val>
          <c:smooth val="0"/>
          <c:extLst>
            <c:ext xmlns:c16="http://schemas.microsoft.com/office/drawing/2014/chart" uri="{C3380CC4-5D6E-409C-BE32-E72D297353CC}">
              <c16:uniqueId val="{00000000-9EAB-4EFA-A35A-0D72ED0D5B29}"/>
            </c:ext>
          </c:extLst>
        </c:ser>
        <c:ser>
          <c:idx val="1"/>
          <c:order val="2"/>
          <c:tx>
            <c:strRef>
              <c:f>'TERRENO E BENFEITORIAS'!$X$224</c:f>
              <c:strCache>
                <c:ptCount val="1"/>
                <c:pt idx="0">
                  <c:v>Limite inferior</c:v>
                </c:pt>
              </c:strCache>
            </c:strRef>
          </c:tx>
          <c:spPr>
            <a:ln w="12700" cap="sq">
              <a:solidFill>
                <a:srgbClr val="FF0000"/>
              </a:solidFill>
              <a:round/>
            </a:ln>
            <a:effectLst/>
          </c:spPr>
          <c:marker>
            <c:symbol val="none"/>
          </c:marker>
          <c:val>
            <c:numRef>
              <c:f>'TERRENO E BENFEITORIAS'!$X$225:$X$229</c:f>
              <c:numCache>
                <c:formatCode>#,##0.00_ ;[Red]\-#,##0.00\ </c:formatCode>
                <c:ptCount val="5"/>
                <c:pt idx="0">
                  <c:v>489.50803132198672</c:v>
                </c:pt>
                <c:pt idx="1">
                  <c:v>489.50803132198672</c:v>
                </c:pt>
                <c:pt idx="2">
                  <c:v>489.50803132198672</c:v>
                </c:pt>
                <c:pt idx="3">
                  <c:v>489.50803132198672</c:v>
                </c:pt>
                <c:pt idx="4">
                  <c:v>489.50803132198672</c:v>
                </c:pt>
              </c:numCache>
            </c:numRef>
          </c:val>
          <c:smooth val="0"/>
          <c:extLst>
            <c:ext xmlns:c16="http://schemas.microsoft.com/office/drawing/2014/chart" uri="{C3380CC4-5D6E-409C-BE32-E72D297353CC}">
              <c16:uniqueId val="{00000001-9EAB-4EFA-A35A-0D72ED0D5B29}"/>
            </c:ext>
          </c:extLst>
        </c:ser>
        <c:ser>
          <c:idx val="3"/>
          <c:order val="3"/>
          <c:tx>
            <c:strRef>
              <c:f>'TERRENO E BENFEITORIAS'!$Y$224</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 E BENFEITORIAS'!$Y$225:$Y$229</c:f>
              <c:numCache>
                <c:formatCode>#,##0.00_ ;[Red]\-#,##0.00\ </c:formatCode>
                <c:ptCount val="5"/>
                <c:pt idx="0">
                  <c:v>614.51577820182297</c:v>
                </c:pt>
                <c:pt idx="1">
                  <c:v>614.51577820182297</c:v>
                </c:pt>
                <c:pt idx="2">
                  <c:v>614.51577820182297</c:v>
                </c:pt>
                <c:pt idx="3">
                  <c:v>614.51577820182297</c:v>
                </c:pt>
                <c:pt idx="4">
                  <c:v>614.51577820182297</c:v>
                </c:pt>
              </c:numCache>
            </c:numRef>
          </c:val>
          <c:smooth val="0"/>
          <c:extLst>
            <c:ext xmlns:c16="http://schemas.microsoft.com/office/drawing/2014/chart" uri="{C3380CC4-5D6E-409C-BE32-E72D297353CC}">
              <c16:uniqueId val="{00000002-9EAB-4EFA-A35A-0D72ED0D5B29}"/>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BENFEITORIAS'!$C$206</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BENFEITORIAS'!$C$207:$C$211</c:f>
              <c:numCache>
                <c:formatCode>#,##0.00_ ;[Red]\-#,##0.00\ </c:formatCode>
                <c:ptCount val="5"/>
                <c:pt idx="0">
                  <c:v>498.75000000000011</c:v>
                </c:pt>
                <c:pt idx="1">
                  <c:v>570.00000000000011</c:v>
                </c:pt>
                <c:pt idx="2">
                  <c:v>540</c:v>
                </c:pt>
                <c:pt idx="3">
                  <c:v>549.64285714285734</c:v>
                </c:pt>
                <c:pt idx="4">
                  <c:v>601.66666666666652</c:v>
                </c:pt>
              </c:numCache>
            </c:numRef>
          </c:yVal>
          <c:smooth val="0"/>
          <c:extLst>
            <c:ext xmlns:c16="http://schemas.microsoft.com/office/drawing/2014/chart" uri="{C3380CC4-5D6E-409C-BE32-E72D297353CC}">
              <c16:uniqueId val="{00000003-9EAB-4EFA-A35A-0D72ED0D5B29}"/>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 E BENFEITORIAS'!$Z$188</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 E BENFEITORIAS'!$Z$189:$Z$193</c:f>
              <c:numCache>
                <c:formatCode>#,##0.00_ ;[Red]\-#,##0.00\ </c:formatCode>
                <c:ptCount val="5"/>
                <c:pt idx="0">
                  <c:v>552.01190476190482</c:v>
                </c:pt>
                <c:pt idx="1">
                  <c:v>552.01190476190482</c:v>
                </c:pt>
                <c:pt idx="2">
                  <c:v>552.01190476190482</c:v>
                </c:pt>
                <c:pt idx="3">
                  <c:v>552.01190476190482</c:v>
                </c:pt>
                <c:pt idx="4">
                  <c:v>552.01190476190482</c:v>
                </c:pt>
              </c:numCache>
            </c:numRef>
          </c:val>
          <c:smooth val="0"/>
          <c:extLst>
            <c:ext xmlns:c16="http://schemas.microsoft.com/office/drawing/2014/chart" uri="{C3380CC4-5D6E-409C-BE32-E72D297353CC}">
              <c16:uniqueId val="{00000000-AF5E-4F53-A392-A7B36898D71B}"/>
            </c:ext>
          </c:extLst>
        </c:ser>
        <c:ser>
          <c:idx val="2"/>
          <c:order val="2"/>
          <c:tx>
            <c:strRef>
              <c:f>'TERRENO E BENFEITORIAS'!$Y$188</c:f>
              <c:strCache>
                <c:ptCount val="1"/>
                <c:pt idx="0">
                  <c:v>Limite superior</c:v>
                </c:pt>
              </c:strCache>
            </c:strRef>
          </c:tx>
          <c:spPr>
            <a:ln w="12700" cap="sq">
              <a:solidFill>
                <a:srgbClr val="0070C0"/>
              </a:solidFill>
              <a:prstDash val="solid"/>
              <a:round/>
            </a:ln>
            <a:effectLst/>
          </c:spPr>
          <c:marker>
            <c:symbol val="none"/>
          </c:marker>
          <c:val>
            <c:numRef>
              <c:f>'TERRENO E BENFEITORIAS'!$Y$189:$Y$193</c:f>
              <c:numCache>
                <c:formatCode>#,##0.00_ ;[Red]\-#,##0.00\ </c:formatCode>
                <c:ptCount val="5"/>
                <c:pt idx="0">
                  <c:v>717.61547619047633</c:v>
                </c:pt>
                <c:pt idx="1">
                  <c:v>717.61547619047633</c:v>
                </c:pt>
                <c:pt idx="2">
                  <c:v>717.61547619047633</c:v>
                </c:pt>
                <c:pt idx="3">
                  <c:v>717.61547619047633</c:v>
                </c:pt>
                <c:pt idx="4">
                  <c:v>717.61547619047633</c:v>
                </c:pt>
              </c:numCache>
            </c:numRef>
          </c:val>
          <c:smooth val="0"/>
          <c:extLst>
            <c:ext xmlns:c16="http://schemas.microsoft.com/office/drawing/2014/chart" uri="{C3380CC4-5D6E-409C-BE32-E72D297353CC}">
              <c16:uniqueId val="{00000001-AF5E-4F53-A392-A7B36898D71B}"/>
            </c:ext>
          </c:extLst>
        </c:ser>
        <c:ser>
          <c:idx val="1"/>
          <c:order val="3"/>
          <c:tx>
            <c:strRef>
              <c:f>'TERRENO E BENFEITORIAS'!$X$188</c:f>
              <c:strCache>
                <c:ptCount val="1"/>
                <c:pt idx="0">
                  <c:v>Limite inferior</c:v>
                </c:pt>
              </c:strCache>
            </c:strRef>
          </c:tx>
          <c:spPr>
            <a:ln w="12700" cap="sq">
              <a:solidFill>
                <a:srgbClr val="FF0000"/>
              </a:solidFill>
              <a:round/>
            </a:ln>
            <a:effectLst/>
          </c:spPr>
          <c:marker>
            <c:symbol val="none"/>
          </c:marker>
          <c:val>
            <c:numRef>
              <c:f>'TERRENO E BENFEITORIAS'!$X$189:$X$193</c:f>
              <c:numCache>
                <c:formatCode>#,##0.00_ ;[Red]\-#,##0.00\ </c:formatCode>
                <c:ptCount val="5"/>
                <c:pt idx="0">
                  <c:v>386.40833333333336</c:v>
                </c:pt>
                <c:pt idx="1">
                  <c:v>386.40833333333336</c:v>
                </c:pt>
                <c:pt idx="2">
                  <c:v>386.40833333333336</c:v>
                </c:pt>
                <c:pt idx="3">
                  <c:v>386.40833333333336</c:v>
                </c:pt>
                <c:pt idx="4">
                  <c:v>386.40833333333336</c:v>
                </c:pt>
              </c:numCache>
            </c:numRef>
          </c:val>
          <c:smooth val="0"/>
          <c:extLst>
            <c:ext xmlns:c16="http://schemas.microsoft.com/office/drawing/2014/chart" uri="{C3380CC4-5D6E-409C-BE32-E72D297353CC}">
              <c16:uniqueId val="{00000002-AF5E-4F53-A392-A7B36898D71B}"/>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 E BENFEITORIAS'!$C$172</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BENFEITORIAS'!$C$173:$C$177</c:f>
              <c:numCache>
                <c:formatCode>#,##0.00_ ;[Red]\-#,##0.00\ </c:formatCode>
                <c:ptCount val="5"/>
                <c:pt idx="0">
                  <c:v>498.75000000000011</c:v>
                </c:pt>
                <c:pt idx="1">
                  <c:v>570.00000000000011</c:v>
                </c:pt>
                <c:pt idx="2">
                  <c:v>540</c:v>
                </c:pt>
                <c:pt idx="3">
                  <c:v>549.64285714285734</c:v>
                </c:pt>
                <c:pt idx="4">
                  <c:v>601.66666666666652</c:v>
                </c:pt>
              </c:numCache>
            </c:numRef>
          </c:yVal>
          <c:smooth val="0"/>
          <c:extLst>
            <c:ext xmlns:c16="http://schemas.microsoft.com/office/drawing/2014/chart" uri="{C3380CC4-5D6E-409C-BE32-E72D297353CC}">
              <c16:uniqueId val="{00000003-AF5E-4F53-A392-A7B36898D71B}"/>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itens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BENFEITORIAS'!$K$46:$K$50</c:f>
              <c:numCache>
                <c:formatCode>#,##0.00_ ;[Red]\-#,##0.00\ </c:formatCode>
                <c:ptCount val="5"/>
                <c:pt idx="0">
                  <c:v>1</c:v>
                </c:pt>
                <c:pt idx="1">
                  <c:v>1</c:v>
                </c:pt>
                <c:pt idx="2">
                  <c:v>0.95000000000000018</c:v>
                </c:pt>
                <c:pt idx="3">
                  <c:v>1</c:v>
                </c:pt>
                <c:pt idx="4">
                  <c:v>0.90000000000000036</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itens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BENFEITORIAS'!$K$46:$K$50</c:f>
              <c:numCache>
                <c:formatCode>#,##0.00_ ;[Red]\-#,##0.00\ </c:formatCode>
                <c:ptCount val="5"/>
                <c:pt idx="0">
                  <c:v>1</c:v>
                </c:pt>
                <c:pt idx="1">
                  <c:v>1</c:v>
                </c:pt>
                <c:pt idx="2">
                  <c:v>0.95000000000000018</c:v>
                </c:pt>
                <c:pt idx="3">
                  <c:v>1</c:v>
                </c:pt>
                <c:pt idx="4">
                  <c:v>0.90000000000000036</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itens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Lit>
              <c:formatCode>General</c:formatCode>
              <c:ptCount val="5"/>
              <c:pt idx="0">
                <c:v>1</c:v>
              </c:pt>
              <c:pt idx="1">
                <c:v>1</c:v>
              </c:pt>
              <c:pt idx="2">
                <c:v>1</c:v>
              </c:pt>
              <c:pt idx="3">
                <c:v>1</c:v>
              </c:pt>
              <c:pt idx="4">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 E BENFEITORIAS'!$M$46:$M$50</c:f>
              <c:numCache>
                <c:formatCode>#,##0.00_ ;[Red]\-#,##0.00\ </c:formatCode>
                <c:ptCount val="5"/>
                <c:pt idx="0">
                  <c:v>0.95000000000000018</c:v>
                </c:pt>
                <c:pt idx="1">
                  <c:v>0.95000000000000018</c:v>
                </c:pt>
                <c:pt idx="2">
                  <c:v>0.95000000000000018</c:v>
                </c:pt>
                <c:pt idx="3">
                  <c:v>0.95000000000000018</c:v>
                </c:pt>
                <c:pt idx="4">
                  <c:v>0.95000000000000018</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pt-BR" sz="1050" b="1"/>
              <a:t>Proporções</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1C04-4B3B-9C74-E95F21BA7D4C}"/>
              </c:ext>
            </c:extLst>
          </c:dPt>
          <c:dPt>
            <c:idx val="1"/>
            <c:bubble3D val="0"/>
            <c:spPr>
              <a:solidFill>
                <a:srgbClr val="B9CFD9"/>
              </a:solidFill>
              <a:ln w="19050">
                <a:noFill/>
              </a:ln>
              <a:effectLst/>
            </c:spPr>
            <c:extLst>
              <c:ext xmlns:c16="http://schemas.microsoft.com/office/drawing/2014/chart" uri="{C3380CC4-5D6E-409C-BE32-E72D297353CC}">
                <c16:uniqueId val="{00000003-1C04-4B3B-9C74-E95F21BA7D4C}"/>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Terreno</c:v>
              </c:pt>
              <c:pt idx="1">
                <c:v>Edificações</c:v>
              </c:pt>
            </c:strLit>
          </c:cat>
          <c:val>
            <c:numRef>
              <c:f>'TERRENO E BENFEITORIAS'!$Y$470:$Y$471</c:f>
              <c:numCache>
                <c:formatCode>0.0%</c:formatCode>
                <c:ptCount val="2"/>
                <c:pt idx="0">
                  <c:v>0.38612955506632757</c:v>
                </c:pt>
                <c:pt idx="1">
                  <c:v>0.61387044493367249</c:v>
                </c:pt>
              </c:numCache>
            </c:numRef>
          </c:val>
          <c:extLst>
            <c:ext xmlns:c16="http://schemas.microsoft.com/office/drawing/2014/chart" uri="{C3380CC4-5D6E-409C-BE32-E72D297353CC}">
              <c16:uniqueId val="{00000004-1C04-4B3B-9C74-E95F21BA7D4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a:outerShdw blurRad="50800" dist="38100" dir="2700000" algn="t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png"/><Relationship Id="rId5" Type="http://schemas.openxmlformats.org/officeDocument/2006/relationships/chart" Target="../charts/chart4.xml"/><Relationship Id="rId10" Type="http://schemas.openxmlformats.org/officeDocument/2006/relationships/chart" Target="../charts/chart8.xml"/><Relationship Id="rId4" Type="http://schemas.openxmlformats.org/officeDocument/2006/relationships/image" Target="../media/image1.png"/><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504815</xdr:colOff>
      <xdr:row>262</xdr:row>
      <xdr:rowOff>247649</xdr:rowOff>
    </xdr:from>
    <xdr:to>
      <xdr:col>14</xdr:col>
      <xdr:colOff>206915</xdr:colOff>
      <xdr:row>277</xdr:row>
      <xdr:rowOff>132899</xdr:rowOff>
    </xdr:to>
    <xdr:graphicFrame macro="">
      <xdr:nvGraphicFramePr>
        <xdr:cNvPr id="10" name="Gráfico 9">
          <a:extLst>
            <a:ext uri="{FF2B5EF4-FFF2-40B4-BE49-F238E27FC236}">
              <a16:creationId xmlns:a16="http://schemas.microsoft.com/office/drawing/2014/main" id="{4562C375-45DF-4FB0-87CE-1C98A5B2F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223</xdr:row>
      <xdr:rowOff>828</xdr:rowOff>
    </xdr:from>
    <xdr:to>
      <xdr:col>14</xdr:col>
      <xdr:colOff>206925</xdr:colOff>
      <xdr:row>237</xdr:row>
      <xdr:rowOff>133728</xdr:rowOff>
    </xdr:to>
    <xdr:graphicFrame macro="">
      <xdr:nvGraphicFramePr>
        <xdr:cNvPr id="2" name="Gráfico 1">
          <a:extLst>
            <a:ext uri="{FF2B5EF4-FFF2-40B4-BE49-F238E27FC236}">
              <a16:creationId xmlns:a16="http://schemas.microsoft.com/office/drawing/2014/main" id="{212CD043-942F-40D2-9E6A-A0D9A4A90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185</xdr:row>
      <xdr:rowOff>247649</xdr:rowOff>
    </xdr:from>
    <xdr:to>
      <xdr:col>14</xdr:col>
      <xdr:colOff>206925</xdr:colOff>
      <xdr:row>200</xdr:row>
      <xdr:rowOff>132899</xdr:rowOff>
    </xdr:to>
    <xdr:graphicFrame macro="">
      <xdr:nvGraphicFramePr>
        <xdr:cNvPr id="4" name="Gráfico 3">
          <a:extLst>
            <a:ext uri="{FF2B5EF4-FFF2-40B4-BE49-F238E27FC236}">
              <a16:creationId xmlns:a16="http://schemas.microsoft.com/office/drawing/2014/main" id="{E024E44B-6B68-43D1-8AB6-F334BF366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28576</xdr:colOff>
      <xdr:row>0</xdr:row>
      <xdr:rowOff>38101</xdr:rowOff>
    </xdr:from>
    <xdr:to>
      <xdr:col>14</xdr:col>
      <xdr:colOff>390526</xdr:colOff>
      <xdr:row>0</xdr:row>
      <xdr:rowOff>1552576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576" y="38101"/>
          <a:ext cx="7429500" cy="1514475"/>
        </a:xfrm>
        <a:prstGeom prst="rect">
          <a:avLst/>
        </a:prstGeom>
      </xdr:spPr>
    </xdr:pic>
    <xdr:clientData/>
  </xdr:twoCellAnchor>
  <xdr:twoCellAnchor editAs="oneCell">
    <xdr:from>
      <xdr:col>3</xdr:col>
      <xdr:colOff>0</xdr:colOff>
      <xdr:row>58</xdr:row>
      <xdr:rowOff>0</xdr:rowOff>
    </xdr:from>
    <xdr:to>
      <xdr:col>14</xdr:col>
      <xdr:colOff>206925</xdr:colOff>
      <xdr:row>72</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0</xdr:colOff>
      <xdr:row>74</xdr:row>
      <xdr:rowOff>0</xdr:rowOff>
    </xdr:from>
    <xdr:to>
      <xdr:col>14</xdr:col>
      <xdr:colOff>206925</xdr:colOff>
      <xdr:row>88</xdr:row>
      <xdr:rowOff>132900</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92</xdr:row>
      <xdr:rowOff>0</xdr:rowOff>
    </xdr:from>
    <xdr:to>
      <xdr:col>14</xdr:col>
      <xdr:colOff>206925</xdr:colOff>
      <xdr:row>106</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xdr:col>
      <xdr:colOff>0</xdr:colOff>
      <xdr:row>110</xdr:row>
      <xdr:rowOff>0</xdr:rowOff>
    </xdr:from>
    <xdr:to>
      <xdr:col>14</xdr:col>
      <xdr:colOff>206925</xdr:colOff>
      <xdr:row>124</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0</xdr:colOff>
      <xdr:row>425</xdr:row>
      <xdr:rowOff>0</xdr:rowOff>
    </xdr:from>
    <xdr:to>
      <xdr:col>11</xdr:col>
      <xdr:colOff>423025</xdr:colOff>
      <xdr:row>436</xdr:row>
      <xdr:rowOff>202462</xdr:rowOff>
    </xdr:to>
    <xdr:pic>
      <xdr:nvPicPr>
        <xdr:cNvPr id="21" name="Imagem 20"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F85F553E-B1CA-46FC-8C2B-B27CD4308C6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512794" y="118883206"/>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470</xdr:row>
      <xdr:rowOff>0</xdr:rowOff>
    </xdr:from>
    <xdr:to>
      <xdr:col>12</xdr:col>
      <xdr:colOff>192095</xdr:colOff>
      <xdr:row>480</xdr:row>
      <xdr:rowOff>208846</xdr:rowOff>
    </xdr:to>
    <xdr:graphicFrame macro="">
      <xdr:nvGraphicFramePr>
        <xdr:cNvPr id="22" name="Gráfico 21">
          <a:extLst>
            <a:ext uri="{FF2B5EF4-FFF2-40B4-BE49-F238E27FC236}">
              <a16:creationId xmlns:a16="http://schemas.microsoft.com/office/drawing/2014/main" id="{4BFFB613-9DBA-4950-B53B-0DDE55DAA27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356</xdr:row>
      <xdr:rowOff>0</xdr:rowOff>
    </xdr:from>
    <xdr:to>
      <xdr:col>6</xdr:col>
      <xdr:colOff>201526</xdr:colOff>
      <xdr:row>360</xdr:row>
      <xdr:rowOff>159877</xdr:rowOff>
    </xdr:to>
    <xdr:pic>
      <xdr:nvPicPr>
        <xdr:cNvPr id="25" name="Imagem 24" descr=" \alpha = \left ( \dfrac{t}{T} + \dfrac{t^2}{T^2} \right ) \cdot \dfrac{1}{2}  \vspace{0.5cm} \\ \begin{tabular}{llcl} \\ Sendo: &amp; &amp; &amp; \\ &amp; t &amp; = &amp; idade real ou aparente da edificação \\ &amp; T &amp; = &amp; vida útil referencial \\ \end{tabular} ">
          <a:extLst>
            <a:ext uri="{FF2B5EF4-FFF2-40B4-BE49-F238E27FC236}">
              <a16:creationId xmlns:a16="http://schemas.microsoft.com/office/drawing/2014/main" id="{59E4D41A-75CE-4478-B1D1-205A32B9A49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101357206"/>
          <a:ext cx="3227114" cy="1145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439</xdr:row>
      <xdr:rowOff>0</xdr:rowOff>
    </xdr:from>
    <xdr:to>
      <xdr:col>16</xdr:col>
      <xdr:colOff>333831</xdr:colOff>
      <xdr:row>440</xdr:row>
      <xdr:rowOff>115376</xdr:rowOff>
    </xdr:to>
    <xdr:pic>
      <xdr:nvPicPr>
        <xdr:cNvPr id="27" name="Imagem 26" descr="  k_d = -d \\ f_d = 1 + k_d ">
          <a:extLst>
            <a:ext uri="{FF2B5EF4-FFF2-40B4-BE49-F238E27FC236}">
              <a16:creationId xmlns:a16="http://schemas.microsoft.com/office/drawing/2014/main" id="{DDB53A9D-3196-4AD5-BDBE-E994E00D371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bwMode="auto">
        <a:xfrm>
          <a:off x="7563971" y="122088088"/>
          <a:ext cx="838095" cy="36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6</xdr:col>
      <xdr:colOff>409018</xdr:colOff>
      <xdr:row>186</xdr:row>
      <xdr:rowOff>190136</xdr:rowOff>
    </xdr:to>
    <xdr:pic>
      <xdr:nvPicPr>
        <xdr:cNvPr id="2" name="Imagem 1"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8AFFF2C6-B96B-408E-B432-021CDB32A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09625" y="43338750"/>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xdr:colOff>
      <xdr:row>248</xdr:row>
      <xdr:rowOff>4</xdr:rowOff>
    </xdr:from>
    <xdr:to>
      <xdr:col>8</xdr:col>
      <xdr:colOff>227867</xdr:colOff>
      <xdr:row>254</xdr:row>
      <xdr:rowOff>9342</xdr:rowOff>
    </xdr:to>
    <xdr:pic>
      <xdr:nvPicPr>
        <xdr:cNvPr id="3" name="Imagem 2" descr="     k_d = \dfrac{-d}{100} \\  \vspace{0.5cm} \\  \begin{tabular}{llll} \\  Na equação acima: &amp;  &amp; &amp; \\  &amp; d  &amp; = &amp; valor bruto resultado da equação inicial; \\  &amp; k_d  &amp; = &amp; coeficiente de depreciação (percentual negativo);  \end{tabular}  ">
          <a:extLst>
            <a:ext uri="{FF2B5EF4-FFF2-40B4-BE49-F238E27FC236}">
              <a16:creationId xmlns:a16="http://schemas.microsoft.com/office/drawing/2014/main" id="{1ECD457D-B8D7-420B-AD7A-8A4D34309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09629" y="61417204"/>
          <a:ext cx="5895238" cy="149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xdr:colOff>
      <xdr:row>314</xdr:row>
      <xdr:rowOff>3</xdr:rowOff>
    </xdr:from>
    <xdr:to>
      <xdr:col>6</xdr:col>
      <xdr:colOff>580553</xdr:colOff>
      <xdr:row>318</xdr:row>
      <xdr:rowOff>180832</xdr:rowOff>
    </xdr:to>
    <xdr:pic>
      <xdr:nvPicPr>
        <xdr:cNvPr id="4" name="Imagem 3" descr="  f_d = 1 + k_d \\  \vspace{0.5cm} \\  \begin{tabular}{llll} \\  Na equação acima: &amp; &amp; &amp;  \\  &amp; f_d &amp; = &amp; fator de depreciação. \\  \end{tabular}  ">
          <a:extLst>
            <a:ext uri="{FF2B5EF4-FFF2-40B4-BE49-F238E27FC236}">
              <a16:creationId xmlns:a16="http://schemas.microsoft.com/office/drawing/2014/main" id="{A6DD36C2-3696-40EF-B445-7501E088F5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619255" y="77762103"/>
          <a:ext cx="3819048" cy="117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O520"/>
  <sheetViews>
    <sheetView tabSelected="1" zoomScaleNormal="100" workbookViewId="0"/>
  </sheetViews>
  <sheetFormatPr defaultColWidth="4.75" defaultRowHeight="20.100000000000001" customHeight="1" x14ac:dyDescent="0.25"/>
  <cols>
    <col min="1" max="19" width="6.625" style="11" customWidth="1"/>
    <col min="20" max="22" width="20.625" style="11" customWidth="1"/>
    <col min="23" max="28" width="20.625" style="46" customWidth="1"/>
    <col min="29" max="129" width="4.75" style="46" customWidth="1"/>
    <col min="130" max="16384" width="4.75" style="46"/>
  </cols>
  <sheetData>
    <row r="1" spans="1:19" ht="140.1" customHeight="1" x14ac:dyDescent="0.25">
      <c r="A1" s="10"/>
      <c r="B1" s="10"/>
      <c r="C1" s="10"/>
      <c r="D1" s="10"/>
      <c r="E1" s="10"/>
      <c r="F1" s="10"/>
      <c r="G1" s="10"/>
      <c r="H1" s="10"/>
      <c r="I1" s="10"/>
      <c r="J1" s="10"/>
      <c r="K1" s="10"/>
      <c r="L1" s="10"/>
      <c r="M1" s="10"/>
      <c r="N1" s="10"/>
      <c r="O1" s="10"/>
      <c r="P1" s="10"/>
      <c r="Q1" s="10"/>
      <c r="R1" s="10"/>
      <c r="S1" s="10"/>
    </row>
    <row r="2" spans="1:19" ht="5.0999999999999996" customHeight="1" x14ac:dyDescent="0.25"/>
    <row r="3" spans="1:19" ht="5.0999999999999996" customHeight="1" x14ac:dyDescent="0.25">
      <c r="A3" s="10"/>
      <c r="B3" s="10"/>
      <c r="C3" s="10"/>
      <c r="D3" s="10"/>
      <c r="E3" s="10"/>
      <c r="F3" s="10"/>
      <c r="G3" s="10"/>
      <c r="H3" s="10"/>
      <c r="I3" s="10"/>
      <c r="J3" s="10"/>
      <c r="K3" s="10"/>
      <c r="L3" s="10"/>
      <c r="M3" s="10"/>
      <c r="N3" s="10"/>
      <c r="O3" s="10"/>
      <c r="P3" s="10"/>
      <c r="Q3" s="10"/>
      <c r="R3" s="10"/>
      <c r="S3" s="10"/>
    </row>
    <row r="5" spans="1:19" ht="20.100000000000001" customHeight="1" x14ac:dyDescent="0.25">
      <c r="A5" s="205" t="s">
        <v>249</v>
      </c>
      <c r="B5" s="205"/>
      <c r="C5" s="205"/>
      <c r="D5" s="205"/>
      <c r="E5" s="205"/>
      <c r="F5" s="205"/>
      <c r="G5" s="205"/>
      <c r="H5" s="205"/>
      <c r="I5" s="205"/>
      <c r="J5" s="205"/>
      <c r="K5" s="205"/>
      <c r="L5" s="205"/>
      <c r="M5" s="205"/>
      <c r="N5" s="205"/>
      <c r="O5" s="205"/>
      <c r="P5" s="205"/>
      <c r="Q5" s="205"/>
      <c r="R5" s="205"/>
      <c r="S5" s="205"/>
    </row>
    <row r="7" spans="1:19" ht="20.100000000000001" customHeight="1" x14ac:dyDescent="0.25">
      <c r="A7" s="205" t="s">
        <v>248</v>
      </c>
      <c r="B7" s="205"/>
      <c r="C7" s="205"/>
      <c r="D7" s="205"/>
      <c r="E7" s="205"/>
      <c r="F7" s="205"/>
      <c r="G7" s="205"/>
      <c r="H7" s="205"/>
      <c r="I7" s="205"/>
      <c r="J7" s="205"/>
      <c r="K7" s="205"/>
      <c r="L7" s="205"/>
      <c r="M7" s="205"/>
      <c r="N7" s="205"/>
      <c r="O7" s="205"/>
      <c r="P7" s="205"/>
      <c r="Q7" s="205"/>
      <c r="R7" s="205"/>
      <c r="S7" s="205"/>
    </row>
    <row r="9" spans="1:19" ht="20.100000000000001" customHeight="1" x14ac:dyDescent="0.25">
      <c r="A9" s="195" t="s">
        <v>255</v>
      </c>
      <c r="B9" s="195"/>
      <c r="C9" s="195"/>
      <c r="D9" s="195"/>
      <c r="E9" s="195"/>
      <c r="F9" s="195"/>
      <c r="G9" s="195"/>
      <c r="H9" s="195"/>
      <c r="I9" s="195"/>
      <c r="J9" s="195"/>
      <c r="K9" s="195"/>
      <c r="L9" s="195"/>
      <c r="M9" s="195"/>
      <c r="N9" s="195"/>
      <c r="O9" s="195"/>
      <c r="P9" s="195"/>
      <c r="Q9" s="195"/>
      <c r="R9" s="195"/>
      <c r="S9" s="195"/>
    </row>
    <row r="10" spans="1:19" ht="20.100000000000001" customHeight="1" x14ac:dyDescent="0.25">
      <c r="A10" s="194" t="s">
        <v>17</v>
      </c>
      <c r="B10" s="194"/>
      <c r="C10" s="194"/>
      <c r="D10" s="194" t="s">
        <v>87</v>
      </c>
      <c r="E10" s="194"/>
      <c r="F10" s="194"/>
      <c r="G10" s="194"/>
      <c r="H10" s="194"/>
      <c r="I10" s="194"/>
      <c r="J10" s="194"/>
      <c r="K10" s="194" t="s">
        <v>88</v>
      </c>
      <c r="L10" s="194"/>
      <c r="M10" s="194"/>
      <c r="N10" s="194"/>
      <c r="O10" s="194"/>
      <c r="P10" s="194"/>
      <c r="Q10" s="194"/>
      <c r="R10" s="194"/>
      <c r="S10" s="194"/>
    </row>
    <row r="11" spans="1:19" ht="20.100000000000001" customHeight="1" x14ac:dyDescent="0.25">
      <c r="A11" s="164">
        <v>2</v>
      </c>
      <c r="B11" s="164"/>
      <c r="C11" s="164"/>
      <c r="D11" s="164" t="s">
        <v>254</v>
      </c>
      <c r="E11" s="164"/>
      <c r="F11" s="164"/>
      <c r="G11" s="164"/>
      <c r="H11" s="164"/>
      <c r="I11" s="164"/>
      <c r="J11" s="164"/>
      <c r="K11" s="164" t="s">
        <v>91</v>
      </c>
      <c r="L11" s="164"/>
      <c r="M11" s="164"/>
      <c r="N11" s="196" t="s">
        <v>92</v>
      </c>
      <c r="O11" s="196"/>
      <c r="P11" s="196"/>
      <c r="Q11" s="164" t="s">
        <v>82</v>
      </c>
      <c r="R11" s="164"/>
      <c r="S11" s="164"/>
    </row>
    <row r="12" spans="1:19" ht="20.100000000000001" customHeight="1" x14ac:dyDescent="0.25">
      <c r="A12" s="164"/>
      <c r="B12" s="164"/>
      <c r="C12" s="164"/>
      <c r="D12" s="164"/>
      <c r="E12" s="164"/>
      <c r="F12" s="164"/>
      <c r="G12" s="164"/>
      <c r="H12" s="164"/>
      <c r="I12" s="164"/>
      <c r="J12" s="164"/>
      <c r="K12" s="164">
        <v>12</v>
      </c>
      <c r="L12" s="164"/>
      <c r="M12" s="164"/>
      <c r="N12" s="196">
        <v>5</v>
      </c>
      <c r="O12" s="196"/>
      <c r="P12" s="196"/>
      <c r="Q12" s="164">
        <v>3</v>
      </c>
      <c r="R12" s="164"/>
      <c r="S12" s="164"/>
    </row>
    <row r="15" spans="1:19" ht="20.100000000000001" customHeight="1" x14ac:dyDescent="0.25">
      <c r="A15" s="177" t="s">
        <v>20</v>
      </c>
      <c r="B15" s="177"/>
      <c r="C15" s="177"/>
      <c r="D15" s="177"/>
      <c r="E15" s="177"/>
      <c r="F15" s="177"/>
      <c r="G15" s="177"/>
      <c r="H15" s="177"/>
      <c r="I15" s="177"/>
      <c r="J15" s="177"/>
      <c r="K15" s="177"/>
      <c r="L15" s="177"/>
      <c r="M15" s="177"/>
      <c r="N15" s="177"/>
      <c r="O15" s="177"/>
      <c r="P15" s="177"/>
      <c r="Q15" s="177"/>
      <c r="R15" s="177"/>
      <c r="S15" s="177"/>
    </row>
    <row r="17" spans="1:22" ht="39.950000000000003" customHeight="1" thickBot="1" x14ac:dyDescent="0.3">
      <c r="A17" s="168" t="s">
        <v>17</v>
      </c>
      <c r="B17" s="168"/>
      <c r="C17" s="168" t="s">
        <v>480</v>
      </c>
      <c r="D17" s="168"/>
      <c r="E17" s="168"/>
      <c r="F17" s="168" t="s">
        <v>18</v>
      </c>
      <c r="G17" s="168"/>
      <c r="H17" s="168"/>
      <c r="I17" s="168" t="s">
        <v>19</v>
      </c>
      <c r="J17" s="168"/>
      <c r="K17" s="168"/>
      <c r="L17" s="168" t="s">
        <v>246</v>
      </c>
      <c r="M17" s="168"/>
      <c r="N17" s="168"/>
      <c r="O17" s="168" t="s">
        <v>21</v>
      </c>
      <c r="P17" s="168"/>
      <c r="Q17" s="168" t="s">
        <v>22</v>
      </c>
      <c r="R17" s="168"/>
      <c r="S17" s="168"/>
      <c r="U17" s="224" t="s">
        <v>14</v>
      </c>
      <c r="V17" s="224"/>
    </row>
    <row r="18" spans="1:22" ht="20.100000000000001" customHeight="1" x14ac:dyDescent="0.25">
      <c r="A18" s="166">
        <v>1</v>
      </c>
      <c r="B18" s="166"/>
      <c r="C18" s="191">
        <v>210000</v>
      </c>
      <c r="D18" s="191"/>
      <c r="E18" s="191"/>
      <c r="F18" s="209">
        <v>360</v>
      </c>
      <c r="G18" s="209"/>
      <c r="H18" s="209"/>
      <c r="I18" s="191">
        <f>C18/F18</f>
        <v>583.33333333333337</v>
      </c>
      <c r="J18" s="191"/>
      <c r="K18" s="191"/>
      <c r="L18" s="226" t="s">
        <v>493</v>
      </c>
      <c r="M18" s="226"/>
      <c r="N18" s="226"/>
      <c r="O18" s="214">
        <f>VLOOKUP(L18,$U$19:$V$20,2,0)</f>
        <v>0.9</v>
      </c>
      <c r="P18" s="214"/>
      <c r="Q18" s="191">
        <f>I18*O18</f>
        <v>525</v>
      </c>
      <c r="R18" s="191"/>
      <c r="S18" s="191"/>
      <c r="U18" s="17" t="s">
        <v>494</v>
      </c>
      <c r="V18" s="17" t="s">
        <v>15</v>
      </c>
    </row>
    <row r="19" spans="1:22" ht="20.100000000000001" customHeight="1" x14ac:dyDescent="0.25">
      <c r="A19" s="166">
        <v>2</v>
      </c>
      <c r="B19" s="166"/>
      <c r="C19" s="191">
        <v>200000</v>
      </c>
      <c r="D19" s="191"/>
      <c r="E19" s="191"/>
      <c r="F19" s="209">
        <v>300</v>
      </c>
      <c r="G19" s="209"/>
      <c r="H19" s="209"/>
      <c r="I19" s="191">
        <f t="shared" ref="I19:I20" si="0">C19/F19</f>
        <v>666.66666666666663</v>
      </c>
      <c r="J19" s="191"/>
      <c r="K19" s="191"/>
      <c r="L19" s="226" t="s">
        <v>493</v>
      </c>
      <c r="M19" s="226"/>
      <c r="N19" s="226"/>
      <c r="O19" s="214">
        <f t="shared" ref="O19:O21" si="1">VLOOKUP(L19,$U$19:$V$20,2,0)</f>
        <v>0.9</v>
      </c>
      <c r="P19" s="214"/>
      <c r="Q19" s="191">
        <f t="shared" ref="Q19:Q20" si="2">I19*O19</f>
        <v>600</v>
      </c>
      <c r="R19" s="191"/>
      <c r="S19" s="191"/>
      <c r="U19" s="13" t="s">
        <v>493</v>
      </c>
      <c r="V19" s="18">
        <v>0.9</v>
      </c>
    </row>
    <row r="20" spans="1:22" ht="20.100000000000001" customHeight="1" x14ac:dyDescent="0.25">
      <c r="A20" s="166">
        <v>3</v>
      </c>
      <c r="B20" s="166"/>
      <c r="C20" s="191">
        <v>180000</v>
      </c>
      <c r="D20" s="191"/>
      <c r="E20" s="191"/>
      <c r="F20" s="209">
        <v>300</v>
      </c>
      <c r="G20" s="209"/>
      <c r="H20" s="209"/>
      <c r="I20" s="191">
        <f t="shared" si="0"/>
        <v>600</v>
      </c>
      <c r="J20" s="191"/>
      <c r="K20" s="191"/>
      <c r="L20" s="226" t="s">
        <v>493</v>
      </c>
      <c r="M20" s="226"/>
      <c r="N20" s="226"/>
      <c r="O20" s="214">
        <f t="shared" si="1"/>
        <v>0.9</v>
      </c>
      <c r="P20" s="214"/>
      <c r="Q20" s="191">
        <f t="shared" si="2"/>
        <v>540</v>
      </c>
      <c r="R20" s="191"/>
      <c r="S20" s="191"/>
      <c r="U20" s="13" t="s">
        <v>16</v>
      </c>
      <c r="V20" s="18">
        <v>1</v>
      </c>
    </row>
    <row r="21" spans="1:22" ht="20.100000000000001" customHeight="1" x14ac:dyDescent="0.25">
      <c r="A21" s="166">
        <v>4</v>
      </c>
      <c r="B21" s="166"/>
      <c r="C21" s="191">
        <v>180000</v>
      </c>
      <c r="D21" s="191"/>
      <c r="E21" s="191"/>
      <c r="F21" s="209">
        <v>280</v>
      </c>
      <c r="G21" s="209"/>
      <c r="H21" s="209"/>
      <c r="I21" s="191">
        <f>C21/F21</f>
        <v>642.85714285714289</v>
      </c>
      <c r="J21" s="191"/>
      <c r="K21" s="191"/>
      <c r="L21" s="226" t="s">
        <v>493</v>
      </c>
      <c r="M21" s="226"/>
      <c r="N21" s="226"/>
      <c r="O21" s="214">
        <f t="shared" si="1"/>
        <v>0.9</v>
      </c>
      <c r="P21" s="214"/>
      <c r="Q21" s="191">
        <f>I21*O21</f>
        <v>578.57142857142867</v>
      </c>
      <c r="R21" s="191"/>
      <c r="S21" s="191"/>
    </row>
    <row r="22" spans="1:22" ht="20.100000000000001" customHeight="1" thickBot="1" x14ac:dyDescent="0.3">
      <c r="A22" s="167">
        <v>5</v>
      </c>
      <c r="B22" s="167"/>
      <c r="C22" s="212">
        <v>190000</v>
      </c>
      <c r="D22" s="212"/>
      <c r="E22" s="212"/>
      <c r="F22" s="223">
        <v>300</v>
      </c>
      <c r="G22" s="223"/>
      <c r="H22" s="223"/>
      <c r="I22" s="212">
        <f>C22/F22</f>
        <v>633.33333333333337</v>
      </c>
      <c r="J22" s="212"/>
      <c r="K22" s="212"/>
      <c r="L22" s="227" t="s">
        <v>493</v>
      </c>
      <c r="M22" s="227"/>
      <c r="N22" s="227"/>
      <c r="O22" s="215">
        <f>VLOOKUP(L22,$U$19:$V$20,2,0)</f>
        <v>0.9</v>
      </c>
      <c r="P22" s="215"/>
      <c r="Q22" s="212">
        <f>I22*O22</f>
        <v>570</v>
      </c>
      <c r="R22" s="212"/>
      <c r="S22" s="212"/>
    </row>
    <row r="24" spans="1:22" ht="20.100000000000001" customHeight="1" x14ac:dyDescent="0.25">
      <c r="M24" s="157" t="s">
        <v>36</v>
      </c>
      <c r="N24" s="157"/>
      <c r="O24" s="157"/>
      <c r="P24" s="157"/>
      <c r="Q24" s="200">
        <f>AVERAGE(Q18:S22)</f>
        <v>562.71428571428567</v>
      </c>
      <c r="R24" s="200"/>
      <c r="S24" s="200"/>
    </row>
    <row r="25" spans="1:22" ht="20.100000000000001" customHeight="1" x14ac:dyDescent="0.25">
      <c r="M25" s="170" t="s">
        <v>37</v>
      </c>
      <c r="N25" s="170"/>
      <c r="O25" s="170"/>
      <c r="P25" s="170"/>
      <c r="Q25" s="200">
        <f>STDEVA(Q18:S22)</f>
        <v>30.137440271570007</v>
      </c>
      <c r="R25" s="200"/>
      <c r="S25" s="200"/>
    </row>
    <row r="26" spans="1:22" ht="20.100000000000001" customHeight="1" x14ac:dyDescent="0.25">
      <c r="M26" s="189" t="s">
        <v>35</v>
      </c>
      <c r="N26" s="189"/>
      <c r="O26" s="189"/>
      <c r="P26" s="189"/>
      <c r="Q26" s="219">
        <f>Q25/Q24</f>
        <v>5.3557268824826115E-2</v>
      </c>
      <c r="R26" s="219"/>
      <c r="S26" s="219"/>
    </row>
    <row r="29" spans="1:22" ht="20.100000000000001" customHeight="1" x14ac:dyDescent="0.25">
      <c r="A29" s="177" t="s">
        <v>29</v>
      </c>
      <c r="B29" s="177"/>
      <c r="C29" s="177"/>
      <c r="D29" s="177"/>
      <c r="E29" s="177"/>
      <c r="F29" s="177"/>
      <c r="G29" s="177"/>
      <c r="H29" s="177"/>
      <c r="I29" s="177"/>
      <c r="J29" s="177"/>
      <c r="K29" s="177"/>
      <c r="L29" s="177"/>
      <c r="M29" s="177"/>
      <c r="N29" s="177"/>
      <c r="O29" s="177"/>
      <c r="P29" s="177"/>
      <c r="Q29" s="177"/>
      <c r="R29" s="177"/>
      <c r="S29" s="177"/>
    </row>
    <row r="31" spans="1:22" ht="80.099999999999994" customHeight="1" x14ac:dyDescent="0.25">
      <c r="A31" s="165" t="s">
        <v>85</v>
      </c>
      <c r="B31" s="165"/>
      <c r="C31" s="165"/>
      <c r="D31" s="165"/>
      <c r="E31" s="165"/>
      <c r="F31" s="165"/>
      <c r="G31" s="165"/>
      <c r="H31" s="165"/>
      <c r="I31" s="165"/>
      <c r="J31" s="165"/>
      <c r="K31" s="165"/>
      <c r="L31" s="165"/>
      <c r="M31" s="165"/>
      <c r="N31" s="165"/>
      <c r="O31" s="165"/>
      <c r="P31" s="165"/>
      <c r="Q31" s="165"/>
      <c r="R31" s="165"/>
      <c r="S31" s="165"/>
    </row>
    <row r="33" spans="1:19" ht="20.100000000000001" customHeight="1" x14ac:dyDescent="0.25">
      <c r="A33" s="168" t="s">
        <v>23</v>
      </c>
      <c r="B33" s="168"/>
      <c r="C33" s="168"/>
      <c r="D33" s="168"/>
      <c r="E33" s="168"/>
      <c r="F33" s="168"/>
      <c r="G33" s="168"/>
      <c r="H33" s="168"/>
      <c r="I33" s="168" t="s">
        <v>86</v>
      </c>
      <c r="J33" s="168"/>
      <c r="K33" s="221" t="s">
        <v>490</v>
      </c>
      <c r="L33" s="221"/>
      <c r="M33" s="221"/>
      <c r="N33" s="221"/>
      <c r="O33" s="221"/>
      <c r="P33" s="222" t="s">
        <v>491</v>
      </c>
      <c r="Q33" s="222"/>
      <c r="R33" s="222"/>
      <c r="S33" s="222"/>
    </row>
    <row r="34" spans="1:19" ht="20.100000000000001" customHeight="1" x14ac:dyDescent="0.25">
      <c r="A34" s="189" t="s">
        <v>24</v>
      </c>
      <c r="B34" s="189"/>
      <c r="C34" s="189"/>
      <c r="D34" s="189"/>
      <c r="E34" s="189"/>
      <c r="F34" s="189"/>
      <c r="G34" s="189"/>
      <c r="H34" s="189"/>
      <c r="I34" s="207" t="s">
        <v>409</v>
      </c>
      <c r="J34" s="207"/>
      <c r="K34" s="111" t="s">
        <v>485</v>
      </c>
      <c r="L34" s="111"/>
      <c r="M34" s="111"/>
      <c r="N34" s="111"/>
      <c r="O34" s="111"/>
      <c r="P34" s="112">
        <v>1</v>
      </c>
      <c r="Q34" s="112"/>
      <c r="R34" s="112"/>
      <c r="S34" s="112"/>
    </row>
    <row r="35" spans="1:19" ht="20.100000000000001" customHeight="1" x14ac:dyDescent="0.25">
      <c r="A35" s="189" t="s">
        <v>27</v>
      </c>
      <c r="B35" s="189"/>
      <c r="C35" s="189"/>
      <c r="D35" s="189"/>
      <c r="E35" s="189"/>
      <c r="F35" s="189"/>
      <c r="G35" s="189"/>
      <c r="H35" s="189"/>
      <c r="I35" s="166" t="s">
        <v>410</v>
      </c>
      <c r="J35" s="166"/>
      <c r="K35" s="111" t="s">
        <v>486</v>
      </c>
      <c r="L35" s="111"/>
      <c r="M35" s="111"/>
      <c r="N35" s="111"/>
      <c r="O35" s="111"/>
      <c r="P35" s="112">
        <v>1</v>
      </c>
      <c r="Q35" s="112"/>
      <c r="R35" s="112"/>
      <c r="S35" s="112"/>
    </row>
    <row r="36" spans="1:19" ht="20.100000000000001" customHeight="1" x14ac:dyDescent="0.25">
      <c r="A36" s="189" t="s">
        <v>28</v>
      </c>
      <c r="B36" s="189"/>
      <c r="C36" s="189"/>
      <c r="D36" s="189"/>
      <c r="E36" s="189"/>
      <c r="F36" s="189"/>
      <c r="G36" s="189"/>
      <c r="H36" s="189"/>
      <c r="I36" s="166" t="s">
        <v>411</v>
      </c>
      <c r="J36" s="166"/>
      <c r="K36" s="111" t="s">
        <v>487</v>
      </c>
      <c r="L36" s="111"/>
      <c r="M36" s="111"/>
      <c r="N36" s="111"/>
      <c r="O36" s="111"/>
      <c r="P36" s="112">
        <v>1</v>
      </c>
      <c r="Q36" s="112"/>
      <c r="R36" s="112"/>
      <c r="S36" s="112"/>
    </row>
    <row r="37" spans="1:19" ht="20.100000000000001" customHeight="1" x14ac:dyDescent="0.25">
      <c r="A37" s="189" t="s">
        <v>25</v>
      </c>
      <c r="B37" s="189"/>
      <c r="C37" s="189"/>
      <c r="D37" s="189"/>
      <c r="E37" s="189"/>
      <c r="F37" s="189"/>
      <c r="G37" s="189"/>
      <c r="H37" s="189"/>
      <c r="I37" s="166" t="s">
        <v>412</v>
      </c>
      <c r="J37" s="166"/>
      <c r="K37" s="111" t="s">
        <v>488</v>
      </c>
      <c r="L37" s="111"/>
      <c r="M37" s="111"/>
      <c r="N37" s="111"/>
      <c r="O37" s="111"/>
      <c r="P37" s="112">
        <v>1</v>
      </c>
      <c r="Q37" s="112"/>
      <c r="R37" s="112"/>
      <c r="S37" s="112"/>
    </row>
    <row r="38" spans="1:19" ht="20.100000000000001" customHeight="1" x14ac:dyDescent="0.25">
      <c r="A38" s="189" t="s">
        <v>26</v>
      </c>
      <c r="B38" s="189"/>
      <c r="C38" s="189"/>
      <c r="D38" s="189"/>
      <c r="E38" s="189"/>
      <c r="F38" s="189"/>
      <c r="G38" s="189"/>
      <c r="H38" s="189"/>
      <c r="I38" s="166" t="s">
        <v>413</v>
      </c>
      <c r="J38" s="166"/>
      <c r="K38" s="111" t="s">
        <v>489</v>
      </c>
      <c r="L38" s="111"/>
      <c r="M38" s="111"/>
      <c r="N38" s="111"/>
      <c r="O38" s="111"/>
      <c r="P38" s="112">
        <v>1</v>
      </c>
      <c r="Q38" s="112"/>
      <c r="R38" s="112"/>
      <c r="S38" s="112"/>
    </row>
    <row r="41" spans="1:19" ht="20.100000000000001" customHeight="1" x14ac:dyDescent="0.25">
      <c r="A41" s="220" t="s">
        <v>33</v>
      </c>
      <c r="B41" s="220"/>
      <c r="C41" s="220"/>
      <c r="D41" s="220"/>
      <c r="E41" s="220"/>
      <c r="F41" s="220" t="s">
        <v>34</v>
      </c>
      <c r="G41" s="220"/>
      <c r="H41" s="220"/>
      <c r="I41" s="220"/>
      <c r="J41" s="220"/>
      <c r="K41" s="220" t="s">
        <v>30</v>
      </c>
      <c r="L41" s="220"/>
    </row>
    <row r="42" spans="1:19" ht="20.100000000000001" customHeight="1" x14ac:dyDescent="0.25">
      <c r="A42" s="168"/>
      <c r="B42" s="168"/>
      <c r="C42" s="168"/>
      <c r="D42" s="168"/>
      <c r="E42" s="168"/>
      <c r="F42" s="12" t="s">
        <v>409</v>
      </c>
      <c r="G42" s="12" t="s">
        <v>410</v>
      </c>
      <c r="H42" s="12" t="s">
        <v>411</v>
      </c>
      <c r="I42" s="12" t="s">
        <v>412</v>
      </c>
      <c r="J42" s="12" t="s">
        <v>413</v>
      </c>
      <c r="K42" s="168"/>
      <c r="L42" s="168"/>
    </row>
    <row r="43" spans="1:19" ht="20.100000000000001" customHeight="1" thickBot="1" x14ac:dyDescent="0.3">
      <c r="A43" s="19"/>
      <c r="B43" s="19"/>
      <c r="C43" s="19"/>
      <c r="D43" s="19"/>
      <c r="E43" s="19"/>
      <c r="F43" s="15">
        <v>0.95</v>
      </c>
      <c r="G43" s="15">
        <v>1</v>
      </c>
      <c r="H43" s="15">
        <v>1</v>
      </c>
      <c r="I43" s="15">
        <v>1</v>
      </c>
      <c r="J43" s="15">
        <v>1</v>
      </c>
      <c r="K43" s="212">
        <f>SUM(F43:J43)-COUNT(F43:J43)+1</f>
        <v>0.95000000000000018</v>
      </c>
      <c r="L43" s="212"/>
    </row>
    <row r="45" spans="1:19" ht="39.950000000000003" customHeight="1" x14ac:dyDescent="0.25">
      <c r="A45" s="168" t="s">
        <v>17</v>
      </c>
      <c r="B45" s="168"/>
      <c r="C45" s="168" t="str">
        <f>Q17</f>
        <v>Valor unitário ajustado</v>
      </c>
      <c r="D45" s="168"/>
      <c r="E45" s="168"/>
      <c r="F45" s="12" t="s">
        <v>409</v>
      </c>
      <c r="G45" s="12" t="s">
        <v>410</v>
      </c>
      <c r="H45" s="12" t="s">
        <v>411</v>
      </c>
      <c r="I45" s="12" t="s">
        <v>412</v>
      </c>
      <c r="J45" s="12" t="s">
        <v>413</v>
      </c>
      <c r="K45" s="168" t="s">
        <v>30</v>
      </c>
      <c r="L45" s="168"/>
      <c r="M45" s="168" t="s">
        <v>31</v>
      </c>
      <c r="N45" s="168"/>
      <c r="O45" s="168" t="s">
        <v>23</v>
      </c>
      <c r="P45" s="168"/>
      <c r="Q45" s="168" t="s">
        <v>32</v>
      </c>
      <c r="R45" s="168"/>
      <c r="S45" s="168"/>
    </row>
    <row r="46" spans="1:19" ht="20.100000000000001" customHeight="1" x14ac:dyDescent="0.25">
      <c r="A46" s="166">
        <v>1</v>
      </c>
      <c r="B46" s="166"/>
      <c r="C46" s="191">
        <f>Q18</f>
        <v>525</v>
      </c>
      <c r="D46" s="191"/>
      <c r="E46" s="191"/>
      <c r="F46" s="14">
        <v>1</v>
      </c>
      <c r="G46" s="14">
        <v>1</v>
      </c>
      <c r="H46" s="14">
        <v>1</v>
      </c>
      <c r="I46" s="14">
        <v>1</v>
      </c>
      <c r="J46" s="14">
        <v>1</v>
      </c>
      <c r="K46" s="191">
        <f>SUM(F46:J46)-COUNT(F46:J46)+1</f>
        <v>1</v>
      </c>
      <c r="L46" s="189"/>
      <c r="M46" s="191">
        <f t="shared" ref="M46:M50" si="3">$K$43</f>
        <v>0.95000000000000018</v>
      </c>
      <c r="N46" s="189"/>
      <c r="O46" s="191">
        <f t="shared" ref="O46:O50" si="4">M46/K46</f>
        <v>0.95000000000000018</v>
      </c>
      <c r="P46" s="189"/>
      <c r="Q46" s="191">
        <f t="shared" ref="Q46:Q50" si="5">C46*O46</f>
        <v>498.75000000000011</v>
      </c>
      <c r="R46" s="191"/>
      <c r="S46" s="191"/>
    </row>
    <row r="47" spans="1:19" ht="20.100000000000001" customHeight="1" x14ac:dyDescent="0.25">
      <c r="A47" s="166">
        <v>2</v>
      </c>
      <c r="B47" s="166"/>
      <c r="C47" s="191">
        <f t="shared" ref="C47:C49" si="6">Q19</f>
        <v>600</v>
      </c>
      <c r="D47" s="191"/>
      <c r="E47" s="191"/>
      <c r="F47" s="14">
        <v>1</v>
      </c>
      <c r="G47" s="14">
        <v>1</v>
      </c>
      <c r="H47" s="14">
        <v>1</v>
      </c>
      <c r="I47" s="14">
        <v>1</v>
      </c>
      <c r="J47" s="14">
        <v>1</v>
      </c>
      <c r="K47" s="191">
        <f t="shared" ref="K47:K50" si="7">SUM(F47:J47)-COUNT(F47:J47)+1</f>
        <v>1</v>
      </c>
      <c r="L47" s="189"/>
      <c r="M47" s="191">
        <f t="shared" si="3"/>
        <v>0.95000000000000018</v>
      </c>
      <c r="N47" s="189"/>
      <c r="O47" s="191">
        <f t="shared" si="4"/>
        <v>0.95000000000000018</v>
      </c>
      <c r="P47" s="189"/>
      <c r="Q47" s="191">
        <f t="shared" si="5"/>
        <v>570.00000000000011</v>
      </c>
      <c r="R47" s="191"/>
      <c r="S47" s="191"/>
    </row>
    <row r="48" spans="1:19" ht="20.100000000000001" customHeight="1" x14ac:dyDescent="0.25">
      <c r="A48" s="166">
        <v>3</v>
      </c>
      <c r="B48" s="166"/>
      <c r="C48" s="191">
        <f t="shared" si="6"/>
        <v>540</v>
      </c>
      <c r="D48" s="191"/>
      <c r="E48" s="191"/>
      <c r="F48" s="14">
        <v>0.95</v>
      </c>
      <c r="G48" s="14">
        <v>1</v>
      </c>
      <c r="H48" s="14">
        <v>1</v>
      </c>
      <c r="I48" s="14">
        <v>1</v>
      </c>
      <c r="J48" s="14">
        <v>1</v>
      </c>
      <c r="K48" s="191">
        <f t="shared" ref="K48:K49" si="8">SUM(F48:J48)-COUNT(F48:J48)+1</f>
        <v>0.95000000000000018</v>
      </c>
      <c r="L48" s="189"/>
      <c r="M48" s="191">
        <f t="shared" si="3"/>
        <v>0.95000000000000018</v>
      </c>
      <c r="N48" s="189"/>
      <c r="O48" s="191">
        <f t="shared" ref="O48:O49" si="9">M48/K48</f>
        <v>1</v>
      </c>
      <c r="P48" s="189"/>
      <c r="Q48" s="191">
        <f t="shared" ref="Q48:Q49" si="10">C48*O48</f>
        <v>540</v>
      </c>
      <c r="R48" s="191"/>
      <c r="S48" s="191"/>
    </row>
    <row r="49" spans="1:19" ht="20.100000000000001" customHeight="1" x14ac:dyDescent="0.25">
      <c r="A49" s="166">
        <v>4</v>
      </c>
      <c r="B49" s="166"/>
      <c r="C49" s="191">
        <f t="shared" si="6"/>
        <v>578.57142857142867</v>
      </c>
      <c r="D49" s="191"/>
      <c r="E49" s="191"/>
      <c r="F49" s="14">
        <v>1</v>
      </c>
      <c r="G49" s="14">
        <v>1</v>
      </c>
      <c r="H49" s="14">
        <v>1</v>
      </c>
      <c r="I49" s="14">
        <v>1</v>
      </c>
      <c r="J49" s="14">
        <v>1</v>
      </c>
      <c r="K49" s="191">
        <f t="shared" si="8"/>
        <v>1</v>
      </c>
      <c r="L49" s="189"/>
      <c r="M49" s="191">
        <f t="shared" si="3"/>
        <v>0.95000000000000018</v>
      </c>
      <c r="N49" s="189"/>
      <c r="O49" s="191">
        <f t="shared" si="9"/>
        <v>0.95000000000000018</v>
      </c>
      <c r="P49" s="189"/>
      <c r="Q49" s="191">
        <f t="shared" si="10"/>
        <v>549.64285714285734</v>
      </c>
      <c r="R49" s="191"/>
      <c r="S49" s="191"/>
    </row>
    <row r="50" spans="1:19" ht="20.100000000000001" customHeight="1" thickBot="1" x14ac:dyDescent="0.3">
      <c r="A50" s="167">
        <v>5</v>
      </c>
      <c r="B50" s="167"/>
      <c r="C50" s="212">
        <f>Q22</f>
        <v>570</v>
      </c>
      <c r="D50" s="212"/>
      <c r="E50" s="212"/>
      <c r="F50" s="15">
        <v>0.9</v>
      </c>
      <c r="G50" s="15">
        <v>1</v>
      </c>
      <c r="H50" s="15">
        <v>1</v>
      </c>
      <c r="I50" s="15">
        <v>1</v>
      </c>
      <c r="J50" s="15">
        <v>1</v>
      </c>
      <c r="K50" s="212">
        <f t="shared" si="7"/>
        <v>0.90000000000000036</v>
      </c>
      <c r="L50" s="217"/>
      <c r="M50" s="212">
        <f t="shared" si="3"/>
        <v>0.95000000000000018</v>
      </c>
      <c r="N50" s="217"/>
      <c r="O50" s="212">
        <f t="shared" si="4"/>
        <v>1.0555555555555554</v>
      </c>
      <c r="P50" s="217"/>
      <c r="Q50" s="212">
        <f t="shared" si="5"/>
        <v>601.66666666666652</v>
      </c>
      <c r="R50" s="212"/>
      <c r="S50" s="212"/>
    </row>
    <row r="52" spans="1:19" ht="20.100000000000001" customHeight="1" x14ac:dyDescent="0.25">
      <c r="F52" s="20"/>
      <c r="G52" s="20"/>
      <c r="H52" s="20"/>
      <c r="I52" s="20"/>
      <c r="J52" s="20"/>
      <c r="M52" s="157" t="s">
        <v>36</v>
      </c>
      <c r="N52" s="157"/>
      <c r="O52" s="157"/>
      <c r="P52" s="157"/>
      <c r="Q52" s="200">
        <f>AVERAGE(Q46:S50)</f>
        <v>552.01190476190482</v>
      </c>
      <c r="R52" s="200"/>
      <c r="S52" s="200"/>
    </row>
    <row r="53" spans="1:19" ht="20.100000000000001" customHeight="1" x14ac:dyDescent="0.25">
      <c r="F53" s="16"/>
      <c r="M53" s="170" t="s">
        <v>37</v>
      </c>
      <c r="N53" s="170"/>
      <c r="O53" s="170"/>
      <c r="P53" s="170"/>
      <c r="Q53" s="200">
        <f>STDEVA(Q46:S50)</f>
        <v>37.999656878746791</v>
      </c>
      <c r="R53" s="200"/>
      <c r="S53" s="200"/>
    </row>
    <row r="54" spans="1:19" ht="20.100000000000001" customHeight="1" x14ac:dyDescent="0.25">
      <c r="I54" s="21"/>
      <c r="M54" s="189" t="s">
        <v>35</v>
      </c>
      <c r="N54" s="189"/>
      <c r="O54" s="189"/>
      <c r="P54" s="189"/>
      <c r="Q54" s="219">
        <f>Q53/Q52</f>
        <v>6.8838473502010611E-2</v>
      </c>
      <c r="R54" s="219"/>
      <c r="S54" s="219"/>
    </row>
    <row r="55" spans="1:19" ht="20.100000000000001" customHeight="1" x14ac:dyDescent="0.25">
      <c r="J55" s="22"/>
    </row>
    <row r="56" spans="1:19" ht="20.100000000000001" customHeight="1" x14ac:dyDescent="0.25">
      <c r="J56" s="22"/>
    </row>
    <row r="57" spans="1:19" ht="20.100000000000001" customHeight="1" x14ac:dyDescent="0.25">
      <c r="A57" s="170" t="s">
        <v>95</v>
      </c>
      <c r="B57" s="170"/>
      <c r="C57" s="170"/>
      <c r="D57" s="170"/>
      <c r="E57" s="170"/>
      <c r="F57" s="170"/>
      <c r="G57" s="170"/>
      <c r="H57" s="170"/>
      <c r="I57" s="170"/>
      <c r="J57" s="170"/>
      <c r="K57" s="170"/>
      <c r="L57" s="170"/>
      <c r="M57" s="170"/>
      <c r="N57" s="170"/>
      <c r="O57" s="170"/>
      <c r="P57" s="170"/>
      <c r="Q57" s="170"/>
      <c r="R57" s="170"/>
      <c r="S57" s="170"/>
    </row>
    <row r="58" spans="1:19" ht="20.100000000000001" customHeight="1" x14ac:dyDescent="0.25">
      <c r="J58" s="22"/>
    </row>
    <row r="59" spans="1:19" ht="20.100000000000001" customHeight="1" x14ac:dyDescent="0.25">
      <c r="J59" s="22"/>
    </row>
    <row r="60" spans="1:19" ht="20.100000000000001" customHeight="1" x14ac:dyDescent="0.25">
      <c r="J60" s="22"/>
    </row>
    <row r="61" spans="1:19" ht="20.100000000000001" customHeight="1" x14ac:dyDescent="0.25">
      <c r="J61" s="22"/>
    </row>
    <row r="62" spans="1:19" ht="20.100000000000001" customHeight="1" x14ac:dyDescent="0.25">
      <c r="J62" s="22"/>
    </row>
    <row r="63" spans="1:19" ht="20.100000000000001" customHeight="1" x14ac:dyDescent="0.25">
      <c r="J63" s="22"/>
    </row>
    <row r="64" spans="1:19" ht="20.100000000000001" customHeight="1" x14ac:dyDescent="0.25">
      <c r="J64" s="22"/>
    </row>
    <row r="65" spans="10:10" ht="20.100000000000001" customHeight="1" x14ac:dyDescent="0.25">
      <c r="J65" s="22"/>
    </row>
    <row r="66" spans="10:10" ht="20.100000000000001" customHeight="1" x14ac:dyDescent="0.25">
      <c r="J66" s="22"/>
    </row>
    <row r="67" spans="10:10" ht="20.100000000000001" customHeight="1" x14ac:dyDescent="0.25">
      <c r="J67" s="22"/>
    </row>
    <row r="68" spans="10:10" ht="20.100000000000001" customHeight="1" x14ac:dyDescent="0.25">
      <c r="J68" s="22"/>
    </row>
    <row r="69" spans="10:10" ht="20.100000000000001" customHeight="1" x14ac:dyDescent="0.25">
      <c r="J69" s="22"/>
    </row>
    <row r="70" spans="10:10" ht="20.100000000000001" customHeight="1" x14ac:dyDescent="0.25">
      <c r="J70" s="22"/>
    </row>
    <row r="71" spans="10:10" ht="20.100000000000001" customHeight="1" x14ac:dyDescent="0.25">
      <c r="J71" s="22"/>
    </row>
    <row r="72" spans="10:10" ht="20.100000000000001" customHeight="1" x14ac:dyDescent="0.25">
      <c r="J72" s="22"/>
    </row>
    <row r="73" spans="10:10" ht="20.100000000000001" customHeight="1" x14ac:dyDescent="0.25">
      <c r="J73" s="22"/>
    </row>
    <row r="74" spans="10:10" ht="20.100000000000001" customHeight="1" x14ac:dyDescent="0.25">
      <c r="J74" s="22"/>
    </row>
    <row r="75" spans="10:10" ht="20.100000000000001" customHeight="1" x14ac:dyDescent="0.25">
      <c r="J75" s="22"/>
    </row>
    <row r="76" spans="10:10" ht="20.100000000000001" customHeight="1" x14ac:dyDescent="0.25">
      <c r="J76" s="22"/>
    </row>
    <row r="77" spans="10:10" ht="20.100000000000001" customHeight="1" x14ac:dyDescent="0.25">
      <c r="J77" s="22"/>
    </row>
    <row r="78" spans="10:10" ht="20.100000000000001" customHeight="1" x14ac:dyDescent="0.25">
      <c r="J78" s="22"/>
    </row>
    <row r="79" spans="10:10" ht="20.100000000000001" customHeight="1" x14ac:dyDescent="0.25">
      <c r="J79" s="22"/>
    </row>
    <row r="80" spans="10:10" ht="20.100000000000001" customHeight="1" x14ac:dyDescent="0.25">
      <c r="J80" s="22"/>
    </row>
    <row r="81" spans="1:19" ht="20.100000000000001" customHeight="1" x14ac:dyDescent="0.25">
      <c r="J81" s="22"/>
    </row>
    <row r="82" spans="1:19" ht="20.100000000000001" customHeight="1" x14ac:dyDescent="0.25">
      <c r="J82" s="22"/>
    </row>
    <row r="83" spans="1:19" ht="20.100000000000001" customHeight="1" x14ac:dyDescent="0.25">
      <c r="J83" s="22"/>
    </row>
    <row r="84" spans="1:19" ht="20.100000000000001" customHeight="1" x14ac:dyDescent="0.25">
      <c r="J84" s="22"/>
    </row>
    <row r="85" spans="1:19" ht="20.100000000000001" customHeight="1" x14ac:dyDescent="0.25">
      <c r="J85" s="22"/>
    </row>
    <row r="86" spans="1:19" ht="20.100000000000001" customHeight="1" x14ac:dyDescent="0.25">
      <c r="J86" s="22"/>
    </row>
    <row r="87" spans="1:19" ht="20.100000000000001" customHeight="1" x14ac:dyDescent="0.25">
      <c r="J87" s="22"/>
    </row>
    <row r="88" spans="1:19" ht="20.100000000000001" customHeight="1" x14ac:dyDescent="0.25">
      <c r="J88" s="22"/>
    </row>
    <row r="89" spans="1:19" ht="20.100000000000001" customHeight="1" x14ac:dyDescent="0.25">
      <c r="J89" s="22"/>
    </row>
    <row r="90" spans="1:19" ht="20.100000000000001" customHeight="1" x14ac:dyDescent="0.25">
      <c r="J90" s="22"/>
    </row>
    <row r="91" spans="1:19" ht="20.100000000000001" customHeight="1" x14ac:dyDescent="0.25">
      <c r="A91" s="170" t="s">
        <v>94</v>
      </c>
      <c r="B91" s="170"/>
      <c r="C91" s="170"/>
      <c r="D91" s="170"/>
      <c r="E91" s="170"/>
      <c r="F91" s="170"/>
      <c r="G91" s="170"/>
      <c r="H91" s="170"/>
      <c r="I91" s="170"/>
      <c r="J91" s="170"/>
      <c r="K91" s="170"/>
      <c r="L91" s="170"/>
      <c r="M91" s="170"/>
      <c r="N91" s="170"/>
      <c r="O91" s="170"/>
      <c r="P91" s="170"/>
      <c r="Q91" s="170"/>
      <c r="R91" s="170"/>
      <c r="S91" s="170"/>
    </row>
    <row r="92" spans="1:19" ht="20.100000000000001" customHeight="1" x14ac:dyDescent="0.25">
      <c r="J92" s="22"/>
    </row>
    <row r="93" spans="1:19" ht="20.100000000000001" customHeight="1" x14ac:dyDescent="0.25">
      <c r="J93" s="22"/>
    </row>
    <row r="94" spans="1:19" ht="20.100000000000001" customHeight="1" x14ac:dyDescent="0.25">
      <c r="J94" s="22"/>
    </row>
    <row r="95" spans="1:19" ht="20.100000000000001" customHeight="1" x14ac:dyDescent="0.25">
      <c r="J95" s="22"/>
    </row>
    <row r="96" spans="1:19" ht="20.100000000000001" customHeight="1" x14ac:dyDescent="0.25">
      <c r="J96" s="22"/>
    </row>
    <row r="97" spans="1:19" ht="20.100000000000001" customHeight="1" x14ac:dyDescent="0.25">
      <c r="J97" s="22"/>
    </row>
    <row r="98" spans="1:19" ht="20.100000000000001" customHeight="1" x14ac:dyDescent="0.25">
      <c r="J98" s="22"/>
    </row>
    <row r="99" spans="1:19" ht="20.100000000000001" customHeight="1" x14ac:dyDescent="0.25">
      <c r="J99" s="22"/>
    </row>
    <row r="100" spans="1:19" ht="20.100000000000001" customHeight="1" x14ac:dyDescent="0.25">
      <c r="J100" s="22"/>
    </row>
    <row r="101" spans="1:19" ht="20.100000000000001" customHeight="1" x14ac:dyDescent="0.25">
      <c r="J101" s="22"/>
    </row>
    <row r="102" spans="1:19" ht="20.100000000000001" customHeight="1" x14ac:dyDescent="0.25">
      <c r="J102" s="22"/>
    </row>
    <row r="103" spans="1:19" ht="20.100000000000001" customHeight="1" x14ac:dyDescent="0.25">
      <c r="J103" s="22"/>
    </row>
    <row r="104" spans="1:19" ht="20.100000000000001" customHeight="1" x14ac:dyDescent="0.25">
      <c r="J104" s="22"/>
    </row>
    <row r="105" spans="1:19" ht="20.100000000000001" customHeight="1" x14ac:dyDescent="0.25">
      <c r="J105" s="22"/>
    </row>
    <row r="106" spans="1:19" ht="20.100000000000001" customHeight="1" x14ac:dyDescent="0.25">
      <c r="J106" s="22"/>
    </row>
    <row r="107" spans="1:19" ht="20.100000000000001" customHeight="1" x14ac:dyDescent="0.25">
      <c r="J107" s="22"/>
    </row>
    <row r="108" spans="1:19" ht="20.100000000000001" customHeight="1" x14ac:dyDescent="0.25">
      <c r="J108" s="22"/>
    </row>
    <row r="109" spans="1:19" ht="20.100000000000001" customHeight="1" x14ac:dyDescent="0.25">
      <c r="A109" s="170" t="s">
        <v>93</v>
      </c>
      <c r="B109" s="170"/>
      <c r="C109" s="170"/>
      <c r="D109" s="170"/>
      <c r="E109" s="170"/>
      <c r="F109" s="170"/>
      <c r="G109" s="170"/>
      <c r="H109" s="170"/>
      <c r="I109" s="170"/>
      <c r="J109" s="170"/>
      <c r="K109" s="170"/>
      <c r="L109" s="170"/>
      <c r="M109" s="170"/>
      <c r="N109" s="170"/>
      <c r="O109" s="170"/>
      <c r="P109" s="170"/>
      <c r="Q109" s="170"/>
      <c r="R109" s="170"/>
      <c r="S109" s="170"/>
    </row>
    <row r="110" spans="1:19" ht="20.100000000000001" customHeight="1" x14ac:dyDescent="0.25">
      <c r="J110" s="22"/>
    </row>
    <row r="111" spans="1:19" ht="20.100000000000001" customHeight="1" x14ac:dyDescent="0.25">
      <c r="J111" s="22"/>
    </row>
    <row r="112" spans="1:19" ht="20.100000000000001" customHeight="1" x14ac:dyDescent="0.25">
      <c r="J112" s="22"/>
    </row>
    <row r="113" spans="1:19" ht="20.100000000000001" customHeight="1" x14ac:dyDescent="0.25">
      <c r="J113" s="22"/>
    </row>
    <row r="114" spans="1:19" ht="20.100000000000001" customHeight="1" x14ac:dyDescent="0.25">
      <c r="J114" s="22"/>
    </row>
    <row r="115" spans="1:19" ht="20.100000000000001" customHeight="1" x14ac:dyDescent="0.25">
      <c r="J115" s="22"/>
    </row>
    <row r="116" spans="1:19" ht="20.100000000000001" customHeight="1" x14ac:dyDescent="0.25">
      <c r="J116" s="22"/>
    </row>
    <row r="117" spans="1:19" ht="20.100000000000001" customHeight="1" x14ac:dyDescent="0.25">
      <c r="J117" s="22"/>
    </row>
    <row r="118" spans="1:19" ht="20.100000000000001" customHeight="1" x14ac:dyDescent="0.25">
      <c r="J118" s="22"/>
    </row>
    <row r="119" spans="1:19" ht="20.100000000000001" customHeight="1" x14ac:dyDescent="0.25">
      <c r="J119" s="22"/>
    </row>
    <row r="120" spans="1:19" ht="20.100000000000001" customHeight="1" x14ac:dyDescent="0.25">
      <c r="J120" s="22"/>
    </row>
    <row r="121" spans="1:19" ht="20.100000000000001" customHeight="1" x14ac:dyDescent="0.25">
      <c r="J121" s="22"/>
    </row>
    <row r="122" spans="1:19" ht="20.100000000000001" customHeight="1" x14ac:dyDescent="0.25">
      <c r="J122" s="22"/>
    </row>
    <row r="123" spans="1:19" ht="20.100000000000001" customHeight="1" x14ac:dyDescent="0.25">
      <c r="J123" s="22"/>
    </row>
    <row r="124" spans="1:19" ht="20.100000000000001" customHeight="1" x14ac:dyDescent="0.25">
      <c r="J124" s="22"/>
    </row>
    <row r="125" spans="1:19" ht="20.100000000000001" customHeight="1" x14ac:dyDescent="0.25">
      <c r="J125" s="22"/>
    </row>
    <row r="128" spans="1:19" ht="20.100000000000001" customHeight="1" x14ac:dyDescent="0.25">
      <c r="A128" s="177" t="s">
        <v>38</v>
      </c>
      <c r="B128" s="177"/>
      <c r="C128" s="177"/>
      <c r="D128" s="177"/>
      <c r="E128" s="177"/>
      <c r="F128" s="177"/>
      <c r="G128" s="177"/>
      <c r="H128" s="177"/>
      <c r="I128" s="177"/>
      <c r="J128" s="177"/>
      <c r="K128" s="177"/>
      <c r="L128" s="177"/>
      <c r="M128" s="177"/>
      <c r="N128" s="177"/>
      <c r="O128" s="177"/>
      <c r="P128" s="177"/>
      <c r="Q128" s="177"/>
      <c r="R128" s="177"/>
      <c r="S128" s="177"/>
    </row>
    <row r="130" spans="1:19" ht="39.950000000000003" customHeight="1" x14ac:dyDescent="0.25">
      <c r="A130" s="168" t="s">
        <v>40</v>
      </c>
      <c r="B130" s="168"/>
      <c r="C130" s="168"/>
      <c r="D130" s="168"/>
      <c r="E130" s="168"/>
      <c r="F130" s="168"/>
      <c r="G130" s="168"/>
      <c r="H130" s="168"/>
      <c r="I130" s="168"/>
      <c r="J130" s="23" t="s">
        <v>86</v>
      </c>
      <c r="K130" s="168" t="s">
        <v>39</v>
      </c>
      <c r="L130" s="168"/>
      <c r="M130" s="168"/>
      <c r="N130" s="168" t="s">
        <v>33</v>
      </c>
      <c r="O130" s="168"/>
      <c r="P130" s="168"/>
      <c r="Q130" s="168" t="s">
        <v>41</v>
      </c>
      <c r="R130" s="168"/>
      <c r="S130" s="168"/>
    </row>
    <row r="131" spans="1:19" ht="20.100000000000001" customHeight="1" x14ac:dyDescent="0.25">
      <c r="A131" s="170" t="s">
        <v>496</v>
      </c>
      <c r="B131" s="170"/>
      <c r="C131" s="170"/>
      <c r="D131" s="170"/>
      <c r="E131" s="170"/>
      <c r="F131" s="170"/>
      <c r="G131" s="170"/>
      <c r="H131" s="170"/>
      <c r="I131" s="170"/>
      <c r="J131" s="11" t="s">
        <v>414</v>
      </c>
      <c r="K131" s="198">
        <v>0.15</v>
      </c>
      <c r="L131" s="198"/>
      <c r="M131" s="198"/>
      <c r="N131" s="198">
        <f>K131</f>
        <v>0.15</v>
      </c>
      <c r="O131" s="198"/>
      <c r="P131" s="198"/>
      <c r="Q131" s="198">
        <f>(K131-N131)</f>
        <v>0</v>
      </c>
      <c r="R131" s="198"/>
      <c r="S131" s="198"/>
    </row>
    <row r="132" spans="1:19" ht="20.100000000000001" customHeight="1" x14ac:dyDescent="0.25">
      <c r="A132" s="189" t="s">
        <v>497</v>
      </c>
      <c r="B132" s="189"/>
      <c r="C132" s="189"/>
      <c r="D132" s="189"/>
      <c r="E132" s="189"/>
      <c r="F132" s="189"/>
      <c r="G132" s="189"/>
      <c r="H132" s="189"/>
      <c r="I132" s="189"/>
      <c r="J132" s="13" t="s">
        <v>415</v>
      </c>
      <c r="K132" s="199">
        <v>0.1</v>
      </c>
      <c r="L132" s="199"/>
      <c r="M132" s="199"/>
      <c r="N132" s="199">
        <f t="shared" ref="N132:N137" si="11">K132</f>
        <v>0.1</v>
      </c>
      <c r="O132" s="199"/>
      <c r="P132" s="199"/>
      <c r="Q132" s="199">
        <f t="shared" ref="Q132:Q137" si="12">(K132-N132)</f>
        <v>0</v>
      </c>
      <c r="R132" s="199"/>
      <c r="S132" s="199"/>
    </row>
    <row r="133" spans="1:19" ht="20.100000000000001" customHeight="1" x14ac:dyDescent="0.25">
      <c r="A133" s="189" t="s">
        <v>498</v>
      </c>
      <c r="B133" s="189"/>
      <c r="C133" s="189"/>
      <c r="D133" s="189"/>
      <c r="E133" s="189"/>
      <c r="F133" s="189"/>
      <c r="G133" s="189"/>
      <c r="H133" s="189"/>
      <c r="I133" s="189"/>
      <c r="J133" s="13" t="s">
        <v>416</v>
      </c>
      <c r="K133" s="199">
        <v>0.05</v>
      </c>
      <c r="L133" s="199"/>
      <c r="M133" s="199"/>
      <c r="N133" s="199">
        <f t="shared" si="11"/>
        <v>0.05</v>
      </c>
      <c r="O133" s="199"/>
      <c r="P133" s="199"/>
      <c r="Q133" s="199">
        <f t="shared" si="12"/>
        <v>0</v>
      </c>
      <c r="R133" s="199"/>
      <c r="S133" s="199"/>
    </row>
    <row r="134" spans="1:19" ht="20.100000000000001" customHeight="1" x14ac:dyDescent="0.25">
      <c r="A134" s="189" t="s">
        <v>499</v>
      </c>
      <c r="B134" s="189"/>
      <c r="C134" s="189"/>
      <c r="D134" s="189"/>
      <c r="E134" s="189"/>
      <c r="F134" s="189"/>
      <c r="G134" s="189"/>
      <c r="H134" s="189"/>
      <c r="I134" s="189"/>
      <c r="J134" s="13" t="s">
        <v>417</v>
      </c>
      <c r="K134" s="199">
        <v>0.15</v>
      </c>
      <c r="L134" s="199"/>
      <c r="M134" s="199"/>
      <c r="N134" s="199">
        <f t="shared" si="11"/>
        <v>0.15</v>
      </c>
      <c r="O134" s="199"/>
      <c r="P134" s="199"/>
      <c r="Q134" s="199">
        <f t="shared" si="12"/>
        <v>0</v>
      </c>
      <c r="R134" s="199"/>
      <c r="S134" s="199"/>
    </row>
    <row r="135" spans="1:19" ht="20.100000000000001" customHeight="1" x14ac:dyDescent="0.25">
      <c r="A135" s="189" t="s">
        <v>500</v>
      </c>
      <c r="B135" s="189"/>
      <c r="C135" s="189"/>
      <c r="D135" s="189"/>
      <c r="E135" s="189"/>
      <c r="F135" s="189"/>
      <c r="G135" s="189"/>
      <c r="H135" s="189"/>
      <c r="I135" s="189"/>
      <c r="J135" s="13" t="s">
        <v>418</v>
      </c>
      <c r="K135" s="199">
        <v>0.1</v>
      </c>
      <c r="L135" s="199"/>
      <c r="M135" s="199"/>
      <c r="N135" s="199">
        <f t="shared" si="11"/>
        <v>0.1</v>
      </c>
      <c r="O135" s="199"/>
      <c r="P135" s="199"/>
      <c r="Q135" s="199">
        <f t="shared" si="12"/>
        <v>0</v>
      </c>
      <c r="R135" s="199"/>
      <c r="S135" s="199"/>
    </row>
    <row r="136" spans="1:19" ht="20.100000000000001" customHeight="1" x14ac:dyDescent="0.25">
      <c r="A136" s="189" t="s">
        <v>1</v>
      </c>
      <c r="B136" s="189"/>
      <c r="C136" s="189"/>
      <c r="D136" s="189"/>
      <c r="E136" s="189"/>
      <c r="F136" s="189"/>
      <c r="G136" s="189"/>
      <c r="H136" s="189"/>
      <c r="I136" s="189"/>
      <c r="J136" s="13" t="s">
        <v>419</v>
      </c>
      <c r="K136" s="199">
        <v>0.3</v>
      </c>
      <c r="L136" s="199"/>
      <c r="M136" s="199"/>
      <c r="N136" s="199">
        <f t="shared" si="11"/>
        <v>0.3</v>
      </c>
      <c r="O136" s="199"/>
      <c r="P136" s="199"/>
      <c r="Q136" s="199">
        <f t="shared" si="12"/>
        <v>0</v>
      </c>
      <c r="R136" s="199"/>
      <c r="S136" s="199"/>
    </row>
    <row r="137" spans="1:19" ht="20.100000000000001" customHeight="1" x14ac:dyDescent="0.25">
      <c r="A137" s="189" t="s">
        <v>501</v>
      </c>
      <c r="B137" s="189"/>
      <c r="C137" s="189"/>
      <c r="D137" s="189"/>
      <c r="E137" s="189"/>
      <c r="F137" s="189"/>
      <c r="G137" s="189"/>
      <c r="H137" s="189"/>
      <c r="I137" s="189"/>
      <c r="J137" s="13" t="s">
        <v>420</v>
      </c>
      <c r="K137" s="199">
        <v>0.05</v>
      </c>
      <c r="L137" s="199"/>
      <c r="M137" s="199"/>
      <c r="N137" s="199">
        <f t="shared" si="11"/>
        <v>0.05</v>
      </c>
      <c r="O137" s="199"/>
      <c r="P137" s="199"/>
      <c r="Q137" s="199">
        <f t="shared" si="12"/>
        <v>0</v>
      </c>
      <c r="R137" s="199"/>
      <c r="S137" s="199"/>
    </row>
    <row r="139" spans="1:19" ht="20.100000000000001" customHeight="1" x14ac:dyDescent="0.25">
      <c r="A139" s="157" t="s">
        <v>256</v>
      </c>
      <c r="B139" s="157"/>
      <c r="C139" s="157"/>
      <c r="D139" s="157"/>
      <c r="E139" s="157"/>
      <c r="F139" s="157"/>
      <c r="G139" s="157"/>
      <c r="H139" s="157"/>
      <c r="I139" s="157"/>
      <c r="J139" s="157"/>
      <c r="K139" s="197">
        <f>1+(SUM(K131:M137))</f>
        <v>1.9</v>
      </c>
      <c r="L139" s="197"/>
      <c r="M139" s="197"/>
      <c r="N139" s="197">
        <f>1+(SUM(N131:P137))</f>
        <v>1.9</v>
      </c>
      <c r="O139" s="197"/>
      <c r="P139" s="197"/>
    </row>
    <row r="140" spans="1:19" ht="20.100000000000001" customHeight="1" x14ac:dyDescent="0.25">
      <c r="A140" s="165" t="s">
        <v>421</v>
      </c>
      <c r="B140" s="165"/>
      <c r="C140" s="165"/>
      <c r="D140" s="165"/>
      <c r="E140" s="165"/>
      <c r="F140" s="165"/>
      <c r="G140" s="165"/>
      <c r="H140" s="165"/>
      <c r="I140" s="165"/>
      <c r="J140" s="165"/>
      <c r="K140" s="165"/>
      <c r="L140" s="165"/>
      <c r="M140" s="165"/>
      <c r="N140" s="165"/>
      <c r="O140" s="165"/>
      <c r="P140" s="165"/>
    </row>
    <row r="141" spans="1:19" ht="20.100000000000001" customHeight="1" x14ac:dyDescent="0.25">
      <c r="A141" s="218"/>
      <c r="B141" s="218"/>
      <c r="C141" s="218"/>
      <c r="D141" s="218"/>
      <c r="E141" s="218"/>
      <c r="F141" s="218"/>
      <c r="G141" s="218"/>
      <c r="H141" s="218"/>
      <c r="I141" s="218"/>
      <c r="J141" s="218"/>
      <c r="K141" s="218"/>
      <c r="L141" s="218"/>
      <c r="M141" s="218"/>
      <c r="N141" s="218"/>
      <c r="O141" s="218"/>
      <c r="P141" s="218"/>
      <c r="Q141" s="197">
        <f>SUM(Q131:S137)</f>
        <v>0</v>
      </c>
      <c r="R141" s="197"/>
      <c r="S141" s="197"/>
    </row>
    <row r="143" spans="1:19" ht="20.100000000000001" customHeight="1" x14ac:dyDescent="0.25">
      <c r="A143" s="204" t="s">
        <v>502</v>
      </c>
      <c r="B143" s="204"/>
      <c r="C143" s="204"/>
      <c r="D143" s="204"/>
      <c r="E143" s="204"/>
      <c r="F143" s="204" t="s">
        <v>34</v>
      </c>
      <c r="G143" s="204"/>
      <c r="H143" s="204"/>
      <c r="I143" s="204"/>
      <c r="J143" s="204"/>
      <c r="K143" s="204"/>
      <c r="L143" s="204"/>
      <c r="M143" s="204"/>
      <c r="N143" s="204"/>
      <c r="O143" s="204"/>
      <c r="P143" s="204"/>
      <c r="Q143" s="204" t="s">
        <v>15</v>
      </c>
      <c r="R143" s="204"/>
      <c r="S143" s="204"/>
    </row>
    <row r="144" spans="1:19" ht="20.100000000000001" customHeight="1" x14ac:dyDescent="0.25">
      <c r="A144" s="204"/>
      <c r="B144" s="204"/>
      <c r="C144" s="204"/>
      <c r="D144" s="204"/>
      <c r="E144" s="204"/>
      <c r="F144" s="23"/>
      <c r="G144" s="23"/>
      <c r="H144" s="23"/>
      <c r="I144" s="23"/>
      <c r="J144" s="23" t="s">
        <v>414</v>
      </c>
      <c r="K144" s="23" t="s">
        <v>415</v>
      </c>
      <c r="L144" s="23" t="s">
        <v>416</v>
      </c>
      <c r="M144" s="23" t="s">
        <v>417</v>
      </c>
      <c r="N144" s="23" t="s">
        <v>418</v>
      </c>
      <c r="O144" s="23" t="s">
        <v>419</v>
      </c>
      <c r="P144" s="23" t="s">
        <v>420</v>
      </c>
      <c r="Q144" s="238"/>
      <c r="R144" s="238"/>
      <c r="S144" s="238"/>
    </row>
    <row r="145" spans="1:19" ht="20.100000000000001" customHeight="1" thickBot="1" x14ac:dyDescent="0.3">
      <c r="A145" s="239"/>
      <c r="B145" s="239"/>
      <c r="C145" s="239"/>
      <c r="D145" s="239"/>
      <c r="E145" s="239"/>
      <c r="F145" s="29"/>
      <c r="G145" s="29"/>
      <c r="H145" s="29"/>
      <c r="I145" s="29"/>
      <c r="J145" s="29">
        <f>$N$131</f>
        <v>0.15</v>
      </c>
      <c r="K145" s="29">
        <f>$N$132</f>
        <v>0.1</v>
      </c>
      <c r="L145" s="29">
        <f>$N$133</f>
        <v>0.05</v>
      </c>
      <c r="M145" s="29">
        <f>$N$134</f>
        <v>0.15</v>
      </c>
      <c r="N145" s="29">
        <f>$N$135</f>
        <v>0.1</v>
      </c>
      <c r="O145" s="29">
        <f>$N$136</f>
        <v>0.3</v>
      </c>
      <c r="P145" s="29">
        <f>$N$137</f>
        <v>0.05</v>
      </c>
      <c r="Q145" s="237">
        <f>1+(SUM(J145:P145))</f>
        <v>1.9</v>
      </c>
      <c r="R145" s="237"/>
      <c r="S145" s="237"/>
    </row>
    <row r="147" spans="1:19" ht="20.100000000000001" customHeight="1" x14ac:dyDescent="0.25">
      <c r="A147" s="170" t="s">
        <v>252</v>
      </c>
      <c r="B147" s="170"/>
      <c r="C147" s="170"/>
      <c r="D147" s="170"/>
      <c r="E147" s="170"/>
      <c r="F147" s="170"/>
      <c r="G147" s="170"/>
      <c r="H147" s="170"/>
      <c r="I147" s="170"/>
      <c r="J147" s="170"/>
      <c r="K147" s="170"/>
      <c r="L147" s="170"/>
      <c r="M147" s="170"/>
      <c r="N147" s="170"/>
      <c r="O147" s="170"/>
      <c r="P147" s="170"/>
      <c r="Q147" s="170"/>
      <c r="R147" s="170"/>
      <c r="S147" s="170"/>
    </row>
    <row r="148" spans="1:19" ht="20.100000000000001" customHeight="1" x14ac:dyDescent="0.25">
      <c r="A148" s="170"/>
      <c r="B148" s="170"/>
      <c r="C148" s="170"/>
      <c r="D148" s="170"/>
      <c r="E148" s="170"/>
      <c r="F148" s="170"/>
      <c r="G148" s="170"/>
      <c r="H148" s="170"/>
      <c r="I148" s="170"/>
      <c r="J148" s="170"/>
      <c r="K148" s="170"/>
      <c r="L148" s="170"/>
      <c r="M148" s="170"/>
      <c r="N148" s="170"/>
      <c r="O148" s="170"/>
      <c r="P148" s="170"/>
      <c r="Q148" s="170"/>
      <c r="R148" s="170"/>
      <c r="S148" s="170"/>
    </row>
    <row r="149" spans="1:19" ht="20.100000000000001" customHeight="1" x14ac:dyDescent="0.25">
      <c r="A149" s="170"/>
      <c r="B149" s="170"/>
      <c r="C149" s="170"/>
      <c r="D149" s="170"/>
      <c r="E149" s="170"/>
      <c r="F149" s="170"/>
      <c r="G149" s="170"/>
      <c r="H149" s="170"/>
      <c r="I149" s="170"/>
      <c r="J149" s="170"/>
      <c r="K149" s="170"/>
      <c r="L149" s="170"/>
      <c r="M149" s="170"/>
      <c r="N149" s="170"/>
      <c r="O149" s="170"/>
      <c r="P149" s="170"/>
      <c r="Q149" s="170"/>
      <c r="R149" s="170"/>
      <c r="S149" s="170"/>
    </row>
    <row r="151" spans="1:19" ht="39.950000000000003" customHeight="1" x14ac:dyDescent="0.25">
      <c r="A151" s="168" t="s">
        <v>17</v>
      </c>
      <c r="B151" s="168"/>
      <c r="C151" s="168" t="str">
        <f t="shared" ref="C151:C156" si="13">Q45</f>
        <v>Valor unitário homogeneizado</v>
      </c>
      <c r="D151" s="168"/>
      <c r="E151" s="168"/>
      <c r="F151" s="12"/>
      <c r="G151" s="12"/>
      <c r="H151" s="12"/>
      <c r="I151" s="12"/>
      <c r="J151" s="12" t="s">
        <v>414</v>
      </c>
      <c r="K151" s="12" t="s">
        <v>415</v>
      </c>
      <c r="L151" s="12" t="s">
        <v>416</v>
      </c>
      <c r="M151" s="12" t="s">
        <v>417</v>
      </c>
      <c r="N151" s="12" t="s">
        <v>418</v>
      </c>
      <c r="O151" s="12" t="s">
        <v>419</v>
      </c>
      <c r="P151" s="12" t="s">
        <v>420</v>
      </c>
      <c r="Q151" s="168" t="s">
        <v>15</v>
      </c>
      <c r="R151" s="168"/>
      <c r="S151" s="168"/>
    </row>
    <row r="152" spans="1:19" ht="20.100000000000001" customHeight="1" x14ac:dyDescent="0.25">
      <c r="A152" s="166">
        <v>1</v>
      </c>
      <c r="B152" s="166"/>
      <c r="C152" s="191">
        <f t="shared" si="13"/>
        <v>498.75000000000011</v>
      </c>
      <c r="D152" s="191"/>
      <c r="E152" s="191"/>
      <c r="F152" s="24"/>
      <c r="G152" s="24"/>
      <c r="H152" s="24"/>
      <c r="I152" s="24"/>
      <c r="J152" s="24">
        <f>$K$131</f>
        <v>0.15</v>
      </c>
      <c r="K152" s="24">
        <f>$K$132</f>
        <v>0.1</v>
      </c>
      <c r="L152" s="24">
        <f>$K$133</f>
        <v>0.05</v>
      </c>
      <c r="M152" s="24">
        <f>$K$134</f>
        <v>0.15</v>
      </c>
      <c r="N152" s="24">
        <f>$K$135</f>
        <v>0.1</v>
      </c>
      <c r="O152" s="24">
        <f>$K$136</f>
        <v>0.3</v>
      </c>
      <c r="P152" s="24">
        <f>$K$137</f>
        <v>0.05</v>
      </c>
      <c r="Q152" s="214">
        <f>1+(SUM(J152:P152))</f>
        <v>1.9</v>
      </c>
      <c r="R152" s="214"/>
      <c r="S152" s="214"/>
    </row>
    <row r="153" spans="1:19" ht="20.100000000000001" customHeight="1" x14ac:dyDescent="0.25">
      <c r="A153" s="166">
        <v>2</v>
      </c>
      <c r="B153" s="166"/>
      <c r="C153" s="191">
        <f t="shared" si="13"/>
        <v>570.00000000000011</v>
      </c>
      <c r="D153" s="191"/>
      <c r="E153" s="191"/>
      <c r="F153" s="24"/>
      <c r="G153" s="24"/>
      <c r="H153" s="24"/>
      <c r="I153" s="24"/>
      <c r="J153" s="24">
        <f t="shared" ref="J153:J156" si="14">$K$131</f>
        <v>0.15</v>
      </c>
      <c r="K153" s="24">
        <f t="shared" ref="K153:K156" si="15">$K$132</f>
        <v>0.1</v>
      </c>
      <c r="L153" s="24">
        <f t="shared" ref="L153:L156" si="16">$K$133</f>
        <v>0.05</v>
      </c>
      <c r="M153" s="24">
        <f t="shared" ref="M153:M156" si="17">$K$134</f>
        <v>0.15</v>
      </c>
      <c r="N153" s="24">
        <f t="shared" ref="N153:N156" si="18">$K$135</f>
        <v>0.1</v>
      </c>
      <c r="O153" s="24">
        <f t="shared" ref="O153:O156" si="19">$K$136</f>
        <v>0.3</v>
      </c>
      <c r="P153" s="24">
        <f t="shared" ref="P153:P156" si="20">$K$137</f>
        <v>0.05</v>
      </c>
      <c r="Q153" s="214">
        <f>1+(SUM(J153:P153))</f>
        <v>1.9</v>
      </c>
      <c r="R153" s="214"/>
      <c r="S153" s="214"/>
    </row>
    <row r="154" spans="1:19" ht="20.100000000000001" customHeight="1" x14ac:dyDescent="0.25">
      <c r="A154" s="166">
        <v>3</v>
      </c>
      <c r="B154" s="166"/>
      <c r="C154" s="191">
        <f t="shared" si="13"/>
        <v>540</v>
      </c>
      <c r="D154" s="191"/>
      <c r="E154" s="191"/>
      <c r="F154" s="24"/>
      <c r="G154" s="24"/>
      <c r="H154" s="24"/>
      <c r="I154" s="24"/>
      <c r="J154" s="24">
        <f t="shared" si="14"/>
        <v>0.15</v>
      </c>
      <c r="K154" s="24">
        <f t="shared" si="15"/>
        <v>0.1</v>
      </c>
      <c r="L154" s="24">
        <f t="shared" si="16"/>
        <v>0.05</v>
      </c>
      <c r="M154" s="24">
        <f t="shared" si="17"/>
        <v>0.15</v>
      </c>
      <c r="N154" s="24">
        <f t="shared" si="18"/>
        <v>0.1</v>
      </c>
      <c r="O154" s="24">
        <f t="shared" si="19"/>
        <v>0.3</v>
      </c>
      <c r="P154" s="24">
        <f t="shared" si="20"/>
        <v>0.05</v>
      </c>
      <c r="Q154" s="214">
        <f>1+(SUM(J154:P154))</f>
        <v>1.9</v>
      </c>
      <c r="R154" s="214"/>
      <c r="S154" s="214"/>
    </row>
    <row r="155" spans="1:19" ht="20.100000000000001" customHeight="1" x14ac:dyDescent="0.25">
      <c r="A155" s="166">
        <v>4</v>
      </c>
      <c r="B155" s="166"/>
      <c r="C155" s="191">
        <f t="shared" si="13"/>
        <v>549.64285714285734</v>
      </c>
      <c r="D155" s="191"/>
      <c r="E155" s="191"/>
      <c r="F155" s="24"/>
      <c r="G155" s="24"/>
      <c r="H155" s="24"/>
      <c r="I155" s="24"/>
      <c r="J155" s="24">
        <f t="shared" si="14"/>
        <v>0.15</v>
      </c>
      <c r="K155" s="24">
        <f t="shared" si="15"/>
        <v>0.1</v>
      </c>
      <c r="L155" s="24">
        <f t="shared" si="16"/>
        <v>0.05</v>
      </c>
      <c r="M155" s="24">
        <f t="shared" si="17"/>
        <v>0.15</v>
      </c>
      <c r="N155" s="24">
        <f t="shared" si="18"/>
        <v>0.1</v>
      </c>
      <c r="O155" s="24">
        <f t="shared" si="19"/>
        <v>0.3</v>
      </c>
      <c r="P155" s="24">
        <f t="shared" si="20"/>
        <v>0.05</v>
      </c>
      <c r="Q155" s="214">
        <f>1+(SUM(J155:P155))</f>
        <v>1.9</v>
      </c>
      <c r="R155" s="214"/>
      <c r="S155" s="214"/>
    </row>
    <row r="156" spans="1:19" ht="20.100000000000001" customHeight="1" thickBot="1" x14ac:dyDescent="0.3">
      <c r="A156" s="167">
        <v>5</v>
      </c>
      <c r="B156" s="167"/>
      <c r="C156" s="212">
        <f t="shared" si="13"/>
        <v>601.66666666666652</v>
      </c>
      <c r="D156" s="212"/>
      <c r="E156" s="212"/>
      <c r="F156" s="25"/>
      <c r="G156" s="25"/>
      <c r="H156" s="25"/>
      <c r="I156" s="25"/>
      <c r="J156" s="25">
        <f t="shared" si="14"/>
        <v>0.15</v>
      </c>
      <c r="K156" s="25">
        <f t="shared" si="15"/>
        <v>0.1</v>
      </c>
      <c r="L156" s="25">
        <f t="shared" si="16"/>
        <v>0.05</v>
      </c>
      <c r="M156" s="25">
        <f t="shared" si="17"/>
        <v>0.15</v>
      </c>
      <c r="N156" s="25">
        <f t="shared" si="18"/>
        <v>0.1</v>
      </c>
      <c r="O156" s="25">
        <f t="shared" si="19"/>
        <v>0.3</v>
      </c>
      <c r="P156" s="25">
        <f t="shared" si="20"/>
        <v>0.05</v>
      </c>
      <c r="Q156" s="215">
        <f>1+(SUM(J156:P156))</f>
        <v>1.9</v>
      </c>
      <c r="R156" s="215"/>
      <c r="S156" s="215"/>
    </row>
    <row r="158" spans="1:19" ht="39.950000000000003" customHeight="1" x14ac:dyDescent="0.25">
      <c r="A158" s="168" t="s">
        <v>17</v>
      </c>
      <c r="B158" s="168"/>
      <c r="C158" s="168" t="str">
        <f>C151</f>
        <v>Valor unitário homogeneizado</v>
      </c>
      <c r="D158" s="168"/>
      <c r="E158" s="168"/>
      <c r="F158" s="168" t="s">
        <v>422</v>
      </c>
      <c r="G158" s="168"/>
      <c r="H158" s="168"/>
      <c r="I158" s="168" t="s">
        <v>423</v>
      </c>
      <c r="J158" s="168"/>
      <c r="K158" s="168"/>
      <c r="L158" s="168" t="s">
        <v>23</v>
      </c>
      <c r="M158" s="168"/>
      <c r="N158" s="168"/>
      <c r="O158" s="168" t="s">
        <v>42</v>
      </c>
      <c r="P158" s="168"/>
      <c r="Q158" s="168"/>
      <c r="R158" s="168"/>
      <c r="S158" s="168"/>
    </row>
    <row r="159" spans="1:19" ht="20.100000000000001" customHeight="1" x14ac:dyDescent="0.25">
      <c r="A159" s="166">
        <v>1</v>
      </c>
      <c r="B159" s="166"/>
      <c r="C159" s="211">
        <f>C152</f>
        <v>498.75000000000011</v>
      </c>
      <c r="D159" s="211"/>
      <c r="E159" s="211"/>
      <c r="F159" s="216">
        <f>Q152</f>
        <v>1.9</v>
      </c>
      <c r="G159" s="216"/>
      <c r="H159" s="216"/>
      <c r="I159" s="216">
        <f>$Q$145</f>
        <v>1.9</v>
      </c>
      <c r="J159" s="216"/>
      <c r="K159" s="216"/>
      <c r="L159" s="216">
        <f>I159/F159</f>
        <v>1</v>
      </c>
      <c r="M159" s="216"/>
      <c r="N159" s="216"/>
      <c r="O159" s="211">
        <f t="shared" ref="O159:O163" si="21">C159*L159</f>
        <v>498.75000000000011</v>
      </c>
      <c r="P159" s="211"/>
      <c r="Q159" s="211"/>
      <c r="R159" s="211"/>
      <c r="S159" s="211"/>
    </row>
    <row r="160" spans="1:19" ht="20.100000000000001" customHeight="1" x14ac:dyDescent="0.25">
      <c r="A160" s="166">
        <v>2</v>
      </c>
      <c r="B160" s="166"/>
      <c r="C160" s="191">
        <f>C153</f>
        <v>570.00000000000011</v>
      </c>
      <c r="D160" s="191"/>
      <c r="E160" s="191"/>
      <c r="F160" s="193">
        <f>Q153</f>
        <v>1.9</v>
      </c>
      <c r="G160" s="193"/>
      <c r="H160" s="193"/>
      <c r="I160" s="193">
        <f t="shared" ref="I160:I163" si="22">$Q$145</f>
        <v>1.9</v>
      </c>
      <c r="J160" s="193"/>
      <c r="K160" s="193"/>
      <c r="L160" s="193">
        <f t="shared" ref="L160:L163" si="23">I160/F160</f>
        <v>1</v>
      </c>
      <c r="M160" s="193"/>
      <c r="N160" s="193"/>
      <c r="O160" s="191">
        <f t="shared" si="21"/>
        <v>570.00000000000011</v>
      </c>
      <c r="P160" s="191"/>
      <c r="Q160" s="191"/>
      <c r="R160" s="191"/>
      <c r="S160" s="191"/>
    </row>
    <row r="161" spans="1:19" ht="20.100000000000001" customHeight="1" x14ac:dyDescent="0.25">
      <c r="A161" s="166">
        <v>3</v>
      </c>
      <c r="B161" s="166"/>
      <c r="C161" s="191">
        <f t="shared" ref="C161:C162" si="24">C154</f>
        <v>540</v>
      </c>
      <c r="D161" s="191"/>
      <c r="E161" s="191"/>
      <c r="F161" s="193">
        <f t="shared" ref="F161:F162" si="25">Q154</f>
        <v>1.9</v>
      </c>
      <c r="G161" s="193"/>
      <c r="H161" s="193"/>
      <c r="I161" s="193">
        <f t="shared" si="22"/>
        <v>1.9</v>
      </c>
      <c r="J161" s="193"/>
      <c r="K161" s="193"/>
      <c r="L161" s="193">
        <f t="shared" ref="L161:L162" si="26">I161/F161</f>
        <v>1</v>
      </c>
      <c r="M161" s="193"/>
      <c r="N161" s="193"/>
      <c r="O161" s="191">
        <f t="shared" ref="O161:O162" si="27">C161*L161</f>
        <v>540</v>
      </c>
      <c r="P161" s="191"/>
      <c r="Q161" s="191"/>
      <c r="R161" s="191"/>
      <c r="S161" s="191"/>
    </row>
    <row r="162" spans="1:19" ht="20.100000000000001" customHeight="1" x14ac:dyDescent="0.25">
      <c r="A162" s="166">
        <v>4</v>
      </c>
      <c r="B162" s="166"/>
      <c r="C162" s="191">
        <f t="shared" si="24"/>
        <v>549.64285714285734</v>
      </c>
      <c r="D162" s="191"/>
      <c r="E162" s="191"/>
      <c r="F162" s="193">
        <f t="shared" si="25"/>
        <v>1.9</v>
      </c>
      <c r="G162" s="193"/>
      <c r="H162" s="193"/>
      <c r="I162" s="193">
        <f t="shared" si="22"/>
        <v>1.9</v>
      </c>
      <c r="J162" s="193"/>
      <c r="K162" s="193"/>
      <c r="L162" s="193">
        <f t="shared" si="26"/>
        <v>1</v>
      </c>
      <c r="M162" s="193"/>
      <c r="N162" s="193"/>
      <c r="O162" s="191">
        <f t="shared" si="27"/>
        <v>549.64285714285734</v>
      </c>
      <c r="P162" s="191"/>
      <c r="Q162" s="191"/>
      <c r="R162" s="191"/>
      <c r="S162" s="191"/>
    </row>
    <row r="163" spans="1:19" ht="20.100000000000001" customHeight="1" thickBot="1" x14ac:dyDescent="0.3">
      <c r="A163" s="167">
        <v>5</v>
      </c>
      <c r="B163" s="167"/>
      <c r="C163" s="212">
        <f>C156</f>
        <v>601.66666666666652</v>
      </c>
      <c r="D163" s="212"/>
      <c r="E163" s="212"/>
      <c r="F163" s="213">
        <f>Q156</f>
        <v>1.9</v>
      </c>
      <c r="G163" s="213"/>
      <c r="H163" s="213"/>
      <c r="I163" s="213">
        <f t="shared" si="22"/>
        <v>1.9</v>
      </c>
      <c r="J163" s="213"/>
      <c r="K163" s="213"/>
      <c r="L163" s="213">
        <f t="shared" si="23"/>
        <v>1</v>
      </c>
      <c r="M163" s="213"/>
      <c r="N163" s="213"/>
      <c r="O163" s="212">
        <f t="shared" si="21"/>
        <v>601.66666666666652</v>
      </c>
      <c r="P163" s="212"/>
      <c r="Q163" s="212"/>
      <c r="R163" s="212"/>
      <c r="S163" s="212"/>
    </row>
    <row r="165" spans="1:19" ht="20.100000000000001" customHeight="1" x14ac:dyDescent="0.25">
      <c r="M165" s="157" t="s">
        <v>36</v>
      </c>
      <c r="N165" s="157"/>
      <c r="O165" s="157"/>
      <c r="P165" s="157"/>
      <c r="Q165" s="200">
        <f>AVERAGE(O159:S163)</f>
        <v>552.01190476190482</v>
      </c>
      <c r="R165" s="200"/>
      <c r="S165" s="200"/>
    </row>
    <row r="166" spans="1:19" ht="20.100000000000001" customHeight="1" x14ac:dyDescent="0.25">
      <c r="M166" s="170" t="s">
        <v>37</v>
      </c>
      <c r="N166" s="170"/>
      <c r="O166" s="170"/>
      <c r="P166" s="170"/>
      <c r="Q166" s="200">
        <f>STDEVA(O159:S163)</f>
        <v>37.999656878746791</v>
      </c>
      <c r="R166" s="200"/>
      <c r="S166" s="200"/>
    </row>
    <row r="167" spans="1:19" ht="20.100000000000001" customHeight="1" x14ac:dyDescent="0.25">
      <c r="M167" s="189" t="s">
        <v>35</v>
      </c>
      <c r="N167" s="189"/>
      <c r="O167" s="189"/>
      <c r="P167" s="189"/>
      <c r="Q167" s="219">
        <f>Q166/Q165</f>
        <v>6.8838473502010611E-2</v>
      </c>
      <c r="R167" s="219"/>
      <c r="S167" s="219"/>
    </row>
    <row r="170" spans="1:19" ht="20.100000000000001" customHeight="1" x14ac:dyDescent="0.25">
      <c r="A170" s="177" t="s">
        <v>49</v>
      </c>
      <c r="B170" s="177"/>
      <c r="C170" s="177"/>
      <c r="D170" s="177"/>
      <c r="E170" s="177"/>
      <c r="F170" s="177"/>
      <c r="G170" s="177"/>
      <c r="H170" s="177"/>
      <c r="I170" s="177"/>
      <c r="J170" s="177"/>
      <c r="K170" s="177"/>
      <c r="L170" s="177"/>
      <c r="M170" s="177"/>
      <c r="N170" s="177"/>
      <c r="O170" s="177"/>
      <c r="P170" s="177"/>
      <c r="Q170" s="177"/>
      <c r="R170" s="177"/>
      <c r="S170" s="177"/>
    </row>
    <row r="172" spans="1:19" ht="20.100000000000001" customHeight="1" x14ac:dyDescent="0.25">
      <c r="A172" s="168" t="s">
        <v>17</v>
      </c>
      <c r="B172" s="168"/>
      <c r="C172" s="168" t="s">
        <v>32</v>
      </c>
      <c r="D172" s="168"/>
      <c r="E172" s="168"/>
      <c r="F172" s="168"/>
      <c r="G172" s="168"/>
      <c r="M172" s="157" t="s">
        <v>43</v>
      </c>
      <c r="N172" s="157"/>
      <c r="O172" s="157"/>
      <c r="P172" s="157"/>
      <c r="Q172" s="157"/>
      <c r="R172" s="240">
        <v>0.3</v>
      </c>
      <c r="S172" s="240"/>
    </row>
    <row r="173" spans="1:19" ht="20.100000000000001" customHeight="1" x14ac:dyDescent="0.25">
      <c r="A173" s="166">
        <v>1</v>
      </c>
      <c r="B173" s="166"/>
      <c r="C173" s="210">
        <f>O159</f>
        <v>498.75000000000011</v>
      </c>
      <c r="D173" s="210"/>
      <c r="E173" s="210"/>
      <c r="F173" s="210"/>
      <c r="G173" s="210"/>
      <c r="H173" s="46">
        <f>A173</f>
        <v>1</v>
      </c>
    </row>
    <row r="174" spans="1:19" ht="20.100000000000001" customHeight="1" x14ac:dyDescent="0.25">
      <c r="A174" s="166">
        <v>2</v>
      </c>
      <c r="B174" s="166"/>
      <c r="C174" s="209">
        <f>O160</f>
        <v>570.00000000000011</v>
      </c>
      <c r="D174" s="209"/>
      <c r="E174" s="209"/>
      <c r="F174" s="209"/>
      <c r="G174" s="209"/>
      <c r="H174" s="46">
        <f t="shared" ref="H174:H177" si="28">A174</f>
        <v>2</v>
      </c>
      <c r="M174" s="157" t="s">
        <v>36</v>
      </c>
      <c r="N174" s="157"/>
      <c r="O174" s="157"/>
      <c r="P174" s="157"/>
      <c r="Q174" s="200">
        <f>AVERAGE(C173:C177)</f>
        <v>552.01190476190482</v>
      </c>
      <c r="R174" s="200"/>
      <c r="S174" s="200"/>
    </row>
    <row r="175" spans="1:19" ht="20.100000000000001" customHeight="1" x14ac:dyDescent="0.25">
      <c r="A175" s="166">
        <v>3</v>
      </c>
      <c r="B175" s="166"/>
      <c r="C175" s="209">
        <f t="shared" ref="C175:C176" si="29">O161</f>
        <v>540</v>
      </c>
      <c r="D175" s="209"/>
      <c r="E175" s="209"/>
      <c r="F175" s="209"/>
      <c r="G175" s="209"/>
      <c r="H175" s="46">
        <f t="shared" si="28"/>
        <v>3</v>
      </c>
      <c r="M175" s="157" t="s">
        <v>45</v>
      </c>
      <c r="N175" s="157"/>
      <c r="O175" s="157"/>
      <c r="P175" s="157"/>
      <c r="Q175" s="200">
        <f>Q174*(1+R172)</f>
        <v>717.61547619047633</v>
      </c>
      <c r="R175" s="200"/>
      <c r="S175" s="200"/>
    </row>
    <row r="176" spans="1:19" ht="20.100000000000001" customHeight="1" x14ac:dyDescent="0.25">
      <c r="A176" s="166">
        <v>4</v>
      </c>
      <c r="B176" s="166"/>
      <c r="C176" s="209">
        <f t="shared" si="29"/>
        <v>549.64285714285734</v>
      </c>
      <c r="D176" s="209"/>
      <c r="E176" s="209"/>
      <c r="F176" s="209"/>
      <c r="G176" s="209"/>
      <c r="H176" s="46">
        <f t="shared" si="28"/>
        <v>4</v>
      </c>
      <c r="M176" s="157" t="s">
        <v>44</v>
      </c>
      <c r="N176" s="157"/>
      <c r="O176" s="157"/>
      <c r="P176" s="157"/>
      <c r="Q176" s="200">
        <f>Q174*(1-R172)</f>
        <v>386.40833333333336</v>
      </c>
      <c r="R176" s="200"/>
      <c r="S176" s="200"/>
    </row>
    <row r="177" spans="1:26" ht="20.100000000000001" customHeight="1" x14ac:dyDescent="0.25">
      <c r="A177" s="166">
        <v>5</v>
      </c>
      <c r="B177" s="166"/>
      <c r="C177" s="209">
        <f>O163</f>
        <v>601.66666666666652</v>
      </c>
      <c r="D177" s="209"/>
      <c r="E177" s="209"/>
      <c r="F177" s="209"/>
      <c r="G177" s="209"/>
      <c r="H177" s="46">
        <f t="shared" si="28"/>
        <v>5</v>
      </c>
      <c r="M177" s="157" t="s">
        <v>47</v>
      </c>
      <c r="N177" s="157"/>
      <c r="O177" s="157"/>
      <c r="P177" s="157"/>
      <c r="Q177" s="200">
        <f>MAX(C173:C177)</f>
        <v>601.66666666666652</v>
      </c>
      <c r="R177" s="200"/>
      <c r="S177" s="200"/>
    </row>
    <row r="178" spans="1:26" ht="20.100000000000001" customHeight="1" x14ac:dyDescent="0.25">
      <c r="M178" s="157" t="s">
        <v>46</v>
      </c>
      <c r="N178" s="157"/>
      <c r="O178" s="157"/>
      <c r="P178" s="157"/>
      <c r="Q178" s="200">
        <f>MIN(C173:C177)</f>
        <v>498.75000000000011</v>
      </c>
      <c r="R178" s="200"/>
      <c r="S178" s="200"/>
    </row>
    <row r="179" spans="1:26" ht="20.100000000000001" customHeight="1" x14ac:dyDescent="0.25">
      <c r="M179" s="170"/>
      <c r="N179" s="170"/>
      <c r="O179" s="170"/>
      <c r="P179" s="170"/>
      <c r="Q179" s="211"/>
      <c r="R179" s="211"/>
      <c r="S179" s="211"/>
      <c r="W179" s="47"/>
    </row>
    <row r="180" spans="1:26" ht="20.100000000000001" customHeight="1" x14ac:dyDescent="0.25">
      <c r="M180" s="157" t="s">
        <v>51</v>
      </c>
      <c r="N180" s="157"/>
      <c r="O180" s="157" t="str">
        <f>IF(Q180="Nada a excluir","",Y182)</f>
        <v/>
      </c>
      <c r="P180" s="157"/>
      <c r="Q180" s="200" t="str" cm="1">
        <f t="array" ref="Q180">_xlfn.IFS(AND(OR(Q177&gt;Q175,Q178&lt;Q176),(Q177-Q174)&gt;(Q174-Q178)),Q177,AND(OR(Q178&lt;Q176,Q177&gt;Q175),(Q174-Q178)&gt;(Q177-Q174)),Q178,AND(Q177&lt;=Q175,Q178&gt;=Q176),"Nada a excluir")</f>
        <v>Nada a excluir</v>
      </c>
      <c r="R180" s="200"/>
      <c r="S180" s="200"/>
      <c r="W180" s="47"/>
    </row>
    <row r="181" spans="1:26" ht="20.100000000000001" customHeight="1" x14ac:dyDescent="0.25">
      <c r="M181" s="189" t="s">
        <v>50</v>
      </c>
      <c r="N181" s="189"/>
      <c r="O181" s="189"/>
      <c r="P181" s="189"/>
      <c r="Q181" s="186" t="str">
        <f>IF(Q180="Nada a excluir","Encerrar","Continuar")</f>
        <v>Encerrar</v>
      </c>
      <c r="R181" s="186"/>
      <c r="S181" s="186"/>
    </row>
    <row r="182" spans="1:26" ht="20.100000000000001" customHeight="1" x14ac:dyDescent="0.25">
      <c r="Y182" s="46" t="e">
        <f>VLOOKUP(Q180,C173:H177,6,0)</f>
        <v>#N/A</v>
      </c>
    </row>
    <row r="183" spans="1:26" ht="20.100000000000001" customHeight="1" x14ac:dyDescent="0.25">
      <c r="M183" s="157" t="s">
        <v>48</v>
      </c>
      <c r="N183" s="157"/>
      <c r="O183" s="157"/>
      <c r="P183" s="157"/>
      <c r="Q183" s="162">
        <f>STDEVA(C173:C177)</f>
        <v>37.999656878746791</v>
      </c>
      <c r="R183" s="192"/>
      <c r="S183" s="192"/>
    </row>
    <row r="184" spans="1:26" ht="20.100000000000001" customHeight="1" x14ac:dyDescent="0.25">
      <c r="M184" s="189" t="s">
        <v>35</v>
      </c>
      <c r="N184" s="189"/>
      <c r="O184" s="189"/>
      <c r="P184" s="189"/>
      <c r="Q184" s="201">
        <f>Q183/Q174</f>
        <v>6.8838473502010611E-2</v>
      </c>
      <c r="R184" s="201"/>
      <c r="S184" s="201"/>
    </row>
    <row r="186" spans="1:26" ht="20.100000000000001" customHeight="1" x14ac:dyDescent="0.25">
      <c r="Q186" s="26"/>
      <c r="R186" s="26"/>
      <c r="S186" s="26"/>
    </row>
    <row r="187" spans="1:26" ht="20.100000000000001" customHeight="1" x14ac:dyDescent="0.25">
      <c r="Q187" s="26"/>
      <c r="R187" s="26"/>
      <c r="S187" s="26"/>
    </row>
    <row r="188" spans="1:26" ht="20.100000000000001" customHeight="1" x14ac:dyDescent="0.25">
      <c r="Q188" s="26"/>
      <c r="R188" s="26"/>
      <c r="S188" s="26"/>
      <c r="X188" s="46" t="s">
        <v>44</v>
      </c>
      <c r="Y188" s="46" t="s">
        <v>45</v>
      </c>
      <c r="Z188" s="46" t="s">
        <v>36</v>
      </c>
    </row>
    <row r="189" spans="1:26" ht="20.100000000000001" customHeight="1" x14ac:dyDescent="0.25">
      <c r="Q189" s="26"/>
      <c r="R189" s="26"/>
      <c r="S189" s="26"/>
      <c r="X189" s="47">
        <f>$Q$176</f>
        <v>386.40833333333336</v>
      </c>
      <c r="Y189" s="47">
        <f>$Q$175</f>
        <v>717.61547619047633</v>
      </c>
      <c r="Z189" s="47">
        <f>$Q$174</f>
        <v>552.01190476190482</v>
      </c>
    </row>
    <row r="190" spans="1:26" ht="20.100000000000001" customHeight="1" x14ac:dyDescent="0.25">
      <c r="Q190" s="26"/>
      <c r="R190" s="26"/>
      <c r="S190" s="26"/>
      <c r="X190" s="47">
        <f>$Q$176</f>
        <v>386.40833333333336</v>
      </c>
      <c r="Y190" s="47">
        <f>$Q$175</f>
        <v>717.61547619047633</v>
      </c>
      <c r="Z190" s="47">
        <f>$Q$174</f>
        <v>552.01190476190482</v>
      </c>
    </row>
    <row r="191" spans="1:26" ht="20.100000000000001" customHeight="1" x14ac:dyDescent="0.25">
      <c r="Q191" s="26"/>
      <c r="R191" s="26"/>
      <c r="S191" s="26"/>
      <c r="X191" s="47">
        <f t="shared" ref="X191:X193" si="30">$Q$176</f>
        <v>386.40833333333336</v>
      </c>
      <c r="Y191" s="47">
        <f t="shared" ref="Y191:Y193" si="31">$Q$175</f>
        <v>717.61547619047633</v>
      </c>
      <c r="Z191" s="47">
        <f t="shared" ref="Z191:Z193" si="32">$Q$174</f>
        <v>552.01190476190482</v>
      </c>
    </row>
    <row r="192" spans="1:26" ht="20.100000000000001" customHeight="1" x14ac:dyDescent="0.25">
      <c r="Q192" s="26"/>
      <c r="R192" s="26"/>
      <c r="S192" s="26"/>
      <c r="X192" s="47">
        <f t="shared" si="30"/>
        <v>386.40833333333336</v>
      </c>
      <c r="Y192" s="47">
        <f t="shared" si="31"/>
        <v>717.61547619047633</v>
      </c>
      <c r="Z192" s="47">
        <f t="shared" si="32"/>
        <v>552.01190476190482</v>
      </c>
    </row>
    <row r="193" spans="1:31" ht="20.100000000000001" customHeight="1" x14ac:dyDescent="0.25">
      <c r="Q193" s="26"/>
      <c r="R193" s="26"/>
      <c r="S193" s="26"/>
      <c r="X193" s="47">
        <f t="shared" si="30"/>
        <v>386.40833333333336</v>
      </c>
      <c r="Y193" s="47">
        <f t="shared" si="31"/>
        <v>717.61547619047633</v>
      </c>
      <c r="Z193" s="47">
        <f t="shared" si="32"/>
        <v>552.01190476190482</v>
      </c>
    </row>
    <row r="194" spans="1:31" ht="20.100000000000001" customHeight="1" x14ac:dyDescent="0.25">
      <c r="Q194" s="26"/>
      <c r="R194" s="26"/>
      <c r="S194" s="26"/>
      <c r="X194" s="47"/>
      <c r="Y194" s="47"/>
      <c r="Z194" s="47"/>
    </row>
    <row r="195" spans="1:31" ht="20.100000000000001" customHeight="1" x14ac:dyDescent="0.25">
      <c r="Q195" s="26"/>
      <c r="R195" s="26"/>
      <c r="S195" s="26"/>
      <c r="X195" s="47"/>
      <c r="Y195" s="47"/>
      <c r="Z195" s="47"/>
    </row>
    <row r="196" spans="1:31" ht="20.100000000000001" customHeight="1" x14ac:dyDescent="0.25">
      <c r="Q196" s="26"/>
      <c r="R196" s="26"/>
      <c r="S196" s="26"/>
    </row>
    <row r="197" spans="1:31" ht="20.100000000000001" customHeight="1" x14ac:dyDescent="0.25">
      <c r="Q197" s="26"/>
      <c r="R197" s="26"/>
      <c r="S197" s="26"/>
    </row>
    <row r="198" spans="1:31" ht="20.100000000000001" customHeight="1" x14ac:dyDescent="0.25">
      <c r="Q198" s="26"/>
      <c r="R198" s="26"/>
      <c r="S198" s="26"/>
    </row>
    <row r="199" spans="1:31" ht="20.100000000000001" customHeight="1" x14ac:dyDescent="0.25">
      <c r="Q199" s="26"/>
      <c r="R199" s="26"/>
      <c r="S199" s="26"/>
    </row>
    <row r="200" spans="1:31" ht="20.100000000000001" customHeight="1" x14ac:dyDescent="0.25">
      <c r="Q200" s="26"/>
      <c r="R200" s="26"/>
      <c r="S200" s="26"/>
    </row>
    <row r="201" spans="1:31" ht="20.100000000000001" customHeight="1" x14ac:dyDescent="0.25">
      <c r="Q201" s="26"/>
      <c r="R201" s="26"/>
      <c r="S201" s="26"/>
    </row>
    <row r="202" spans="1:31" ht="20.100000000000001" customHeight="1" x14ac:dyDescent="0.25">
      <c r="Q202" s="26"/>
      <c r="R202" s="26"/>
      <c r="S202" s="26"/>
    </row>
    <row r="204" spans="1:31" ht="20.100000000000001" customHeight="1" x14ac:dyDescent="0.25">
      <c r="A204" s="177" t="s">
        <v>52</v>
      </c>
      <c r="B204" s="177"/>
      <c r="C204" s="177"/>
      <c r="D204" s="177"/>
      <c r="E204" s="177"/>
      <c r="F204" s="177"/>
      <c r="G204" s="177"/>
      <c r="H204" s="177"/>
      <c r="I204" s="177"/>
      <c r="J204" s="177"/>
      <c r="K204" s="177"/>
      <c r="L204" s="177"/>
      <c r="M204" s="177"/>
      <c r="N204" s="177"/>
      <c r="O204" s="177"/>
      <c r="P204" s="177"/>
      <c r="Q204" s="177"/>
      <c r="R204" s="177"/>
      <c r="S204" s="177"/>
    </row>
    <row r="206" spans="1:31" ht="20.100000000000001" customHeight="1" x14ac:dyDescent="0.25">
      <c r="A206" s="168" t="s">
        <v>17</v>
      </c>
      <c r="B206" s="168"/>
      <c r="C206" s="168" t="s">
        <v>32</v>
      </c>
      <c r="D206" s="168"/>
      <c r="E206" s="168"/>
      <c r="F206" s="168"/>
      <c r="G206" s="168"/>
      <c r="M206" s="157" t="s">
        <v>247</v>
      </c>
      <c r="N206" s="157"/>
      <c r="O206" s="157"/>
      <c r="P206" s="157"/>
      <c r="Q206" s="157"/>
      <c r="R206" s="228">
        <v>5</v>
      </c>
      <c r="S206" s="228"/>
      <c r="T206" s="204" t="s">
        <v>250</v>
      </c>
      <c r="U206" s="204"/>
      <c r="V206" s="204"/>
      <c r="AE206" s="46" t="s">
        <v>44</v>
      </c>
    </row>
    <row r="207" spans="1:31" ht="20.100000000000001" customHeight="1" x14ac:dyDescent="0.25">
      <c r="A207" s="166">
        <v>1</v>
      </c>
      <c r="B207" s="166"/>
      <c r="C207" s="210">
        <f>O159</f>
        <v>498.75000000000011</v>
      </c>
      <c r="D207" s="210"/>
      <c r="E207" s="210"/>
      <c r="F207" s="210"/>
      <c r="G207" s="210"/>
      <c r="H207" s="46">
        <f>A207</f>
        <v>1</v>
      </c>
      <c r="M207" s="157" t="s">
        <v>53</v>
      </c>
      <c r="N207" s="157"/>
      <c r="O207" s="157"/>
      <c r="P207" s="157"/>
      <c r="Q207" s="157"/>
      <c r="R207" s="208">
        <f>_xlfn.NORM.S.INV(1-((1/R206)/4))</f>
        <v>1.6448536269514715</v>
      </c>
      <c r="S207" s="208"/>
      <c r="Z207" s="106"/>
      <c r="AC207" s="47"/>
      <c r="AD207" s="47"/>
      <c r="AE207" s="47">
        <f>$Q$213</f>
        <v>489.50803132198672</v>
      </c>
    </row>
    <row r="208" spans="1:31" ht="20.100000000000001" customHeight="1" x14ac:dyDescent="0.25">
      <c r="A208" s="166">
        <v>2</v>
      </c>
      <c r="B208" s="166"/>
      <c r="C208" s="209">
        <f>O160</f>
        <v>570.00000000000011</v>
      </c>
      <c r="D208" s="209"/>
      <c r="E208" s="209"/>
      <c r="F208" s="209"/>
      <c r="G208" s="209"/>
      <c r="H208" s="46">
        <f t="shared" ref="H208:H211" si="33">A208</f>
        <v>2</v>
      </c>
      <c r="AC208" s="47"/>
      <c r="AD208" s="47"/>
      <c r="AE208" s="47">
        <f>$Q$213</f>
        <v>489.50803132198672</v>
      </c>
    </row>
    <row r="209" spans="1:31" ht="20.100000000000001" customHeight="1" x14ac:dyDescent="0.25">
      <c r="A209" s="166">
        <v>3</v>
      </c>
      <c r="B209" s="166"/>
      <c r="C209" s="209">
        <f>O161</f>
        <v>540</v>
      </c>
      <c r="D209" s="209"/>
      <c r="E209" s="209"/>
      <c r="F209" s="209"/>
      <c r="G209" s="209"/>
      <c r="H209" s="46">
        <f t="shared" si="33"/>
        <v>3</v>
      </c>
      <c r="M209" s="157" t="s">
        <v>36</v>
      </c>
      <c r="N209" s="157"/>
      <c r="O209" s="157"/>
      <c r="P209" s="157"/>
      <c r="Q209" s="200">
        <f>AVERAGE(C207:C211)</f>
        <v>552.01190476190482</v>
      </c>
      <c r="R209" s="200"/>
      <c r="S209" s="200"/>
      <c r="AC209" s="47"/>
      <c r="AD209" s="47"/>
      <c r="AE209" s="47"/>
    </row>
    <row r="210" spans="1:31" ht="20.100000000000001" customHeight="1" x14ac:dyDescent="0.25">
      <c r="A210" s="166">
        <v>4</v>
      </c>
      <c r="B210" s="166"/>
      <c r="C210" s="209">
        <f>O162</f>
        <v>549.64285714285734</v>
      </c>
      <c r="D210" s="209"/>
      <c r="E210" s="209"/>
      <c r="F210" s="209"/>
      <c r="G210" s="209"/>
      <c r="H210" s="46">
        <f t="shared" si="33"/>
        <v>4</v>
      </c>
      <c r="M210" s="157" t="s">
        <v>37</v>
      </c>
      <c r="N210" s="157"/>
      <c r="O210" s="157"/>
      <c r="P210" s="157"/>
      <c r="Q210" s="200">
        <f>STDEVA(C207:G211)</f>
        <v>37.999656878746791</v>
      </c>
      <c r="R210" s="200"/>
      <c r="S210" s="200"/>
      <c r="AC210" s="47"/>
      <c r="AD210" s="47"/>
      <c r="AE210" s="47"/>
    </row>
    <row r="211" spans="1:31" ht="20.100000000000001" customHeight="1" x14ac:dyDescent="0.25">
      <c r="A211" s="166">
        <v>5</v>
      </c>
      <c r="B211" s="166"/>
      <c r="C211" s="209">
        <f>O163</f>
        <v>601.66666666666652</v>
      </c>
      <c r="D211" s="209"/>
      <c r="E211" s="209"/>
      <c r="F211" s="209"/>
      <c r="G211" s="209"/>
      <c r="H211" s="46">
        <f t="shared" si="33"/>
        <v>5</v>
      </c>
      <c r="AC211" s="47"/>
      <c r="AD211" s="47"/>
      <c r="AE211" s="47">
        <f>$Q$213</f>
        <v>489.50803132198672</v>
      </c>
    </row>
    <row r="212" spans="1:31" ht="20.100000000000001" customHeight="1" x14ac:dyDescent="0.25">
      <c r="M212" s="157" t="s">
        <v>45</v>
      </c>
      <c r="N212" s="157"/>
      <c r="O212" s="157"/>
      <c r="P212" s="157"/>
      <c r="Q212" s="200">
        <f>Q209+(R207*Q210)</f>
        <v>614.51577820182297</v>
      </c>
      <c r="R212" s="200"/>
      <c r="S212" s="200"/>
      <c r="AC212" s="47"/>
      <c r="AD212" s="47"/>
      <c r="AE212" s="47">
        <f>$Q$213</f>
        <v>489.50803132198672</v>
      </c>
    </row>
    <row r="213" spans="1:31" ht="20.100000000000001" customHeight="1" x14ac:dyDescent="0.25">
      <c r="M213" s="157" t="s">
        <v>44</v>
      </c>
      <c r="N213" s="157"/>
      <c r="O213" s="157"/>
      <c r="P213" s="157"/>
      <c r="Q213" s="200">
        <f>Q209-(R207*Q210)</f>
        <v>489.50803132198672</v>
      </c>
      <c r="R213" s="200"/>
      <c r="S213" s="200"/>
      <c r="AC213" s="47"/>
      <c r="AD213" s="47"/>
      <c r="AE213" s="47">
        <f>$Q$213</f>
        <v>489.50803132198672</v>
      </c>
    </row>
    <row r="214" spans="1:31" ht="20.100000000000001" customHeight="1" x14ac:dyDescent="0.25">
      <c r="M214" s="157" t="s">
        <v>47</v>
      </c>
      <c r="N214" s="157"/>
      <c r="O214" s="157"/>
      <c r="P214" s="157"/>
      <c r="Q214" s="200">
        <f>MAX(C207:C211)</f>
        <v>601.66666666666652</v>
      </c>
      <c r="R214" s="200"/>
      <c r="S214" s="200"/>
      <c r="AC214" s="47"/>
      <c r="AD214" s="47"/>
      <c r="AE214" s="47">
        <f>$Q$213</f>
        <v>489.50803132198672</v>
      </c>
    </row>
    <row r="215" spans="1:31" ht="20.100000000000001" customHeight="1" x14ac:dyDescent="0.25">
      <c r="M215" s="157" t="s">
        <v>46</v>
      </c>
      <c r="N215" s="157"/>
      <c r="O215" s="157"/>
      <c r="P215" s="157"/>
      <c r="Q215" s="200">
        <f>MIN(C207:C211)</f>
        <v>498.75000000000011</v>
      </c>
      <c r="R215" s="200"/>
      <c r="S215" s="200"/>
      <c r="AC215" s="47"/>
      <c r="AD215" s="47"/>
      <c r="AE215" s="47">
        <f>$Q$213</f>
        <v>489.50803132198672</v>
      </c>
    </row>
    <row r="217" spans="1:31" ht="20.100000000000001" customHeight="1" x14ac:dyDescent="0.25">
      <c r="M217" s="157" t="s">
        <v>51</v>
      </c>
      <c r="N217" s="157"/>
      <c r="O217" s="157" t="str">
        <f>IF(Q217="Nada a excluir","",Y219)</f>
        <v/>
      </c>
      <c r="P217" s="157"/>
      <c r="Q217" s="200" t="str" cm="1">
        <f t="array" ref="Q217">_xlfn.IFS(AND(OR(Q214&gt;Q212,Q215&lt;Q213),(Q214-Q209)&gt;(Q209-Q215)),Q214,AND(OR(Q215&lt;Q213,Q214&gt;Q212),(Q209-Q215)&gt;(Q214-Q209)),Q215,AND(Q214&lt;=Q212,Q215&gt;=Q213),"Nada a excluir")</f>
        <v>Nada a excluir</v>
      </c>
      <c r="R217" s="200"/>
      <c r="S217" s="200"/>
    </row>
    <row r="218" spans="1:31" ht="20.100000000000001" customHeight="1" x14ac:dyDescent="0.25">
      <c r="M218" s="189" t="s">
        <v>50</v>
      </c>
      <c r="N218" s="189"/>
      <c r="O218" s="189"/>
      <c r="P218" s="189"/>
      <c r="Q218" s="186" t="str">
        <f>IF(Q217="Nada a excluir","Encerrar","Continuar")</f>
        <v>Encerrar</v>
      </c>
      <c r="R218" s="186"/>
      <c r="S218" s="186"/>
    </row>
    <row r="219" spans="1:31" ht="20.100000000000001" customHeight="1" x14ac:dyDescent="0.25">
      <c r="Y219" s="46" t="e">
        <f>VLOOKUP(Q217,C207:H211,6,0)</f>
        <v>#N/A</v>
      </c>
    </row>
    <row r="220" spans="1:31" ht="20.100000000000001" customHeight="1" x14ac:dyDescent="0.25">
      <c r="M220" s="157" t="s">
        <v>48</v>
      </c>
      <c r="N220" s="157"/>
      <c r="O220" s="157"/>
      <c r="P220" s="157"/>
      <c r="Q220" s="162">
        <f>Q210</f>
        <v>37.999656878746791</v>
      </c>
      <c r="R220" s="192"/>
      <c r="S220" s="192"/>
    </row>
    <row r="221" spans="1:31" ht="20.100000000000001" customHeight="1" x14ac:dyDescent="0.25">
      <c r="M221" s="189" t="s">
        <v>35</v>
      </c>
      <c r="N221" s="189"/>
      <c r="O221" s="189"/>
      <c r="P221" s="189"/>
      <c r="Q221" s="201">
        <f>Q210/Q209</f>
        <v>6.8838473502010611E-2</v>
      </c>
      <c r="R221" s="201"/>
      <c r="S221" s="201"/>
    </row>
    <row r="224" spans="1:31" ht="20.100000000000001" customHeight="1" x14ac:dyDescent="0.25">
      <c r="X224" s="46" t="s">
        <v>44</v>
      </c>
      <c r="Y224" s="46" t="s">
        <v>45</v>
      </c>
      <c r="Z224" s="46" t="s">
        <v>36</v>
      </c>
    </row>
    <row r="225" spans="24:26" ht="20.100000000000001" customHeight="1" x14ac:dyDescent="0.25">
      <c r="X225" s="47">
        <f>$Q$213</f>
        <v>489.50803132198672</v>
      </c>
      <c r="Y225" s="47">
        <f>$Q$212</f>
        <v>614.51577820182297</v>
      </c>
      <c r="Z225" s="47">
        <f>$Q$174</f>
        <v>552.01190476190482</v>
      </c>
    </row>
    <row r="226" spans="24:26" ht="20.100000000000001" customHeight="1" x14ac:dyDescent="0.25">
      <c r="X226" s="47">
        <f>$Q$213</f>
        <v>489.50803132198672</v>
      </c>
      <c r="Y226" s="47">
        <f>$Q$212</f>
        <v>614.51577820182297</v>
      </c>
      <c r="Z226" s="47">
        <f>$Q$174</f>
        <v>552.01190476190482</v>
      </c>
    </row>
    <row r="227" spans="24:26" ht="20.100000000000001" customHeight="1" x14ac:dyDescent="0.25">
      <c r="X227" s="47">
        <f>$Q$213</f>
        <v>489.50803132198672</v>
      </c>
      <c r="Y227" s="47">
        <f>$Q$212</f>
        <v>614.51577820182297</v>
      </c>
      <c r="Z227" s="47">
        <f>$Q$174</f>
        <v>552.01190476190482</v>
      </c>
    </row>
    <row r="228" spans="24:26" ht="20.100000000000001" customHeight="1" x14ac:dyDescent="0.25">
      <c r="X228" s="47">
        <f>$Q$213</f>
        <v>489.50803132198672</v>
      </c>
      <c r="Y228" s="47">
        <f>$Q$212</f>
        <v>614.51577820182297</v>
      </c>
      <c r="Z228" s="47">
        <f t="shared" ref="Z228:Z229" si="34">$Q$174</f>
        <v>552.01190476190482</v>
      </c>
    </row>
    <row r="229" spans="24:26" ht="20.100000000000001" customHeight="1" x14ac:dyDescent="0.25">
      <c r="X229" s="47">
        <f>$Q$213</f>
        <v>489.50803132198672</v>
      </c>
      <c r="Y229" s="47">
        <f>$Q$212</f>
        <v>614.51577820182297</v>
      </c>
      <c r="Z229" s="47">
        <f t="shared" si="34"/>
        <v>552.01190476190482</v>
      </c>
    </row>
    <row r="230" spans="24:26" ht="20.100000000000001" customHeight="1" x14ac:dyDescent="0.25">
      <c r="X230" s="47"/>
      <c r="Y230" s="47"/>
      <c r="Z230" s="47"/>
    </row>
    <row r="231" spans="24:26" ht="20.100000000000001" customHeight="1" x14ac:dyDescent="0.25">
      <c r="X231" s="47"/>
      <c r="Y231" s="47"/>
      <c r="Z231" s="47"/>
    </row>
    <row r="241" spans="1:25" ht="20.100000000000001" customHeight="1" x14ac:dyDescent="0.25">
      <c r="A241" s="177" t="s">
        <v>54</v>
      </c>
      <c r="B241" s="177"/>
      <c r="C241" s="177"/>
      <c r="D241" s="177"/>
      <c r="E241" s="177"/>
      <c r="F241" s="177"/>
      <c r="G241" s="177"/>
      <c r="H241" s="177"/>
      <c r="I241" s="177"/>
      <c r="J241" s="177"/>
      <c r="K241" s="177"/>
      <c r="L241" s="177"/>
      <c r="M241" s="177"/>
      <c r="N241" s="177"/>
      <c r="O241" s="177"/>
      <c r="P241" s="177"/>
      <c r="Q241" s="177"/>
      <c r="R241" s="177"/>
      <c r="S241" s="177"/>
    </row>
    <row r="243" spans="1:25" ht="20.100000000000001" customHeight="1" x14ac:dyDescent="0.25">
      <c r="A243" s="168" t="s">
        <v>17</v>
      </c>
      <c r="B243" s="168"/>
      <c r="C243" s="168" t="s">
        <v>32</v>
      </c>
      <c r="D243" s="168"/>
      <c r="E243" s="168"/>
      <c r="F243" s="168"/>
      <c r="G243" s="168"/>
      <c r="M243" s="157" t="s">
        <v>247</v>
      </c>
      <c r="N243" s="157"/>
      <c r="O243" s="157"/>
      <c r="P243" s="157"/>
      <c r="Q243" s="157"/>
      <c r="R243" s="230">
        <v>5</v>
      </c>
      <c r="S243" s="230"/>
      <c r="T243" s="204" t="s">
        <v>250</v>
      </c>
      <c r="U243" s="204"/>
      <c r="V243" s="204"/>
    </row>
    <row r="244" spans="1:25" ht="20.100000000000001" customHeight="1" x14ac:dyDescent="0.25">
      <c r="A244" s="166">
        <v>1</v>
      </c>
      <c r="B244" s="166"/>
      <c r="C244" s="210">
        <f>O159</f>
        <v>498.75000000000011</v>
      </c>
      <c r="D244" s="210"/>
      <c r="E244" s="210"/>
      <c r="F244" s="210"/>
      <c r="G244" s="210"/>
      <c r="H244" s="46">
        <f>A244</f>
        <v>1</v>
      </c>
      <c r="M244" s="157" t="s">
        <v>55</v>
      </c>
      <c r="N244" s="157"/>
      <c r="O244" s="157"/>
      <c r="P244" s="157"/>
      <c r="Q244" s="157"/>
      <c r="R244" s="231" cm="1">
        <f t="array" ref="R244">_xlfn.IFS(R243&lt;=5,0.1,AND(R243&gt;=6,R243&lt;=10),0.05,AND(R243&gt;=11,R243&lt;=50),0.01,R243&gt;50,0.001)</f>
        <v>0.1</v>
      </c>
      <c r="S244" s="231"/>
    </row>
    <row r="245" spans="1:25" ht="20.100000000000001" customHeight="1" x14ac:dyDescent="0.25">
      <c r="A245" s="166">
        <v>2</v>
      </c>
      <c r="B245" s="166"/>
      <c r="C245" s="209">
        <f>O160</f>
        <v>570.00000000000011</v>
      </c>
      <c r="D245" s="209"/>
      <c r="E245" s="209"/>
      <c r="F245" s="209"/>
      <c r="G245" s="209"/>
      <c r="H245" s="46">
        <f t="shared" ref="H245:H248" si="35">A245</f>
        <v>2</v>
      </c>
      <c r="M245" s="157" t="s">
        <v>56</v>
      </c>
      <c r="N245" s="157"/>
      <c r="O245" s="157"/>
      <c r="P245" s="157"/>
      <c r="Q245" s="157"/>
      <c r="R245" s="232">
        <f>R243-2</f>
        <v>3</v>
      </c>
      <c r="S245" s="232"/>
    </row>
    <row r="246" spans="1:25" ht="20.100000000000001" customHeight="1" x14ac:dyDescent="0.25">
      <c r="A246" s="166">
        <v>3</v>
      </c>
      <c r="B246" s="166"/>
      <c r="C246" s="209">
        <f>O161</f>
        <v>540</v>
      </c>
      <c r="D246" s="209"/>
      <c r="E246" s="209"/>
      <c r="F246" s="209"/>
      <c r="G246" s="209"/>
      <c r="H246" s="46">
        <f t="shared" si="35"/>
        <v>3</v>
      </c>
      <c r="M246" s="157" t="s">
        <v>53</v>
      </c>
      <c r="N246" s="157"/>
      <c r="O246" s="157"/>
      <c r="P246" s="157"/>
      <c r="Q246" s="157"/>
      <c r="R246" s="208">
        <f>Y250</f>
        <v>1.6107672730402394</v>
      </c>
      <c r="S246" s="208"/>
    </row>
    <row r="247" spans="1:25" ht="20.100000000000001" customHeight="1" x14ac:dyDescent="0.25">
      <c r="A247" s="166">
        <v>4</v>
      </c>
      <c r="B247" s="166"/>
      <c r="C247" s="209">
        <f>O162</f>
        <v>549.64285714285734</v>
      </c>
      <c r="D247" s="209"/>
      <c r="E247" s="209"/>
      <c r="F247" s="209"/>
      <c r="G247" s="209"/>
      <c r="H247" s="46">
        <f t="shared" si="35"/>
        <v>4</v>
      </c>
    </row>
    <row r="248" spans="1:25" ht="20.100000000000001" customHeight="1" x14ac:dyDescent="0.25">
      <c r="A248" s="166">
        <v>5</v>
      </c>
      <c r="B248" s="166"/>
      <c r="C248" s="209">
        <f>O163</f>
        <v>601.66666666666652</v>
      </c>
      <c r="D248" s="209"/>
      <c r="E248" s="209"/>
      <c r="F248" s="209"/>
      <c r="G248" s="209"/>
      <c r="H248" s="46">
        <f t="shared" si="35"/>
        <v>5</v>
      </c>
    </row>
    <row r="249" spans="1:25" ht="20.100000000000001" customHeight="1" x14ac:dyDescent="0.25">
      <c r="M249" s="157" t="s">
        <v>36</v>
      </c>
      <c r="N249" s="157"/>
      <c r="O249" s="157"/>
      <c r="P249" s="157"/>
      <c r="Q249" s="200">
        <f>AVERAGE(C244:C248)</f>
        <v>552.01190476190482</v>
      </c>
      <c r="R249" s="200"/>
      <c r="S249" s="200"/>
      <c r="Y249" s="46">
        <f>_xlfn.T.INV.2T(R244,R245)</f>
        <v>2.3533634348018233</v>
      </c>
    </row>
    <row r="250" spans="1:25" ht="20.100000000000001" customHeight="1" x14ac:dyDescent="0.25">
      <c r="M250" s="157" t="s">
        <v>37</v>
      </c>
      <c r="N250" s="157"/>
      <c r="O250" s="157"/>
      <c r="P250" s="157"/>
      <c r="Q250" s="200">
        <f>STDEVA(C244:G248)</f>
        <v>37.999656878746791</v>
      </c>
      <c r="R250" s="200"/>
      <c r="S250" s="200"/>
      <c r="Y250" s="46">
        <f>((((Y249^2)*(R243))-Y249^2)/(R243-2+Y249^2))^(1/2)</f>
        <v>1.6107672730402394</v>
      </c>
    </row>
    <row r="252" spans="1:25" ht="20.100000000000001" customHeight="1" x14ac:dyDescent="0.25">
      <c r="M252" s="157" t="s">
        <v>45</v>
      </c>
      <c r="N252" s="157"/>
      <c r="O252" s="157"/>
      <c r="P252" s="157"/>
      <c r="Q252" s="200">
        <f>Q249+(R246*Q250)</f>
        <v>613.22050844894852</v>
      </c>
      <c r="R252" s="200"/>
      <c r="S252" s="200"/>
    </row>
    <row r="253" spans="1:25" ht="20.100000000000001" customHeight="1" x14ac:dyDescent="0.25">
      <c r="M253" s="157" t="s">
        <v>44</v>
      </c>
      <c r="N253" s="157"/>
      <c r="O253" s="157"/>
      <c r="P253" s="157"/>
      <c r="Q253" s="200">
        <f>Q249-(R246*Q250)</f>
        <v>490.80330107486105</v>
      </c>
      <c r="R253" s="200"/>
      <c r="S253" s="200"/>
    </row>
    <row r="254" spans="1:25" ht="20.100000000000001" customHeight="1" x14ac:dyDescent="0.25">
      <c r="M254" s="157" t="s">
        <v>47</v>
      </c>
      <c r="N254" s="157"/>
      <c r="O254" s="157"/>
      <c r="P254" s="157"/>
      <c r="Q254" s="200">
        <f>MAX(C244:C248)</f>
        <v>601.66666666666652</v>
      </c>
      <c r="R254" s="200"/>
      <c r="S254" s="200"/>
    </row>
    <row r="255" spans="1:25" ht="20.100000000000001" customHeight="1" x14ac:dyDescent="0.25">
      <c r="M255" s="157" t="s">
        <v>46</v>
      </c>
      <c r="N255" s="157"/>
      <c r="O255" s="157"/>
      <c r="P255" s="157"/>
      <c r="Q255" s="200">
        <f>MIN(C244:C248)</f>
        <v>498.75000000000011</v>
      </c>
      <c r="R255" s="200"/>
      <c r="S255" s="200"/>
    </row>
    <row r="257" spans="13:26" ht="20.100000000000001" customHeight="1" x14ac:dyDescent="0.25">
      <c r="M257" s="157" t="s">
        <v>51</v>
      </c>
      <c r="N257" s="157"/>
      <c r="O257" s="157" t="str">
        <f>IF(Q257="Nada a excluir","",Y259)</f>
        <v/>
      </c>
      <c r="P257" s="157"/>
      <c r="Q257" s="200" t="str" cm="1">
        <f t="array" ref="Q257">_xlfn.IFS(AND(OR(Q254&gt;Q252,Q255&lt;Q253),(Q254-Q249)&gt;(Q249-Q255)),Q254,AND(OR(Q255&lt;Q253,Q254&gt;Q252),(Q249-Q255)&gt;(Q254-Q249)),Q255,AND(Q254&lt;=Q252,Q255&gt;=Q253),"Nada a excluir")</f>
        <v>Nada a excluir</v>
      </c>
      <c r="R257" s="200"/>
      <c r="S257" s="200"/>
    </row>
    <row r="258" spans="13:26" ht="20.100000000000001" customHeight="1" x14ac:dyDescent="0.25">
      <c r="M258" s="189" t="s">
        <v>50</v>
      </c>
      <c r="N258" s="189"/>
      <c r="O258" s="189"/>
      <c r="P258" s="189"/>
      <c r="Q258" s="186" t="str">
        <f>IF(Q257="Nada a excluir","Encerrar","Continuar")</f>
        <v>Encerrar</v>
      </c>
      <c r="R258" s="186"/>
      <c r="S258" s="186"/>
    </row>
    <row r="259" spans="13:26" ht="20.100000000000001" customHeight="1" x14ac:dyDescent="0.25">
      <c r="Y259" s="46" t="e">
        <f>VLOOKUP(Q257,C244:H248,6,0)</f>
        <v>#N/A</v>
      </c>
    </row>
    <row r="260" spans="13:26" ht="20.100000000000001" customHeight="1" x14ac:dyDescent="0.25">
      <c r="M260" s="157" t="s">
        <v>48</v>
      </c>
      <c r="N260" s="157"/>
      <c r="O260" s="157"/>
      <c r="P260" s="157"/>
      <c r="Q260" s="162">
        <f>Q250</f>
        <v>37.999656878746791</v>
      </c>
      <c r="R260" s="192"/>
      <c r="S260" s="192"/>
    </row>
    <row r="261" spans="13:26" ht="20.100000000000001" customHeight="1" x14ac:dyDescent="0.25">
      <c r="M261" s="189" t="s">
        <v>35</v>
      </c>
      <c r="N261" s="189"/>
      <c r="O261" s="189"/>
      <c r="P261" s="189"/>
      <c r="Q261" s="201">
        <f>Q250/Q249</f>
        <v>6.8838473502010611E-2</v>
      </c>
      <c r="R261" s="201"/>
      <c r="S261" s="201"/>
    </row>
    <row r="264" spans="13:26" ht="20.100000000000001" customHeight="1" x14ac:dyDescent="0.25">
      <c r="X264" s="46" t="s">
        <v>44</v>
      </c>
      <c r="Y264" s="46" t="s">
        <v>45</v>
      </c>
      <c r="Z264" s="46" t="s">
        <v>36</v>
      </c>
    </row>
    <row r="265" spans="13:26" ht="20.100000000000001" customHeight="1" x14ac:dyDescent="0.25">
      <c r="X265" s="47">
        <f>$Q$253</f>
        <v>490.80330107486105</v>
      </c>
      <c r="Y265" s="47">
        <f>$Q$252</f>
        <v>613.22050844894852</v>
      </c>
      <c r="Z265" s="47">
        <f>$Q$249</f>
        <v>552.01190476190482</v>
      </c>
    </row>
    <row r="266" spans="13:26" ht="20.100000000000001" customHeight="1" x14ac:dyDescent="0.25">
      <c r="X266" s="47">
        <f>$Q$253</f>
        <v>490.80330107486105</v>
      </c>
      <c r="Y266" s="47">
        <f>$Q$252</f>
        <v>613.22050844894852</v>
      </c>
      <c r="Z266" s="47">
        <f>$Q$249</f>
        <v>552.01190476190482</v>
      </c>
    </row>
    <row r="267" spans="13:26" ht="20.100000000000001" customHeight="1" x14ac:dyDescent="0.25">
      <c r="X267" s="47">
        <f>$Q$253</f>
        <v>490.80330107486105</v>
      </c>
      <c r="Y267" s="47">
        <f>$Q$252</f>
        <v>613.22050844894852</v>
      </c>
      <c r="Z267" s="47">
        <f>$Q$249</f>
        <v>552.01190476190482</v>
      </c>
    </row>
    <row r="268" spans="13:26" ht="20.100000000000001" customHeight="1" x14ac:dyDescent="0.25">
      <c r="X268" s="47">
        <f>$Q$253</f>
        <v>490.80330107486105</v>
      </c>
      <c r="Y268" s="47">
        <f>$Q$252</f>
        <v>613.22050844894852</v>
      </c>
      <c r="Z268" s="47">
        <f>$Q$249</f>
        <v>552.01190476190482</v>
      </c>
    </row>
    <row r="269" spans="13:26" ht="20.100000000000001" customHeight="1" x14ac:dyDescent="0.25">
      <c r="X269" s="47">
        <f>$Q$253</f>
        <v>490.80330107486105</v>
      </c>
      <c r="Y269" s="47">
        <f>$Q$252</f>
        <v>613.22050844894852</v>
      </c>
      <c r="Z269" s="47">
        <f>$Q$249</f>
        <v>552.01190476190482</v>
      </c>
    </row>
    <row r="270" spans="13:26" ht="20.100000000000001" customHeight="1" x14ac:dyDescent="0.25">
      <c r="X270" s="47"/>
      <c r="Y270" s="47"/>
      <c r="Z270" s="47"/>
    </row>
    <row r="271" spans="13:26" ht="20.100000000000001" customHeight="1" x14ac:dyDescent="0.25">
      <c r="X271" s="47"/>
      <c r="Y271" s="47"/>
      <c r="Z271" s="47"/>
    </row>
    <row r="281" spans="1:28" ht="20.100000000000001" customHeight="1" x14ac:dyDescent="0.25">
      <c r="A281" s="187" t="s">
        <v>57</v>
      </c>
      <c r="B281" s="187"/>
      <c r="C281" s="187"/>
      <c r="D281" s="187"/>
      <c r="E281" s="187"/>
      <c r="F281" s="187"/>
      <c r="G281" s="187"/>
      <c r="H281" s="187" t="s">
        <v>36</v>
      </c>
      <c r="I281" s="187"/>
      <c r="J281" s="187"/>
      <c r="K281" s="187"/>
      <c r="L281" s="187" t="s">
        <v>37</v>
      </c>
      <c r="M281" s="187"/>
      <c r="N281" s="187"/>
      <c r="O281" s="187"/>
      <c r="P281" s="187" t="s">
        <v>35</v>
      </c>
      <c r="Q281" s="187"/>
      <c r="R281" s="187"/>
      <c r="S281" s="187"/>
    </row>
    <row r="282" spans="1:28" ht="20.100000000000001" customHeight="1" x14ac:dyDescent="0.25">
      <c r="A282" s="170" t="s">
        <v>58</v>
      </c>
      <c r="B282" s="170"/>
      <c r="C282" s="170"/>
      <c r="D282" s="170"/>
      <c r="E282" s="170"/>
      <c r="F282" s="170"/>
      <c r="G282" s="170"/>
      <c r="H282" s="200">
        <f>Q174</f>
        <v>552.01190476190482</v>
      </c>
      <c r="I282" s="200"/>
      <c r="J282" s="200"/>
      <c r="K282" s="200"/>
      <c r="L282" s="200">
        <f>Q183</f>
        <v>37.999656878746791</v>
      </c>
      <c r="M282" s="200"/>
      <c r="N282" s="200"/>
      <c r="O282" s="200"/>
      <c r="P282" s="188">
        <f>Q184</f>
        <v>6.8838473502010611E-2</v>
      </c>
      <c r="Q282" s="188"/>
      <c r="R282" s="188"/>
      <c r="S282" s="188"/>
      <c r="Y282" s="107">
        <f>P282</f>
        <v>6.8838473502010611E-2</v>
      </c>
      <c r="Z282" s="46" t="str">
        <f>A282</f>
        <v>Intervalo em torno da média</v>
      </c>
      <c r="AA282" s="47">
        <f>H282</f>
        <v>552.01190476190482</v>
      </c>
      <c r="AB282" s="47">
        <f>L282</f>
        <v>37.999656878746791</v>
      </c>
    </row>
    <row r="283" spans="1:28" ht="20.100000000000001" customHeight="1" x14ac:dyDescent="0.25">
      <c r="A283" s="189" t="s">
        <v>59</v>
      </c>
      <c r="B283" s="189"/>
      <c r="C283" s="189"/>
      <c r="D283" s="189"/>
      <c r="E283" s="189"/>
      <c r="F283" s="189"/>
      <c r="G283" s="189"/>
      <c r="H283" s="191">
        <f>Q209</f>
        <v>552.01190476190482</v>
      </c>
      <c r="I283" s="191"/>
      <c r="J283" s="191"/>
      <c r="K283" s="191"/>
      <c r="L283" s="191">
        <f>Q210</f>
        <v>37.999656878746791</v>
      </c>
      <c r="M283" s="191"/>
      <c r="N283" s="191"/>
      <c r="O283" s="191"/>
      <c r="P283" s="229">
        <f>Q221</f>
        <v>6.8838473502010611E-2</v>
      </c>
      <c r="Q283" s="229"/>
      <c r="R283" s="229"/>
      <c r="S283" s="229"/>
      <c r="Y283" s="107">
        <f>P283</f>
        <v>6.8838473502010611E-2</v>
      </c>
      <c r="Z283" s="46" t="str">
        <f>A283</f>
        <v>Critério de Chauvenet</v>
      </c>
      <c r="AA283" s="47">
        <f>H283</f>
        <v>552.01190476190482</v>
      </c>
      <c r="AB283" s="47">
        <f>L283</f>
        <v>37.999656878746791</v>
      </c>
    </row>
    <row r="284" spans="1:28" ht="20.100000000000001" customHeight="1" x14ac:dyDescent="0.25">
      <c r="A284" s="189" t="s">
        <v>60</v>
      </c>
      <c r="B284" s="189"/>
      <c r="C284" s="189"/>
      <c r="D284" s="189"/>
      <c r="E284" s="189"/>
      <c r="F284" s="189"/>
      <c r="G284" s="189"/>
      <c r="H284" s="191">
        <f>Q249</f>
        <v>552.01190476190482</v>
      </c>
      <c r="I284" s="191"/>
      <c r="J284" s="191"/>
      <c r="K284" s="191"/>
      <c r="L284" s="191">
        <f>Q260</f>
        <v>37.999656878746791</v>
      </c>
      <c r="M284" s="191"/>
      <c r="N284" s="191"/>
      <c r="O284" s="191"/>
      <c r="P284" s="229">
        <f>Q261</f>
        <v>6.8838473502010611E-2</v>
      </c>
      <c r="Q284" s="229"/>
      <c r="R284" s="229"/>
      <c r="S284" s="229"/>
      <c r="Y284" s="107">
        <f>P284</f>
        <v>6.8838473502010611E-2</v>
      </c>
      <c r="Z284" s="46" t="str">
        <f>A284</f>
        <v>Critério de Arley</v>
      </c>
      <c r="AA284" s="47">
        <f>H284</f>
        <v>552.01190476190482</v>
      </c>
      <c r="AB284" s="47">
        <f>L284</f>
        <v>37.999656878746791</v>
      </c>
    </row>
    <row r="286" spans="1:28" ht="20.100000000000001" customHeight="1" x14ac:dyDescent="0.25">
      <c r="A286" s="157" t="s">
        <v>61</v>
      </c>
      <c r="B286" s="157"/>
      <c r="C286" s="157"/>
      <c r="D286" s="157"/>
      <c r="E286" s="157"/>
      <c r="F286" s="157"/>
      <c r="G286" s="157"/>
      <c r="H286" s="206">
        <f>MIN(P282:S284)</f>
        <v>6.8838473502010611E-2</v>
      </c>
      <c r="I286" s="206"/>
      <c r="J286" s="206"/>
      <c r="K286" s="206"/>
      <c r="L286" s="206"/>
      <c r="M286" s="206"/>
    </row>
    <row r="287" spans="1:28" ht="20.100000000000001" customHeight="1" x14ac:dyDescent="0.25">
      <c r="A287" s="189" t="s">
        <v>62</v>
      </c>
      <c r="B287" s="189"/>
      <c r="C287" s="189"/>
      <c r="D287" s="189"/>
      <c r="E287" s="189"/>
      <c r="F287" s="189"/>
      <c r="G287" s="189"/>
      <c r="H287" s="186" t="str">
        <f>VLOOKUP(H286,Y282:AA284,2,0)</f>
        <v>Intervalo em torno da média</v>
      </c>
      <c r="I287" s="186"/>
      <c r="J287" s="186"/>
      <c r="K287" s="186"/>
      <c r="L287" s="186"/>
      <c r="M287" s="186"/>
    </row>
    <row r="288" spans="1:28" ht="20.100000000000001" customHeight="1" x14ac:dyDescent="0.25">
      <c r="A288" s="189" t="s">
        <v>63</v>
      </c>
      <c r="B288" s="189"/>
      <c r="C288" s="189"/>
      <c r="D288" s="189"/>
      <c r="E288" s="189"/>
      <c r="F288" s="189"/>
      <c r="G288" s="189"/>
      <c r="H288" s="191">
        <f>VLOOKUP(H286,Y282:AA284,3,0)</f>
        <v>552.01190476190482</v>
      </c>
      <c r="I288" s="191"/>
      <c r="J288" s="191"/>
      <c r="K288" s="191"/>
      <c r="L288" s="191"/>
      <c r="M288" s="191"/>
    </row>
    <row r="289" spans="1:22" ht="20.100000000000001" customHeight="1" x14ac:dyDescent="0.25">
      <c r="A289" s="189" t="s">
        <v>70</v>
      </c>
      <c r="B289" s="189"/>
      <c r="C289" s="189"/>
      <c r="D289" s="189"/>
      <c r="E289" s="189"/>
      <c r="F289" s="189"/>
      <c r="G289" s="189"/>
      <c r="H289" s="191">
        <f>VLOOKUP(H286,Y282:AB284,4,0)</f>
        <v>37.999656878746791</v>
      </c>
      <c r="I289" s="191"/>
      <c r="J289" s="191"/>
      <c r="K289" s="191"/>
      <c r="L289" s="191"/>
      <c r="M289" s="191"/>
    </row>
    <row r="292" spans="1:22" ht="20.100000000000001" customHeight="1" x14ac:dyDescent="0.25">
      <c r="A292" s="225" t="s">
        <v>495</v>
      </c>
      <c r="B292" s="225"/>
      <c r="C292" s="225"/>
      <c r="D292" s="225"/>
      <c r="E292" s="225"/>
      <c r="F292" s="225"/>
      <c r="G292" s="225"/>
      <c r="H292" s="225"/>
      <c r="I292" s="225"/>
      <c r="J292" s="225"/>
      <c r="K292" s="225"/>
      <c r="L292" s="225"/>
      <c r="M292" s="225"/>
      <c r="N292" s="225"/>
      <c r="O292" s="225"/>
      <c r="P292" s="225"/>
      <c r="Q292" s="225"/>
      <c r="R292" s="225"/>
      <c r="S292" s="225"/>
    </row>
    <row r="294" spans="1:22" ht="60" customHeight="1" x14ac:dyDescent="0.25">
      <c r="A294" s="165" t="s">
        <v>245</v>
      </c>
      <c r="B294" s="165"/>
      <c r="C294" s="165"/>
      <c r="D294" s="165"/>
      <c r="E294" s="165"/>
      <c r="F294" s="165"/>
      <c r="G294" s="165"/>
      <c r="H294" s="165"/>
      <c r="I294" s="165"/>
      <c r="J294" s="165"/>
      <c r="K294" s="165"/>
      <c r="L294" s="165"/>
      <c r="M294" s="165"/>
      <c r="N294" s="165"/>
      <c r="O294" s="165"/>
      <c r="P294" s="165"/>
      <c r="Q294" s="165"/>
      <c r="R294" s="165"/>
      <c r="S294" s="165"/>
    </row>
    <row r="296" spans="1:22" ht="20.100000000000001" customHeight="1" x14ac:dyDescent="0.25">
      <c r="A296" s="157" t="s">
        <v>36</v>
      </c>
      <c r="B296" s="157"/>
      <c r="C296" s="157"/>
      <c r="D296" s="157"/>
      <c r="E296" s="157"/>
      <c r="F296" s="162">
        <f>H288</f>
        <v>552.01190476190482</v>
      </c>
      <c r="G296" s="192"/>
      <c r="H296" s="192"/>
      <c r="I296" s="192"/>
    </row>
    <row r="297" spans="1:22" ht="20.100000000000001" customHeight="1" x14ac:dyDescent="0.25">
      <c r="A297" s="189" t="s">
        <v>37</v>
      </c>
      <c r="B297" s="189"/>
      <c r="C297" s="189"/>
      <c r="D297" s="189"/>
      <c r="E297" s="189"/>
      <c r="F297" s="193">
        <f>H289</f>
        <v>37.999656878746791</v>
      </c>
      <c r="G297" s="186"/>
      <c r="H297" s="186"/>
      <c r="I297" s="186"/>
    </row>
    <row r="298" spans="1:22" ht="20.100000000000001" customHeight="1" x14ac:dyDescent="0.25">
      <c r="A298" s="189" t="s">
        <v>247</v>
      </c>
      <c r="B298" s="189"/>
      <c r="C298" s="189"/>
      <c r="D298" s="189"/>
      <c r="E298" s="189"/>
      <c r="F298" s="233">
        <v>5</v>
      </c>
      <c r="G298" s="233"/>
      <c r="H298" s="233"/>
      <c r="I298" s="233"/>
      <c r="T298" s="204" t="s">
        <v>250</v>
      </c>
      <c r="U298" s="204"/>
      <c r="V298" s="204"/>
    </row>
    <row r="299" spans="1:22" ht="20.100000000000001" customHeight="1" x14ac:dyDescent="0.25">
      <c r="A299" s="189" t="s">
        <v>69</v>
      </c>
      <c r="B299" s="189"/>
      <c r="C299" s="189"/>
      <c r="D299" s="189"/>
      <c r="E299" s="189"/>
      <c r="F299" s="234">
        <v>0.8</v>
      </c>
      <c r="G299" s="234"/>
      <c r="H299" s="234"/>
      <c r="I299" s="234"/>
    </row>
    <row r="300" spans="1:22" ht="20.100000000000001" customHeight="1" x14ac:dyDescent="0.25">
      <c r="A300" s="189" t="s">
        <v>424</v>
      </c>
      <c r="B300" s="189"/>
      <c r="C300" s="189"/>
      <c r="D300" s="189"/>
      <c r="E300" s="189"/>
      <c r="F300" s="190">
        <f>_xlfn.T.INV.2T(1-F299,F298-1)</f>
        <v>1.5332062740589445</v>
      </c>
      <c r="G300" s="190"/>
      <c r="H300" s="190"/>
      <c r="I300" s="190"/>
    </row>
    <row r="301" spans="1:22" ht="20.100000000000001" customHeight="1" x14ac:dyDescent="0.25">
      <c r="A301" s="170"/>
      <c r="B301" s="170"/>
      <c r="C301" s="170"/>
      <c r="D301" s="170"/>
      <c r="E301" s="170"/>
      <c r="F301" s="171"/>
      <c r="G301" s="171"/>
      <c r="H301" s="171"/>
      <c r="I301" s="171"/>
    </row>
    <row r="302" spans="1:22" ht="20.100000000000001" customHeight="1" x14ac:dyDescent="0.25">
      <c r="A302" s="170"/>
      <c r="B302" s="170"/>
      <c r="C302" s="170"/>
      <c r="D302" s="170"/>
      <c r="E302" s="170"/>
      <c r="F302" s="171"/>
      <c r="G302" s="171"/>
      <c r="H302" s="171"/>
      <c r="I302" s="171"/>
    </row>
    <row r="303" spans="1:22" ht="20.100000000000001" customHeight="1" x14ac:dyDescent="0.25">
      <c r="A303" s="177" t="s">
        <v>69</v>
      </c>
      <c r="B303" s="177"/>
      <c r="C303" s="177"/>
      <c r="D303" s="177"/>
      <c r="E303" s="177"/>
      <c r="F303" s="177"/>
      <c r="G303" s="177"/>
      <c r="H303" s="177"/>
      <c r="I303" s="177"/>
      <c r="J303" s="177"/>
      <c r="K303" s="177"/>
      <c r="L303" s="177"/>
      <c r="M303" s="177"/>
      <c r="N303" s="177"/>
      <c r="O303" s="177"/>
      <c r="P303" s="177"/>
      <c r="Q303" s="177"/>
      <c r="R303" s="177"/>
      <c r="S303" s="177"/>
    </row>
    <row r="305" spans="1:67" ht="20.100000000000001" customHeight="1" x14ac:dyDescent="0.25">
      <c r="A305" s="157" t="s">
        <v>44</v>
      </c>
      <c r="B305" s="157"/>
      <c r="C305" s="157"/>
      <c r="D305" s="157"/>
      <c r="E305" s="157"/>
      <c r="F305" s="162">
        <f>F296-(_xlfn.CONFIDENCE.T(1-F299,F297,F298))</f>
        <v>525.95665379242166</v>
      </c>
      <c r="G305" s="192"/>
      <c r="H305" s="192"/>
      <c r="I305" s="192"/>
      <c r="L305" s="157" t="s">
        <v>71</v>
      </c>
      <c r="M305" s="157"/>
      <c r="N305" s="157"/>
      <c r="O305" s="157"/>
      <c r="P305" s="162">
        <f>F306-F305</f>
        <v>52.110501938966308</v>
      </c>
      <c r="Q305" s="192"/>
      <c r="R305" s="192"/>
      <c r="S305" s="192"/>
    </row>
    <row r="306" spans="1:67" ht="20.100000000000001" customHeight="1" x14ac:dyDescent="0.25">
      <c r="A306" s="157" t="s">
        <v>45</v>
      </c>
      <c r="B306" s="157"/>
      <c r="C306" s="157"/>
      <c r="D306" s="157"/>
      <c r="E306" s="157"/>
      <c r="F306" s="162">
        <f>F296+(_xlfn.CONFIDENCE.T(1-F299,F297,F298))</f>
        <v>578.06715573138797</v>
      </c>
      <c r="G306" s="192"/>
      <c r="H306" s="192"/>
      <c r="I306" s="192"/>
      <c r="L306" s="157" t="s">
        <v>36</v>
      </c>
      <c r="M306" s="157"/>
      <c r="N306" s="157"/>
      <c r="O306" s="157"/>
      <c r="P306" s="162">
        <f>F296</f>
        <v>552.01190476190482</v>
      </c>
      <c r="Q306" s="192"/>
      <c r="R306" s="192"/>
      <c r="S306" s="192"/>
    </row>
    <row r="307" spans="1:67" ht="20.100000000000001" customHeight="1" x14ac:dyDescent="0.25">
      <c r="L307" s="157" t="s">
        <v>72</v>
      </c>
      <c r="M307" s="157"/>
      <c r="N307" s="157"/>
      <c r="O307" s="157"/>
      <c r="P307" s="235">
        <f>P305/P306</f>
        <v>9.4401047313359562E-2</v>
      </c>
      <c r="Q307" s="235"/>
      <c r="R307" s="235"/>
      <c r="S307" s="235"/>
    </row>
    <row r="309" spans="1:67" ht="20.100000000000001" customHeight="1" x14ac:dyDescent="0.25">
      <c r="A309" s="169" t="str" cm="1">
        <f t="array" ref="A309">_xlfn.IFS(P307&lt;=0.3,X314,AND(P307&gt;0.3,P307&lt;=0.4),X315,AND(P307&gt;0.4,P307&lt;=0.5),X316,P307&gt;0.5,X317)</f>
        <v>O grau de precisão calculado foi inferior a 30% (trinta por cento); em razão disso, o laudo atingiu o grau de fundamentação III, máximo previsto na tabela 5 do item 9.2.3 da NBR 14653-2:2011 (Avaliação de bens. Parte 2: Imóveis urbanos).</v>
      </c>
      <c r="B309" s="169"/>
      <c r="C309" s="169"/>
      <c r="D309" s="169"/>
      <c r="E309" s="169"/>
      <c r="F309" s="169"/>
      <c r="G309" s="169"/>
      <c r="H309" s="169"/>
      <c r="I309" s="169"/>
      <c r="J309" s="169"/>
      <c r="K309" s="169"/>
      <c r="L309" s="169"/>
      <c r="M309" s="169"/>
      <c r="N309" s="169"/>
      <c r="O309" s="169"/>
      <c r="P309" s="169"/>
      <c r="Q309" s="169"/>
      <c r="R309" s="169"/>
      <c r="S309" s="169"/>
    </row>
    <row r="310" spans="1:67" ht="20.100000000000001" customHeight="1" x14ac:dyDescent="0.25">
      <c r="A310" s="169"/>
      <c r="B310" s="169"/>
      <c r="C310" s="169"/>
      <c r="D310" s="169"/>
      <c r="E310" s="169"/>
      <c r="F310" s="169"/>
      <c r="G310" s="169"/>
      <c r="H310" s="169"/>
      <c r="I310" s="169"/>
      <c r="J310" s="169"/>
      <c r="K310" s="169"/>
      <c r="L310" s="169"/>
      <c r="M310" s="169"/>
      <c r="N310" s="169"/>
      <c r="O310" s="169"/>
      <c r="P310" s="169"/>
      <c r="Q310" s="169"/>
      <c r="R310" s="169"/>
      <c r="S310" s="169"/>
    </row>
    <row r="311" spans="1:67" ht="20.100000000000001" customHeight="1" x14ac:dyDescent="0.25">
      <c r="A311" s="27"/>
      <c r="B311" s="27"/>
      <c r="C311" s="27"/>
      <c r="D311" s="27"/>
      <c r="E311" s="27"/>
      <c r="F311" s="27"/>
      <c r="G311" s="27"/>
      <c r="H311" s="27"/>
      <c r="I311" s="27"/>
      <c r="J311" s="27"/>
      <c r="K311" s="27"/>
      <c r="L311" s="27"/>
      <c r="M311" s="27"/>
      <c r="N311" s="27"/>
      <c r="O311" s="27"/>
      <c r="P311" s="27"/>
      <c r="Q311" s="27"/>
      <c r="R311" s="27"/>
      <c r="S311" s="27"/>
    </row>
    <row r="312" spans="1:67" ht="20.100000000000001" customHeight="1" x14ac:dyDescent="0.25">
      <c r="A312" s="207" t="s">
        <v>425</v>
      </c>
      <c r="B312" s="207"/>
      <c r="C312" s="207"/>
      <c r="D312" s="207"/>
      <c r="E312" s="207"/>
      <c r="F312" s="207"/>
      <c r="G312" s="207"/>
      <c r="H312" s="207"/>
      <c r="I312" s="207"/>
      <c r="J312" s="207"/>
      <c r="K312" s="207"/>
      <c r="L312" s="207"/>
      <c r="M312" s="207"/>
      <c r="N312" s="207"/>
      <c r="O312" s="207"/>
      <c r="P312" s="207"/>
      <c r="Q312" s="207"/>
      <c r="R312" s="207"/>
      <c r="S312" s="207"/>
    </row>
    <row r="313" spans="1:67" ht="20.100000000000001" customHeight="1" x14ac:dyDescent="0.25">
      <c r="A313" s="207"/>
      <c r="B313" s="207"/>
      <c r="C313" s="207"/>
      <c r="D313" s="207"/>
      <c r="E313" s="207"/>
      <c r="F313" s="207"/>
      <c r="G313" s="207"/>
      <c r="H313" s="207"/>
      <c r="I313" s="207"/>
      <c r="J313" s="207"/>
      <c r="K313" s="207"/>
      <c r="L313" s="207"/>
      <c r="M313" s="207"/>
      <c r="N313" s="207"/>
      <c r="O313" s="207"/>
      <c r="P313" s="207"/>
      <c r="Q313" s="207"/>
      <c r="R313" s="207"/>
      <c r="S313" s="207"/>
    </row>
    <row r="314" spans="1:67" ht="20.100000000000001" customHeight="1" x14ac:dyDescent="0.25">
      <c r="A314" s="195" t="s">
        <v>90</v>
      </c>
      <c r="B314" s="195"/>
      <c r="C314" s="195"/>
      <c r="D314" s="195"/>
      <c r="E314" s="195"/>
      <c r="F314" s="195"/>
      <c r="G314" s="195"/>
      <c r="H314" s="195"/>
      <c r="I314" s="195"/>
      <c r="J314" s="195"/>
      <c r="K314" s="195"/>
      <c r="L314" s="195"/>
      <c r="M314" s="195"/>
      <c r="N314" s="195"/>
      <c r="O314" s="195"/>
      <c r="P314" s="195"/>
      <c r="Q314" s="195"/>
      <c r="R314" s="195"/>
      <c r="S314" s="195"/>
      <c r="X314" s="202" t="s">
        <v>100</v>
      </c>
      <c r="Y314" s="202"/>
      <c r="Z314" s="202"/>
      <c r="AA314" s="202"/>
      <c r="AB314" s="202"/>
      <c r="AC314" s="202"/>
      <c r="AD314" s="202"/>
      <c r="AE314" s="202"/>
      <c r="AF314" s="202"/>
      <c r="AG314" s="202"/>
      <c r="AH314" s="202"/>
      <c r="AI314" s="202"/>
      <c r="AJ314" s="202"/>
      <c r="AK314" s="202"/>
      <c r="AL314" s="202"/>
      <c r="AM314" s="202"/>
      <c r="AN314" s="202"/>
      <c r="AO314" s="202"/>
      <c r="AP314" s="202"/>
      <c r="AQ314" s="202"/>
      <c r="AR314" s="202"/>
      <c r="AS314" s="202"/>
      <c r="AT314" s="202"/>
      <c r="AU314" s="202"/>
      <c r="AV314" s="202"/>
      <c r="AW314" s="202"/>
      <c r="AX314" s="202"/>
      <c r="AY314" s="202"/>
      <c r="AZ314" s="202"/>
      <c r="BA314" s="202"/>
      <c r="BB314" s="202"/>
      <c r="BC314" s="202"/>
      <c r="BD314" s="202"/>
      <c r="BE314" s="202"/>
      <c r="BF314" s="202"/>
      <c r="BG314" s="202"/>
      <c r="BH314" s="202"/>
      <c r="BI314" s="202"/>
      <c r="BJ314" s="202"/>
      <c r="BK314" s="202"/>
      <c r="BL314" s="202"/>
      <c r="BM314" s="202"/>
      <c r="BN314" s="202"/>
      <c r="BO314" s="202"/>
    </row>
    <row r="315" spans="1:67" ht="20.100000000000001" customHeight="1" x14ac:dyDescent="0.25">
      <c r="A315" s="195"/>
      <c r="B315" s="195"/>
      <c r="C315" s="195"/>
      <c r="D315" s="195"/>
      <c r="E315" s="195"/>
      <c r="F315" s="195"/>
      <c r="G315" s="195"/>
      <c r="H315" s="195"/>
      <c r="I315" s="195"/>
      <c r="J315" s="195"/>
      <c r="K315" s="195"/>
      <c r="L315" s="195"/>
      <c r="M315" s="195"/>
      <c r="N315" s="195"/>
      <c r="O315" s="195"/>
      <c r="P315" s="195"/>
      <c r="Q315" s="195"/>
      <c r="R315" s="195"/>
      <c r="S315" s="195"/>
      <c r="X315" s="202" t="s">
        <v>101</v>
      </c>
      <c r="Y315" s="202"/>
      <c r="Z315" s="202"/>
      <c r="AA315" s="202"/>
      <c r="AB315" s="202"/>
      <c r="AC315" s="202"/>
      <c r="AD315" s="202"/>
      <c r="AE315" s="202"/>
      <c r="AF315" s="202"/>
      <c r="AG315" s="202"/>
      <c r="AH315" s="202"/>
      <c r="AI315" s="202"/>
      <c r="AJ315" s="202"/>
      <c r="AK315" s="202"/>
      <c r="AL315" s="202"/>
      <c r="AM315" s="202"/>
      <c r="AN315" s="202"/>
      <c r="AO315" s="202"/>
      <c r="AP315" s="202"/>
      <c r="AQ315" s="202"/>
      <c r="AR315" s="202"/>
      <c r="AS315" s="202"/>
      <c r="AT315" s="202"/>
      <c r="AU315" s="202"/>
      <c r="AV315" s="202"/>
      <c r="AW315" s="202"/>
      <c r="AX315" s="202"/>
      <c r="AY315" s="202"/>
      <c r="AZ315" s="202"/>
      <c r="BA315" s="202"/>
      <c r="BB315" s="202"/>
      <c r="BC315" s="202"/>
      <c r="BD315" s="202"/>
      <c r="BE315" s="202"/>
      <c r="BF315" s="202"/>
      <c r="BG315" s="202"/>
      <c r="BH315" s="202"/>
      <c r="BI315" s="202"/>
      <c r="BJ315" s="202"/>
      <c r="BK315" s="202"/>
      <c r="BL315" s="202"/>
      <c r="BM315" s="202"/>
      <c r="BN315" s="202"/>
      <c r="BO315" s="202"/>
    </row>
    <row r="316" spans="1:67" ht="20.100000000000001" customHeight="1" x14ac:dyDescent="0.25">
      <c r="A316" s="203" t="s">
        <v>87</v>
      </c>
      <c r="B316" s="203"/>
      <c r="C316" s="203"/>
      <c r="D316" s="203"/>
      <c r="E316" s="203"/>
      <c r="F316" s="203"/>
      <c r="G316" s="203"/>
      <c r="H316" s="203" t="s">
        <v>88</v>
      </c>
      <c r="I316" s="203"/>
      <c r="J316" s="203"/>
      <c r="K316" s="203"/>
      <c r="L316" s="203"/>
      <c r="M316" s="203"/>
      <c r="N316" s="203"/>
      <c r="O316" s="203"/>
      <c r="P316" s="203"/>
      <c r="Q316" s="203"/>
      <c r="R316" s="203"/>
      <c r="S316" s="203"/>
      <c r="X316" s="202" t="s">
        <v>102</v>
      </c>
      <c r="Y316" s="202"/>
      <c r="Z316" s="202"/>
      <c r="AA316" s="202"/>
      <c r="AB316" s="202"/>
      <c r="AC316" s="202"/>
      <c r="AD316" s="202"/>
      <c r="AE316" s="202"/>
      <c r="AF316" s="202"/>
      <c r="AG316" s="202"/>
      <c r="AH316" s="202"/>
      <c r="AI316" s="202"/>
      <c r="AJ316" s="202"/>
      <c r="AK316" s="202"/>
      <c r="AL316" s="202"/>
      <c r="AM316" s="202"/>
      <c r="AN316" s="202"/>
      <c r="AO316" s="202"/>
      <c r="AP316" s="202"/>
      <c r="AQ316" s="202"/>
      <c r="AR316" s="202"/>
      <c r="AS316" s="202"/>
      <c r="AT316" s="202"/>
      <c r="AU316" s="202"/>
      <c r="AV316" s="202"/>
      <c r="AW316" s="202"/>
      <c r="AX316" s="202"/>
      <c r="AY316" s="202"/>
      <c r="AZ316" s="202"/>
      <c r="BA316" s="202"/>
      <c r="BB316" s="202"/>
      <c r="BC316" s="202"/>
      <c r="BD316" s="202"/>
      <c r="BE316" s="202"/>
      <c r="BF316" s="202"/>
      <c r="BG316" s="202"/>
      <c r="BH316" s="202"/>
      <c r="BI316" s="202"/>
      <c r="BJ316" s="202"/>
      <c r="BK316" s="202"/>
      <c r="BL316" s="202"/>
      <c r="BM316" s="202"/>
      <c r="BN316" s="202"/>
      <c r="BO316" s="202"/>
    </row>
    <row r="317" spans="1:67" ht="20.100000000000001" customHeight="1" x14ac:dyDescent="0.25">
      <c r="A317" s="203"/>
      <c r="B317" s="203"/>
      <c r="C317" s="203"/>
      <c r="D317" s="203"/>
      <c r="E317" s="203"/>
      <c r="F317" s="203"/>
      <c r="G317" s="203"/>
      <c r="H317" s="203" t="s">
        <v>91</v>
      </c>
      <c r="I317" s="203"/>
      <c r="J317" s="203"/>
      <c r="K317" s="203"/>
      <c r="L317" s="203" t="s">
        <v>92</v>
      </c>
      <c r="M317" s="203"/>
      <c r="N317" s="203"/>
      <c r="O317" s="203"/>
      <c r="P317" s="203" t="s">
        <v>82</v>
      </c>
      <c r="Q317" s="203"/>
      <c r="R317" s="203"/>
      <c r="S317" s="203"/>
      <c r="X317" s="202" t="s">
        <v>251</v>
      </c>
      <c r="Y317" s="202"/>
      <c r="Z317" s="202"/>
      <c r="AA317" s="202"/>
      <c r="AB317" s="202"/>
      <c r="AC317" s="202"/>
      <c r="AD317" s="202"/>
      <c r="AE317" s="202"/>
      <c r="AF317" s="202"/>
      <c r="AG317" s="202"/>
      <c r="AH317" s="202"/>
      <c r="AI317" s="202"/>
      <c r="AJ317" s="202"/>
      <c r="AK317" s="202"/>
      <c r="AL317" s="202"/>
      <c r="AM317" s="202"/>
      <c r="AN317" s="202"/>
      <c r="AO317" s="202"/>
      <c r="AP317" s="202"/>
      <c r="AQ317" s="202"/>
      <c r="AR317" s="202"/>
      <c r="AS317" s="202"/>
      <c r="AT317" s="202"/>
      <c r="AU317" s="202"/>
      <c r="AV317" s="202"/>
      <c r="AW317" s="202"/>
      <c r="AX317" s="202"/>
      <c r="AY317" s="202"/>
      <c r="AZ317" s="202"/>
      <c r="BA317" s="202"/>
      <c r="BB317" s="202"/>
      <c r="BC317" s="202"/>
      <c r="BD317" s="202"/>
      <c r="BE317" s="202"/>
      <c r="BF317" s="202"/>
      <c r="BG317" s="202"/>
      <c r="BH317" s="202"/>
      <c r="BI317" s="202"/>
      <c r="BJ317" s="202"/>
      <c r="BK317" s="202"/>
      <c r="BL317" s="202"/>
      <c r="BM317" s="202"/>
      <c r="BN317" s="202"/>
      <c r="BO317" s="202"/>
    </row>
    <row r="318" spans="1:67" ht="20.100000000000001" customHeight="1" x14ac:dyDescent="0.25">
      <c r="A318" s="164" t="s">
        <v>89</v>
      </c>
      <c r="B318" s="164"/>
      <c r="C318" s="164"/>
      <c r="D318" s="164"/>
      <c r="E318" s="164"/>
      <c r="F318" s="164"/>
      <c r="G318" s="164"/>
      <c r="H318" s="163" t="s">
        <v>97</v>
      </c>
      <c r="I318" s="163"/>
      <c r="J318" s="163"/>
      <c r="K318" s="163"/>
      <c r="L318" s="163" t="s">
        <v>98</v>
      </c>
      <c r="M318" s="163"/>
      <c r="N318" s="163"/>
      <c r="O318" s="163"/>
      <c r="P318" s="163" t="s">
        <v>99</v>
      </c>
      <c r="Q318" s="163"/>
      <c r="R318" s="163"/>
      <c r="S318" s="163"/>
    </row>
    <row r="319" spans="1:67" ht="20.100000000000001" customHeight="1" x14ac:dyDescent="0.25">
      <c r="A319" s="164"/>
      <c r="B319" s="164"/>
      <c r="C319" s="164"/>
      <c r="D319" s="164"/>
      <c r="E319" s="164"/>
      <c r="F319" s="164"/>
      <c r="G319" s="164"/>
      <c r="H319" s="163"/>
      <c r="I319" s="163"/>
      <c r="J319" s="163"/>
      <c r="K319" s="163"/>
      <c r="L319" s="163"/>
      <c r="M319" s="163"/>
      <c r="N319" s="163"/>
      <c r="O319" s="163"/>
      <c r="P319" s="163"/>
      <c r="Q319" s="163"/>
      <c r="R319" s="163"/>
      <c r="S319" s="163"/>
    </row>
    <row r="322" spans="1:36" ht="20.100000000000001" customHeight="1" x14ac:dyDescent="0.25">
      <c r="A322" s="177" t="s">
        <v>96</v>
      </c>
      <c r="B322" s="177"/>
      <c r="C322" s="177"/>
      <c r="D322" s="177"/>
      <c r="E322" s="177"/>
      <c r="F322" s="177"/>
      <c r="G322" s="177"/>
      <c r="H322" s="177"/>
      <c r="I322" s="177"/>
      <c r="J322" s="177"/>
      <c r="K322" s="177"/>
      <c r="L322" s="177"/>
      <c r="M322" s="177"/>
      <c r="N322" s="177"/>
      <c r="O322" s="177"/>
      <c r="P322" s="177"/>
      <c r="Q322" s="177"/>
      <c r="R322" s="177"/>
      <c r="S322" s="177"/>
    </row>
    <row r="323" spans="1:36" ht="20.100000000000001" customHeight="1" x14ac:dyDescent="0.25">
      <c r="W323" s="108"/>
    </row>
    <row r="324" spans="1:36" ht="20.100000000000001" customHeight="1" x14ac:dyDescent="0.25">
      <c r="A324" s="157" t="s">
        <v>73</v>
      </c>
      <c r="B324" s="157"/>
      <c r="C324" s="157"/>
      <c r="D324" s="157"/>
      <c r="E324" s="157"/>
      <c r="F324" s="157"/>
      <c r="G324" s="157"/>
      <c r="H324" s="157"/>
      <c r="I324" s="157"/>
      <c r="J324" s="157"/>
      <c r="K324" s="157"/>
      <c r="L324" s="157"/>
      <c r="M324" s="157"/>
      <c r="N324" s="161">
        <v>320</v>
      </c>
      <c r="O324" s="161"/>
      <c r="P324" s="161"/>
      <c r="Q324" s="161"/>
      <c r="R324" s="161"/>
      <c r="S324" s="161"/>
      <c r="W324" s="108"/>
    </row>
    <row r="325" spans="1:36" ht="20.100000000000001" customHeight="1" x14ac:dyDescent="0.25">
      <c r="A325" s="157" t="s">
        <v>74</v>
      </c>
      <c r="B325" s="157"/>
      <c r="C325" s="157"/>
      <c r="D325" s="157"/>
      <c r="E325" s="157"/>
      <c r="F325" s="157"/>
      <c r="G325" s="157"/>
      <c r="H325" s="157"/>
      <c r="I325" s="157"/>
      <c r="J325" s="157"/>
      <c r="K325" s="157"/>
      <c r="L325" s="157"/>
      <c r="M325" s="157"/>
      <c r="N325" s="162">
        <f>F296</f>
        <v>552.01190476190482</v>
      </c>
      <c r="O325" s="162"/>
      <c r="P325" s="162"/>
      <c r="Q325" s="162"/>
      <c r="R325" s="162"/>
      <c r="S325" s="162"/>
    </row>
    <row r="326" spans="1:36" ht="20.100000000000001" customHeight="1" x14ac:dyDescent="0.25">
      <c r="A326" s="157" t="s">
        <v>96</v>
      </c>
      <c r="B326" s="157"/>
      <c r="C326" s="157"/>
      <c r="D326" s="157"/>
      <c r="E326" s="157"/>
      <c r="F326" s="157"/>
      <c r="G326" s="157"/>
      <c r="H326" s="157"/>
      <c r="I326" s="157"/>
      <c r="J326" s="157"/>
      <c r="K326" s="157"/>
      <c r="L326" s="157"/>
      <c r="M326" s="157"/>
      <c r="N326" s="162">
        <f>N324*N325</f>
        <v>176643.80952380953</v>
      </c>
      <c r="O326" s="162"/>
      <c r="P326" s="162"/>
      <c r="Q326" s="162"/>
      <c r="R326" s="162"/>
      <c r="S326" s="162"/>
      <c r="AB326" s="108"/>
    </row>
    <row r="327" spans="1:36" ht="20.100000000000001" customHeight="1" x14ac:dyDescent="0.25">
      <c r="AB327" s="108"/>
    </row>
    <row r="329" spans="1:36" s="48" customFormat="1" ht="20.100000000000001" customHeight="1" x14ac:dyDescent="0.25">
      <c r="A329" s="172" t="s">
        <v>362</v>
      </c>
      <c r="B329" s="172"/>
      <c r="C329" s="172"/>
      <c r="D329" s="172"/>
      <c r="E329" s="172"/>
      <c r="F329" s="172"/>
      <c r="G329" s="172"/>
      <c r="H329" s="172"/>
      <c r="I329" s="172"/>
      <c r="J329" s="172"/>
      <c r="K329" s="172"/>
      <c r="L329" s="172"/>
      <c r="M329" s="172"/>
      <c r="N329" s="172"/>
      <c r="O329" s="172"/>
      <c r="P329" s="172"/>
      <c r="Q329" s="172"/>
      <c r="R329" s="172"/>
      <c r="S329" s="172"/>
      <c r="T329" s="30"/>
      <c r="U329" s="30"/>
      <c r="V329" s="30"/>
      <c r="W329" s="49"/>
      <c r="X329" s="49"/>
      <c r="Y329" s="49"/>
      <c r="Z329" s="49"/>
      <c r="AA329" s="49"/>
      <c r="AB329" s="49"/>
      <c r="AC329" s="49"/>
      <c r="AD329" s="49"/>
      <c r="AE329" s="49"/>
      <c r="AF329" s="49"/>
      <c r="AG329" s="49"/>
      <c r="AI329" s="48" t="s">
        <v>363</v>
      </c>
      <c r="AJ329" s="48" t="s">
        <v>364</v>
      </c>
    </row>
    <row r="330" spans="1:36" s="48" customFormat="1" ht="20.100000000000001" customHeight="1" x14ac:dyDescent="0.25">
      <c r="A330" s="30"/>
      <c r="B330" s="30"/>
      <c r="C330" s="30"/>
      <c r="D330" s="30"/>
      <c r="E330" s="30"/>
      <c r="F330" s="30"/>
      <c r="G330" s="30"/>
      <c r="H330" s="30"/>
      <c r="I330" s="30"/>
      <c r="J330" s="30"/>
      <c r="K330" s="30"/>
      <c r="L330" s="30"/>
      <c r="M330" s="30"/>
      <c r="N330" s="30"/>
      <c r="O330" s="30"/>
      <c r="P330" s="30"/>
      <c r="Q330" s="30"/>
      <c r="R330" s="30"/>
      <c r="S330" s="30"/>
      <c r="T330" s="30"/>
      <c r="U330" s="30"/>
      <c r="V330" s="30"/>
      <c r="AI330" s="48" t="s">
        <v>365</v>
      </c>
      <c r="AJ330" s="48" t="s">
        <v>366</v>
      </c>
    </row>
    <row r="331" spans="1:36" s="48" customFormat="1" ht="20.100000000000001" customHeight="1" x14ac:dyDescent="0.25">
      <c r="A331" s="173" t="s">
        <v>367</v>
      </c>
      <c r="B331" s="173"/>
      <c r="C331" s="173"/>
      <c r="D331" s="173"/>
      <c r="E331" s="173"/>
      <c r="F331" s="173"/>
      <c r="G331" s="173"/>
      <c r="H331" s="173"/>
      <c r="I331" s="173"/>
      <c r="J331" s="173"/>
      <c r="K331" s="173"/>
      <c r="L331" s="173"/>
      <c r="M331" s="173"/>
      <c r="N331" s="173"/>
      <c r="O331" s="173"/>
      <c r="P331" s="173"/>
      <c r="Q331" s="173"/>
      <c r="R331" s="173"/>
      <c r="S331" s="173"/>
      <c r="T331" s="30"/>
      <c r="U331" s="30"/>
      <c r="V331" s="30"/>
      <c r="AI331" s="48" t="s">
        <v>368</v>
      </c>
      <c r="AJ331" s="48" t="s">
        <v>369</v>
      </c>
    </row>
    <row r="332" spans="1:36" s="48" customFormat="1" ht="20.100000000000001" customHeight="1" x14ac:dyDescent="0.25">
      <c r="A332" s="173"/>
      <c r="B332" s="173"/>
      <c r="C332" s="173"/>
      <c r="D332" s="173"/>
      <c r="E332" s="173"/>
      <c r="F332" s="173"/>
      <c r="G332" s="173"/>
      <c r="H332" s="173"/>
      <c r="I332" s="173"/>
      <c r="J332" s="173"/>
      <c r="K332" s="173"/>
      <c r="L332" s="173"/>
      <c r="M332" s="173"/>
      <c r="N332" s="173"/>
      <c r="O332" s="173"/>
      <c r="P332" s="173"/>
      <c r="Q332" s="173"/>
      <c r="R332" s="173"/>
      <c r="S332" s="173"/>
      <c r="T332" s="30"/>
      <c r="U332" s="30"/>
      <c r="V332" s="30"/>
      <c r="AI332" s="48" t="s">
        <v>370</v>
      </c>
    </row>
    <row r="333" spans="1:36" s="48" customFormat="1" ht="20.100000000000001" customHeight="1" x14ac:dyDescent="0.25">
      <c r="A333" s="173"/>
      <c r="B333" s="173"/>
      <c r="C333" s="173"/>
      <c r="D333" s="173"/>
      <c r="E333" s="173"/>
      <c r="F333" s="173"/>
      <c r="G333" s="173"/>
      <c r="H333" s="173"/>
      <c r="I333" s="173"/>
      <c r="J333" s="173"/>
      <c r="K333" s="173"/>
      <c r="L333" s="173"/>
      <c r="M333" s="173"/>
      <c r="N333" s="173"/>
      <c r="O333" s="173"/>
      <c r="P333" s="173"/>
      <c r="Q333" s="173"/>
      <c r="R333" s="173"/>
      <c r="S333" s="173"/>
      <c r="T333" s="30"/>
      <c r="U333" s="30"/>
      <c r="V333" s="30"/>
      <c r="AI333" s="48" t="s">
        <v>371</v>
      </c>
      <c r="AJ333" s="48" t="s">
        <v>372</v>
      </c>
    </row>
    <row r="334" spans="1:36" s="48" customFormat="1" ht="20.100000000000001" customHeight="1" x14ac:dyDescent="0.25">
      <c r="A334" s="173"/>
      <c r="B334" s="173"/>
      <c r="C334" s="173"/>
      <c r="D334" s="173"/>
      <c r="E334" s="173"/>
      <c r="F334" s="173"/>
      <c r="G334" s="173"/>
      <c r="H334" s="173"/>
      <c r="I334" s="173"/>
      <c r="J334" s="173"/>
      <c r="K334" s="173"/>
      <c r="L334" s="173"/>
      <c r="M334" s="173"/>
      <c r="N334" s="173"/>
      <c r="O334" s="173"/>
      <c r="P334" s="173"/>
      <c r="Q334" s="173"/>
      <c r="R334" s="173"/>
      <c r="S334" s="173"/>
      <c r="T334" s="30"/>
      <c r="U334" s="30"/>
      <c r="V334" s="30"/>
      <c r="AI334" s="48" t="s">
        <v>373</v>
      </c>
      <c r="AJ334" s="48" t="s">
        <v>374</v>
      </c>
    </row>
    <row r="335" spans="1:36" s="48" customFormat="1" ht="20.100000000000001" customHeight="1" x14ac:dyDescent="0.25">
      <c r="A335" s="30"/>
      <c r="B335" s="30"/>
      <c r="C335" s="30"/>
      <c r="D335" s="30"/>
      <c r="E335" s="30"/>
      <c r="F335" s="30"/>
      <c r="G335" s="30"/>
      <c r="H335" s="30"/>
      <c r="I335" s="30"/>
      <c r="J335" s="30"/>
      <c r="K335" s="30"/>
      <c r="L335" s="30"/>
      <c r="M335" s="30"/>
      <c r="N335" s="30"/>
      <c r="O335" s="30"/>
      <c r="P335" s="30"/>
      <c r="Q335" s="30"/>
      <c r="R335" s="30"/>
      <c r="S335" s="30"/>
      <c r="T335" s="30"/>
      <c r="U335" s="30"/>
      <c r="V335" s="30"/>
      <c r="AI335" s="48" t="s">
        <v>375</v>
      </c>
      <c r="AJ335" s="48" t="s">
        <v>376</v>
      </c>
    </row>
    <row r="336" spans="1:36" s="48" customFormat="1" ht="20.100000000000001" customHeight="1" x14ac:dyDescent="0.25">
      <c r="A336" s="174" t="s">
        <v>377</v>
      </c>
      <c r="B336" s="174"/>
      <c r="C336" s="174"/>
      <c r="D336" s="174"/>
      <c r="E336" s="175" t="s">
        <v>372</v>
      </c>
      <c r="F336" s="175"/>
      <c r="G336" s="175"/>
      <c r="H336" s="175"/>
      <c r="I336" s="175"/>
      <c r="J336" s="175"/>
      <c r="K336" s="174" t="s">
        <v>378</v>
      </c>
      <c r="L336" s="174"/>
      <c r="M336" s="174"/>
      <c r="N336" s="174"/>
      <c r="O336" s="174"/>
      <c r="P336" s="176" t="s">
        <v>366</v>
      </c>
      <c r="Q336" s="176"/>
      <c r="R336" s="176"/>
      <c r="S336" s="176"/>
      <c r="T336" s="30"/>
      <c r="U336" s="30"/>
      <c r="V336" s="30"/>
      <c r="AI336" s="48" t="s">
        <v>379</v>
      </c>
      <c r="AJ336" s="48" t="s">
        <v>64</v>
      </c>
    </row>
    <row r="337" spans="1:35" s="48" customFormat="1" ht="20.100000000000001" customHeight="1" x14ac:dyDescent="0.25">
      <c r="A337" s="158" t="s">
        <v>380</v>
      </c>
      <c r="B337" s="158"/>
      <c r="C337" s="158"/>
      <c r="D337" s="158"/>
      <c r="E337" s="159" t="s">
        <v>363</v>
      </c>
      <c r="F337" s="159"/>
      <c r="G337" s="159"/>
      <c r="H337" s="159"/>
      <c r="I337" s="159"/>
      <c r="J337" s="159"/>
      <c r="K337" s="158" t="s">
        <v>381</v>
      </c>
      <c r="L337" s="158"/>
      <c r="M337" s="158"/>
      <c r="N337" s="158"/>
      <c r="O337" s="158"/>
      <c r="P337" s="160" t="s">
        <v>382</v>
      </c>
      <c r="Q337" s="160"/>
      <c r="R337" s="160"/>
      <c r="S337" s="160"/>
      <c r="T337" s="30"/>
      <c r="U337" s="30"/>
      <c r="V337" s="30"/>
      <c r="AI337" s="48" t="s">
        <v>383</v>
      </c>
    </row>
    <row r="338" spans="1:35" s="48" customFormat="1" ht="20.100000000000001" customHeight="1" x14ac:dyDescent="0.25">
      <c r="A338" s="158" t="s">
        <v>384</v>
      </c>
      <c r="B338" s="158"/>
      <c r="C338" s="158"/>
      <c r="D338" s="158"/>
      <c r="E338" s="158"/>
      <c r="F338" s="158"/>
      <c r="G338" s="158"/>
      <c r="H338" s="158"/>
      <c r="I338" s="158"/>
      <c r="J338" s="158"/>
      <c r="K338" s="158"/>
      <c r="L338" s="158"/>
      <c r="M338" s="158"/>
      <c r="N338" s="158"/>
      <c r="O338" s="158"/>
      <c r="P338" s="185">
        <v>1997.51</v>
      </c>
      <c r="Q338" s="185"/>
      <c r="R338" s="185"/>
      <c r="S338" s="185"/>
      <c r="T338" s="30"/>
      <c r="U338" s="30"/>
      <c r="V338" s="30"/>
    </row>
    <row r="339" spans="1:35" s="48" customFormat="1" ht="20.100000000000001" customHeight="1" x14ac:dyDescent="0.25">
      <c r="A339" s="30"/>
      <c r="B339" s="30"/>
      <c r="C339" s="30"/>
      <c r="D339" s="30"/>
      <c r="E339" s="30"/>
      <c r="F339" s="30"/>
      <c r="G339" s="30"/>
      <c r="H339" s="30"/>
      <c r="I339" s="30"/>
      <c r="J339" s="30"/>
      <c r="K339" s="30"/>
      <c r="L339" s="30"/>
      <c r="M339" s="30"/>
      <c r="N339" s="30"/>
      <c r="O339" s="30"/>
      <c r="P339" s="30"/>
      <c r="Q339" s="30"/>
      <c r="R339" s="30"/>
      <c r="S339" s="30"/>
      <c r="T339" s="30"/>
      <c r="U339" s="30"/>
      <c r="V339" s="30"/>
    </row>
    <row r="340" spans="1:35" s="48" customFormat="1" ht="20.100000000000001" customHeight="1" x14ac:dyDescent="0.25">
      <c r="A340" s="174" t="s">
        <v>492</v>
      </c>
      <c r="B340" s="174"/>
      <c r="C340" s="174"/>
      <c r="D340" s="174"/>
      <c r="E340" s="174"/>
      <c r="F340" s="174"/>
      <c r="G340" s="174"/>
      <c r="H340" s="174"/>
      <c r="I340" s="174"/>
      <c r="J340" s="174"/>
      <c r="K340" s="174"/>
      <c r="L340" s="174"/>
      <c r="M340" s="174"/>
      <c r="N340" s="181">
        <v>195.32</v>
      </c>
      <c r="O340" s="181"/>
      <c r="P340" s="181"/>
      <c r="Q340" s="181"/>
      <c r="R340" s="181"/>
      <c r="S340" s="181"/>
      <c r="T340" s="30"/>
      <c r="U340" s="30"/>
      <c r="V340" s="30"/>
    </row>
    <row r="341" spans="1:35" s="48" customFormat="1" ht="20.100000000000001" customHeight="1" x14ac:dyDescent="0.25">
      <c r="A341" s="158" t="s">
        <v>384</v>
      </c>
      <c r="B341" s="158"/>
      <c r="C341" s="158"/>
      <c r="D341" s="158"/>
      <c r="E341" s="158"/>
      <c r="F341" s="158"/>
      <c r="G341" s="158"/>
      <c r="H341" s="158"/>
      <c r="I341" s="158"/>
      <c r="J341" s="158"/>
      <c r="K341" s="158"/>
      <c r="L341" s="158"/>
      <c r="M341" s="158"/>
      <c r="N341" s="179">
        <f>P338</f>
        <v>1997.51</v>
      </c>
      <c r="O341" s="179"/>
      <c r="P341" s="179"/>
      <c r="Q341" s="179"/>
      <c r="R341" s="179"/>
      <c r="S341" s="179"/>
      <c r="T341" s="30"/>
      <c r="U341" s="30"/>
      <c r="V341" s="30"/>
    </row>
    <row r="342" spans="1:35" s="48" customFormat="1" ht="20.100000000000001" customHeight="1" x14ac:dyDescent="0.25">
      <c r="A342" s="158" t="s">
        <v>385</v>
      </c>
      <c r="B342" s="158"/>
      <c r="C342" s="158"/>
      <c r="D342" s="158"/>
      <c r="E342" s="158"/>
      <c r="F342" s="158"/>
      <c r="G342" s="158"/>
      <c r="H342" s="158"/>
      <c r="I342" s="158"/>
      <c r="J342" s="158"/>
      <c r="K342" s="158"/>
      <c r="L342" s="158"/>
      <c r="M342" s="158"/>
      <c r="N342" s="180">
        <f>P338*N340</f>
        <v>390153.6532</v>
      </c>
      <c r="O342" s="180"/>
      <c r="P342" s="180"/>
      <c r="Q342" s="180"/>
      <c r="R342" s="180"/>
      <c r="S342" s="180"/>
      <c r="T342" s="30"/>
      <c r="U342" s="30"/>
      <c r="V342" s="30"/>
    </row>
    <row r="343" spans="1:35" s="48" customFormat="1" ht="20.100000000000001" customHeight="1" x14ac:dyDescent="0.25">
      <c r="A343" s="31"/>
      <c r="B343" s="31"/>
      <c r="C343" s="31"/>
      <c r="D343" s="31"/>
      <c r="E343" s="31"/>
      <c r="F343" s="31"/>
      <c r="G343" s="31"/>
      <c r="H343" s="31"/>
      <c r="I343" s="31"/>
      <c r="J343" s="31"/>
      <c r="K343" s="31"/>
      <c r="L343" s="31"/>
      <c r="M343" s="31"/>
      <c r="N343" s="31"/>
      <c r="O343" s="31"/>
      <c r="P343" s="31"/>
      <c r="Q343" s="31"/>
      <c r="R343" s="31"/>
      <c r="S343" s="31"/>
      <c r="T343" s="30"/>
      <c r="U343" s="30"/>
      <c r="V343" s="30"/>
    </row>
    <row r="344" spans="1:35" s="48" customFormat="1" ht="20.100000000000001" customHeight="1" x14ac:dyDescent="0.25">
      <c r="A344" s="30"/>
      <c r="B344" s="30"/>
      <c r="C344" s="30"/>
      <c r="D344" s="30"/>
      <c r="E344" s="30"/>
      <c r="F344" s="30"/>
      <c r="G344" s="30"/>
      <c r="H344" s="30"/>
      <c r="I344" s="30"/>
      <c r="J344" s="30"/>
      <c r="K344" s="30"/>
      <c r="L344" s="30"/>
      <c r="M344" s="30"/>
      <c r="N344" s="30"/>
      <c r="O344" s="30"/>
      <c r="P344" s="30"/>
      <c r="Q344" s="30"/>
      <c r="R344" s="30"/>
      <c r="S344" s="30"/>
      <c r="T344" s="30"/>
      <c r="U344" s="30"/>
      <c r="V344" s="30"/>
    </row>
    <row r="345" spans="1:35" s="48" customFormat="1" ht="20.100000000000001" customHeight="1" x14ac:dyDescent="0.25">
      <c r="A345" s="182" t="s">
        <v>386</v>
      </c>
      <c r="B345" s="182"/>
      <c r="C345" s="182"/>
      <c r="D345" s="182"/>
      <c r="E345" s="182"/>
      <c r="F345" s="182"/>
      <c r="G345" s="182"/>
      <c r="H345" s="182"/>
      <c r="I345" s="182"/>
      <c r="J345" s="182"/>
      <c r="K345" s="182"/>
      <c r="L345" s="182"/>
      <c r="M345" s="182"/>
      <c r="N345" s="182"/>
      <c r="O345" s="182"/>
      <c r="P345" s="182"/>
      <c r="Q345" s="182"/>
      <c r="R345" s="182"/>
      <c r="S345" s="182"/>
      <c r="T345" s="30"/>
      <c r="U345" s="30"/>
      <c r="V345" s="30"/>
    </row>
    <row r="346" spans="1:35" s="48" customFormat="1" ht="20.100000000000001" customHeight="1" x14ac:dyDescent="0.25">
      <c r="A346" s="30"/>
      <c r="B346" s="30"/>
      <c r="C346" s="30"/>
      <c r="D346" s="30"/>
      <c r="E346" s="30"/>
      <c r="F346" s="30"/>
      <c r="G346" s="30"/>
      <c r="H346" s="30"/>
      <c r="I346" s="30"/>
      <c r="J346" s="30"/>
      <c r="K346" s="30"/>
      <c r="L346" s="30"/>
      <c r="M346" s="30"/>
      <c r="N346" s="30"/>
      <c r="O346" s="30"/>
      <c r="P346" s="30"/>
      <c r="Q346" s="30"/>
      <c r="R346" s="30"/>
      <c r="S346" s="30"/>
      <c r="T346" s="30"/>
      <c r="U346" s="30"/>
      <c r="V346" s="30"/>
    </row>
    <row r="347" spans="1:35" s="48" customFormat="1" ht="20.100000000000001" customHeight="1" x14ac:dyDescent="0.25">
      <c r="A347" s="174" t="s">
        <v>387</v>
      </c>
      <c r="B347" s="174"/>
      <c r="C347" s="174"/>
      <c r="D347" s="174"/>
      <c r="E347" s="174"/>
      <c r="F347" s="236">
        <v>20</v>
      </c>
      <c r="G347" s="236"/>
      <c r="H347" s="236"/>
      <c r="I347" s="236"/>
      <c r="J347" s="30"/>
      <c r="K347" s="30"/>
      <c r="L347" s="30"/>
      <c r="M347" s="30"/>
      <c r="N347" s="30"/>
      <c r="O347" s="30"/>
      <c r="P347" s="30"/>
      <c r="Q347" s="30"/>
      <c r="R347" s="30"/>
      <c r="S347" s="30"/>
      <c r="T347" s="30"/>
      <c r="U347" s="30"/>
      <c r="V347" s="30"/>
    </row>
    <row r="348" spans="1:35" s="48" customFormat="1" ht="20.100000000000001" customHeight="1" x14ac:dyDescent="0.25">
      <c r="A348" s="174" t="s">
        <v>388</v>
      </c>
      <c r="B348" s="174"/>
      <c r="C348" s="174"/>
      <c r="D348" s="174"/>
      <c r="E348" s="174"/>
      <c r="F348" s="183">
        <v>70</v>
      </c>
      <c r="G348" s="183"/>
      <c r="H348" s="183"/>
      <c r="I348" s="183"/>
      <c r="J348" s="30"/>
      <c r="K348" s="30"/>
      <c r="L348" s="30"/>
      <c r="M348" s="30"/>
      <c r="N348" s="30"/>
      <c r="O348" s="30"/>
      <c r="P348" s="30"/>
      <c r="Q348" s="30"/>
      <c r="R348" s="30"/>
      <c r="S348" s="30"/>
      <c r="T348" s="30"/>
      <c r="U348" s="30"/>
      <c r="V348" s="30"/>
    </row>
    <row r="349" spans="1:35" s="48" customFormat="1" ht="20.100000000000001" customHeight="1" x14ac:dyDescent="0.25">
      <c r="A349" s="158" t="s">
        <v>389</v>
      </c>
      <c r="B349" s="158"/>
      <c r="C349" s="158"/>
      <c r="D349" s="158"/>
      <c r="E349" s="158"/>
      <c r="F349" s="184">
        <f>F347/F348</f>
        <v>0.2857142857142857</v>
      </c>
      <c r="G349" s="184"/>
      <c r="H349" s="184"/>
      <c r="I349" s="184"/>
      <c r="J349" s="30"/>
      <c r="K349" s="30"/>
      <c r="L349" s="30"/>
      <c r="M349" s="30"/>
      <c r="N349" s="30"/>
      <c r="O349" s="30"/>
      <c r="P349" s="30"/>
      <c r="Q349" s="30"/>
      <c r="R349" s="30"/>
      <c r="S349" s="30"/>
      <c r="T349" s="30"/>
      <c r="U349" s="30"/>
      <c r="V349" s="30"/>
    </row>
    <row r="350" spans="1:35" s="48" customFormat="1" ht="20.100000000000001" customHeight="1" x14ac:dyDescent="0.25">
      <c r="A350" s="30"/>
      <c r="B350" s="30"/>
      <c r="C350" s="30"/>
      <c r="D350" s="30"/>
      <c r="E350" s="30"/>
      <c r="F350" s="30"/>
      <c r="G350" s="30"/>
      <c r="H350" s="30"/>
      <c r="I350" s="30"/>
      <c r="J350" s="30"/>
      <c r="K350" s="30"/>
      <c r="L350" s="30"/>
      <c r="M350" s="30"/>
      <c r="N350" s="30"/>
      <c r="O350" s="30"/>
      <c r="P350" s="30"/>
      <c r="Q350" s="30"/>
      <c r="R350" s="30"/>
      <c r="S350" s="30"/>
      <c r="T350" s="30"/>
      <c r="U350" s="30"/>
      <c r="V350" s="30"/>
    </row>
    <row r="351" spans="1:35" s="50" customFormat="1" ht="20.100000000000001" customHeight="1" x14ac:dyDescent="0.25">
      <c r="A351" s="178" t="s">
        <v>426</v>
      </c>
      <c r="B351" s="178"/>
      <c r="C351" s="178"/>
      <c r="D351" s="178"/>
      <c r="E351" s="178"/>
      <c r="F351" s="178"/>
      <c r="G351" s="178"/>
      <c r="H351" s="178"/>
      <c r="I351" s="178"/>
      <c r="J351" s="178"/>
      <c r="K351" s="178"/>
      <c r="L351" s="178"/>
      <c r="M351" s="178"/>
      <c r="N351" s="178"/>
      <c r="O351" s="178"/>
      <c r="P351" s="178"/>
      <c r="Q351" s="178"/>
      <c r="R351" s="178"/>
      <c r="S351" s="178"/>
      <c r="T351" s="28"/>
      <c r="U351" s="28"/>
      <c r="V351" s="28"/>
    </row>
    <row r="352" spans="1:35" s="50" customFormat="1" ht="20.100000000000001" customHeight="1"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row>
    <row r="353" spans="1:22" s="50" customFormat="1" ht="20.100000000000001" customHeight="1" x14ac:dyDescent="0.25">
      <c r="A353" s="147" t="s">
        <v>427</v>
      </c>
      <c r="B353" s="147"/>
      <c r="C353" s="147"/>
      <c r="D353" s="147"/>
      <c r="E353" s="147"/>
      <c r="F353" s="147"/>
      <c r="G353" s="147"/>
      <c r="H353" s="147"/>
      <c r="I353" s="147"/>
      <c r="J353" s="147"/>
      <c r="K353" s="147"/>
      <c r="L353" s="147"/>
      <c r="M353" s="147"/>
      <c r="N353" s="147"/>
      <c r="O353" s="147"/>
      <c r="P353" s="147"/>
      <c r="Q353" s="147"/>
      <c r="R353" s="147"/>
      <c r="S353" s="147"/>
      <c r="T353" s="28"/>
      <c r="U353" s="28"/>
      <c r="V353" s="28"/>
    </row>
    <row r="354" spans="1:22" s="50" customFormat="1" ht="20.100000000000001" customHeight="1" x14ac:dyDescent="0.25">
      <c r="A354" s="147"/>
      <c r="B354" s="147"/>
      <c r="C354" s="147"/>
      <c r="D354" s="147"/>
      <c r="E354" s="147"/>
      <c r="F354" s="147"/>
      <c r="G354" s="147"/>
      <c r="H354" s="147"/>
      <c r="I354" s="147"/>
      <c r="J354" s="147"/>
      <c r="K354" s="147"/>
      <c r="L354" s="147"/>
      <c r="M354" s="147"/>
      <c r="N354" s="147"/>
      <c r="O354" s="147"/>
      <c r="P354" s="147"/>
      <c r="Q354" s="147"/>
      <c r="R354" s="147"/>
      <c r="S354" s="147"/>
      <c r="T354" s="28"/>
      <c r="U354" s="28"/>
      <c r="V354" s="28"/>
    </row>
    <row r="355" spans="1:22" s="50" customFormat="1" ht="20.100000000000001" customHeight="1" x14ac:dyDescent="0.25">
      <c r="A355" s="147"/>
      <c r="B355" s="147"/>
      <c r="C355" s="147"/>
      <c r="D355" s="147"/>
      <c r="E355" s="147"/>
      <c r="F355" s="147"/>
      <c r="G355" s="147"/>
      <c r="H355" s="147"/>
      <c r="I355" s="147"/>
      <c r="J355" s="147"/>
      <c r="K355" s="147"/>
      <c r="L355" s="147"/>
      <c r="M355" s="147"/>
      <c r="N355" s="147"/>
      <c r="O355" s="147"/>
      <c r="P355" s="147"/>
      <c r="Q355" s="147"/>
      <c r="R355" s="147"/>
      <c r="S355" s="147"/>
      <c r="T355" s="28"/>
      <c r="U355" s="28"/>
      <c r="V355" s="28"/>
    </row>
    <row r="356" spans="1:22" s="50" customFormat="1" ht="20.100000000000001" customHeight="1" x14ac:dyDescent="0.2">
      <c r="A356" s="33"/>
      <c r="B356" s="34"/>
      <c r="C356" s="34"/>
      <c r="D356" s="34"/>
      <c r="E356" s="35"/>
      <c r="F356" s="34"/>
      <c r="G356" s="34"/>
      <c r="H356" s="34"/>
      <c r="I356" s="34"/>
      <c r="J356" s="34"/>
      <c r="K356" s="34"/>
      <c r="L356" s="34"/>
      <c r="M356" s="36"/>
      <c r="N356" s="28"/>
      <c r="O356" s="28"/>
      <c r="P356" s="28"/>
      <c r="Q356" s="28"/>
      <c r="R356" s="28"/>
      <c r="S356" s="28"/>
      <c r="T356" s="28"/>
      <c r="U356" s="28"/>
      <c r="V356" s="28"/>
    </row>
    <row r="357" spans="1:22" s="50" customFormat="1" ht="20.100000000000001" customHeight="1" x14ac:dyDescent="0.25">
      <c r="A357" s="37"/>
      <c r="B357" s="28"/>
      <c r="C357" s="28"/>
      <c r="D357" s="28"/>
      <c r="E357" s="28"/>
      <c r="F357" s="28"/>
      <c r="G357" s="28"/>
      <c r="H357" s="28"/>
      <c r="I357" s="28"/>
      <c r="J357" s="28"/>
      <c r="K357" s="28"/>
      <c r="L357" s="28"/>
      <c r="M357" s="38"/>
      <c r="N357" s="28"/>
      <c r="O357" s="28"/>
      <c r="P357" s="28"/>
      <c r="Q357" s="28"/>
      <c r="R357" s="28"/>
      <c r="S357" s="28"/>
      <c r="T357" s="28"/>
      <c r="U357" s="28"/>
      <c r="V357" s="28"/>
    </row>
    <row r="358" spans="1:22" s="50" customFormat="1" ht="20.100000000000001" customHeight="1" x14ac:dyDescent="0.25">
      <c r="A358" s="37"/>
      <c r="B358" s="28"/>
      <c r="C358" s="28"/>
      <c r="D358" s="28"/>
      <c r="E358" s="28"/>
      <c r="F358" s="28"/>
      <c r="G358" s="28"/>
      <c r="H358" s="28"/>
      <c r="I358" s="28"/>
      <c r="J358" s="28"/>
      <c r="K358" s="28"/>
      <c r="L358" s="28"/>
      <c r="M358" s="38"/>
      <c r="N358" s="28"/>
      <c r="O358" s="28"/>
      <c r="P358" s="28"/>
      <c r="Q358" s="28"/>
      <c r="R358" s="28"/>
      <c r="S358" s="28"/>
      <c r="T358" s="28"/>
      <c r="U358" s="28"/>
      <c r="V358" s="28"/>
    </row>
    <row r="359" spans="1:22" s="50" customFormat="1" ht="20.100000000000001" customHeight="1" x14ac:dyDescent="0.25">
      <c r="A359" s="37"/>
      <c r="B359" s="28"/>
      <c r="C359" s="28"/>
      <c r="D359" s="28"/>
      <c r="E359" s="28"/>
      <c r="F359" s="28"/>
      <c r="G359" s="28"/>
      <c r="H359" s="28"/>
      <c r="I359" s="28"/>
      <c r="J359" s="28"/>
      <c r="K359" s="28"/>
      <c r="L359" s="28"/>
      <c r="M359" s="38"/>
      <c r="N359" s="28"/>
      <c r="O359" s="28"/>
      <c r="P359" s="28"/>
      <c r="Q359" s="28"/>
      <c r="R359" s="28"/>
      <c r="S359" s="28"/>
      <c r="T359" s="28"/>
      <c r="U359" s="28"/>
      <c r="V359" s="28"/>
    </row>
    <row r="360" spans="1:22" s="50" customFormat="1" ht="20.100000000000001" customHeight="1" x14ac:dyDescent="0.25">
      <c r="A360" s="37"/>
      <c r="B360" s="28"/>
      <c r="C360" s="28"/>
      <c r="D360" s="28"/>
      <c r="E360" s="28"/>
      <c r="F360" s="28"/>
      <c r="G360" s="28"/>
      <c r="H360" s="28"/>
      <c r="I360" s="28"/>
      <c r="J360" s="28"/>
      <c r="K360" s="28"/>
      <c r="L360" s="28"/>
      <c r="M360" s="38"/>
      <c r="N360" s="28"/>
      <c r="O360" s="28"/>
      <c r="P360" s="28"/>
      <c r="Q360" s="28"/>
      <c r="R360" s="28"/>
      <c r="S360" s="28"/>
      <c r="T360" s="28"/>
      <c r="U360" s="28"/>
      <c r="V360" s="28"/>
    </row>
    <row r="361" spans="1:22" s="50" customFormat="1" ht="20.100000000000001" customHeight="1" x14ac:dyDescent="0.25">
      <c r="A361" s="39"/>
      <c r="B361" s="40"/>
      <c r="C361" s="40"/>
      <c r="D361" s="40"/>
      <c r="E361" s="40"/>
      <c r="F361" s="40"/>
      <c r="G361" s="40"/>
      <c r="H361" s="144" t="s">
        <v>428</v>
      </c>
      <c r="I361" s="144"/>
      <c r="J361" s="144"/>
      <c r="K361" s="145">
        <f>((1/2)*((F347/F348+(F347^2/F348^2)))*100)</f>
        <v>18.367346938775508</v>
      </c>
      <c r="L361" s="145"/>
      <c r="M361" s="146"/>
      <c r="N361" s="28"/>
      <c r="O361" s="28"/>
      <c r="P361" s="28"/>
      <c r="Q361" s="28"/>
      <c r="R361" s="28"/>
      <c r="S361" s="28"/>
      <c r="T361" s="28"/>
      <c r="U361" s="28"/>
      <c r="V361" s="28"/>
    </row>
    <row r="362" spans="1:22" s="50" customFormat="1" ht="20.100000000000001" customHeight="1"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row>
    <row r="363" spans="1:22" s="50" customFormat="1" ht="20.100000000000001" customHeight="1" x14ac:dyDescent="0.25">
      <c r="A363" s="147" t="s">
        <v>429</v>
      </c>
      <c r="B363" s="147"/>
      <c r="C363" s="147"/>
      <c r="D363" s="147"/>
      <c r="E363" s="147"/>
      <c r="F363" s="147"/>
      <c r="G363" s="147"/>
      <c r="H363" s="147"/>
      <c r="I363" s="147"/>
      <c r="J363" s="147"/>
      <c r="K363" s="147"/>
      <c r="L363" s="147"/>
      <c r="M363" s="147"/>
      <c r="N363" s="147"/>
      <c r="O363" s="147"/>
      <c r="P363" s="147"/>
      <c r="Q363" s="147"/>
      <c r="R363" s="147"/>
      <c r="S363" s="147"/>
      <c r="T363" s="28"/>
      <c r="U363" s="28"/>
      <c r="V363" s="28"/>
    </row>
    <row r="364" spans="1:22" s="50" customFormat="1" ht="20.100000000000001" customHeight="1" x14ac:dyDescent="0.25">
      <c r="A364" s="147"/>
      <c r="B364" s="147"/>
      <c r="C364" s="147"/>
      <c r="D364" s="147"/>
      <c r="E364" s="147"/>
      <c r="F364" s="147"/>
      <c r="G364" s="147"/>
      <c r="H364" s="147"/>
      <c r="I364" s="147"/>
      <c r="J364" s="147"/>
      <c r="K364" s="147"/>
      <c r="L364" s="147"/>
      <c r="M364" s="147"/>
      <c r="N364" s="147"/>
      <c r="O364" s="147"/>
      <c r="P364" s="147"/>
      <c r="Q364" s="147"/>
      <c r="R364" s="147"/>
      <c r="S364" s="147"/>
      <c r="T364" s="28"/>
      <c r="U364" s="28"/>
      <c r="V364" s="28"/>
    </row>
    <row r="365" spans="1:22" s="50" customFormat="1" ht="20.100000000000001" customHeight="1" x14ac:dyDescent="0.25">
      <c r="A365" s="148"/>
      <c r="B365" s="148"/>
      <c r="C365" s="148"/>
      <c r="D365" s="148"/>
      <c r="E365" s="148"/>
      <c r="F365" s="148"/>
      <c r="G365" s="148"/>
      <c r="H365" s="148"/>
      <c r="I365" s="148"/>
      <c r="J365" s="148"/>
      <c r="K365" s="148"/>
      <c r="L365" s="148"/>
      <c r="M365" s="148"/>
      <c r="N365" s="148"/>
      <c r="O365" s="148"/>
      <c r="P365" s="148"/>
      <c r="Q365" s="148"/>
      <c r="R365" s="148"/>
      <c r="S365" s="148"/>
      <c r="T365" s="28"/>
      <c r="U365" s="28"/>
      <c r="V365" s="28"/>
    </row>
    <row r="366" spans="1:22" s="50" customFormat="1" ht="39.950000000000003" customHeight="1" x14ac:dyDescent="0.25">
      <c r="A366" s="155" t="s">
        <v>17</v>
      </c>
      <c r="B366" s="156"/>
      <c r="C366" s="133" t="s">
        <v>430</v>
      </c>
      <c r="D366" s="133"/>
      <c r="E366" s="133"/>
      <c r="F366" s="133"/>
      <c r="G366" s="133"/>
      <c r="H366" s="133"/>
      <c r="I366" s="133"/>
      <c r="J366" s="133"/>
      <c r="K366" s="133"/>
      <c r="L366" s="133"/>
      <c r="M366" s="133"/>
      <c r="N366" s="133"/>
      <c r="O366" s="133"/>
      <c r="P366" s="133"/>
      <c r="Q366" s="133"/>
      <c r="R366" s="133" t="s">
        <v>431</v>
      </c>
      <c r="S366" s="133"/>
      <c r="T366" s="28"/>
      <c r="U366" s="28"/>
      <c r="V366" s="28"/>
    </row>
    <row r="367" spans="1:22" s="50" customFormat="1" ht="20.100000000000001" customHeight="1" x14ac:dyDescent="0.25">
      <c r="A367" s="138">
        <v>1</v>
      </c>
      <c r="B367" s="139"/>
      <c r="C367" s="135" t="s">
        <v>432</v>
      </c>
      <c r="D367" s="135"/>
      <c r="E367" s="135"/>
      <c r="F367" s="135"/>
      <c r="G367" s="135"/>
      <c r="H367" s="135"/>
      <c r="I367" s="135"/>
      <c r="J367" s="135"/>
      <c r="K367" s="135"/>
      <c r="L367" s="135"/>
      <c r="M367" s="135"/>
      <c r="N367" s="135"/>
      <c r="O367" s="135"/>
      <c r="P367" s="135"/>
      <c r="Q367" s="135"/>
      <c r="R367" s="134">
        <v>0.04</v>
      </c>
      <c r="S367" s="134"/>
      <c r="T367" s="28"/>
      <c r="U367" s="28"/>
      <c r="V367" s="28"/>
    </row>
    <row r="368" spans="1:22" s="50" customFormat="1" ht="20.100000000000001" customHeight="1" x14ac:dyDescent="0.25">
      <c r="A368" s="140"/>
      <c r="B368" s="141"/>
      <c r="C368" s="135"/>
      <c r="D368" s="135"/>
      <c r="E368" s="135"/>
      <c r="F368" s="135"/>
      <c r="G368" s="135"/>
      <c r="H368" s="135"/>
      <c r="I368" s="135"/>
      <c r="J368" s="135"/>
      <c r="K368" s="135"/>
      <c r="L368" s="135"/>
      <c r="M368" s="135"/>
      <c r="N368" s="135"/>
      <c r="O368" s="135"/>
      <c r="P368" s="135"/>
      <c r="Q368" s="135"/>
      <c r="R368" s="134"/>
      <c r="S368" s="134"/>
      <c r="T368" s="28"/>
      <c r="U368" s="28"/>
      <c r="V368" s="28"/>
    </row>
    <row r="369" spans="1:22" s="50" customFormat="1" ht="20.100000000000001" customHeight="1" x14ac:dyDescent="0.25">
      <c r="A369" s="136">
        <v>2</v>
      </c>
      <c r="B369" s="137"/>
      <c r="C369" s="135" t="s">
        <v>433</v>
      </c>
      <c r="D369" s="135"/>
      <c r="E369" s="135"/>
      <c r="F369" s="135"/>
      <c r="G369" s="135"/>
      <c r="H369" s="135"/>
      <c r="I369" s="135"/>
      <c r="J369" s="135"/>
      <c r="K369" s="135"/>
      <c r="L369" s="135"/>
      <c r="M369" s="135"/>
      <c r="N369" s="135"/>
      <c r="O369" s="135"/>
      <c r="P369" s="135"/>
      <c r="Q369" s="135"/>
      <c r="R369" s="134">
        <v>7.0000000000000001E-3</v>
      </c>
      <c r="S369" s="134"/>
      <c r="T369" s="28"/>
      <c r="U369" s="28"/>
      <c r="V369" s="28"/>
    </row>
    <row r="370" spans="1:22" s="50" customFormat="1" ht="20.100000000000001" customHeight="1" x14ac:dyDescent="0.25">
      <c r="A370" s="136">
        <v>3</v>
      </c>
      <c r="B370" s="137"/>
      <c r="C370" s="135" t="s">
        <v>434</v>
      </c>
      <c r="D370" s="135"/>
      <c r="E370" s="135"/>
      <c r="F370" s="135"/>
      <c r="G370" s="135"/>
      <c r="H370" s="135"/>
      <c r="I370" s="135"/>
      <c r="J370" s="135"/>
      <c r="K370" s="135"/>
      <c r="L370" s="135"/>
      <c r="M370" s="135"/>
      <c r="N370" s="135"/>
      <c r="O370" s="135"/>
      <c r="P370" s="135"/>
      <c r="Q370" s="135"/>
      <c r="R370" s="134">
        <v>0.15</v>
      </c>
      <c r="S370" s="134"/>
      <c r="T370" s="28"/>
      <c r="U370" s="28"/>
      <c r="V370" s="28"/>
    </row>
    <row r="371" spans="1:22" s="50" customFormat="1" ht="20.100000000000001" customHeight="1" x14ac:dyDescent="0.25">
      <c r="A371" s="136">
        <v>4</v>
      </c>
      <c r="B371" s="137"/>
      <c r="C371" s="135" t="s">
        <v>435</v>
      </c>
      <c r="D371" s="135"/>
      <c r="E371" s="135"/>
      <c r="F371" s="135"/>
      <c r="G371" s="135"/>
      <c r="H371" s="135"/>
      <c r="I371" s="135"/>
      <c r="J371" s="135"/>
      <c r="K371" s="135"/>
      <c r="L371" s="135"/>
      <c r="M371" s="135"/>
      <c r="N371" s="135"/>
      <c r="O371" s="135"/>
      <c r="P371" s="135"/>
      <c r="Q371" s="135"/>
      <c r="R371" s="134">
        <v>0.1</v>
      </c>
      <c r="S371" s="134"/>
      <c r="T371" s="28"/>
      <c r="U371" s="28"/>
      <c r="V371" s="28"/>
    </row>
    <row r="372" spans="1:22" s="50" customFormat="1" ht="20.100000000000001" customHeight="1" x14ac:dyDescent="0.25">
      <c r="A372" s="136">
        <v>5</v>
      </c>
      <c r="B372" s="137"/>
      <c r="C372" s="135" t="s">
        <v>436</v>
      </c>
      <c r="D372" s="135"/>
      <c r="E372" s="135"/>
      <c r="F372" s="135"/>
      <c r="G372" s="135"/>
      <c r="H372" s="135"/>
      <c r="I372" s="135"/>
      <c r="J372" s="135"/>
      <c r="K372" s="135"/>
      <c r="L372" s="135"/>
      <c r="M372" s="135"/>
      <c r="N372" s="135"/>
      <c r="O372" s="135"/>
      <c r="P372" s="135"/>
      <c r="Q372" s="135"/>
      <c r="R372" s="134">
        <v>7.4999999999999997E-2</v>
      </c>
      <c r="S372" s="134"/>
      <c r="T372" s="28"/>
      <c r="U372" s="28"/>
      <c r="V372" s="28"/>
    </row>
    <row r="373" spans="1:22" s="50" customFormat="1" ht="20.100000000000001" customHeight="1" x14ac:dyDescent="0.25">
      <c r="A373" s="136">
        <v>6</v>
      </c>
      <c r="B373" s="137"/>
      <c r="C373" s="135" t="s">
        <v>437</v>
      </c>
      <c r="D373" s="135"/>
      <c r="E373" s="135"/>
      <c r="F373" s="135"/>
      <c r="G373" s="135"/>
      <c r="H373" s="135"/>
      <c r="I373" s="135"/>
      <c r="J373" s="135"/>
      <c r="K373" s="135"/>
      <c r="L373" s="135"/>
      <c r="M373" s="135"/>
      <c r="N373" s="135"/>
      <c r="O373" s="135"/>
      <c r="P373" s="135"/>
      <c r="Q373" s="135"/>
      <c r="R373" s="134">
        <v>0.04</v>
      </c>
      <c r="S373" s="134"/>
      <c r="T373" s="28"/>
      <c r="U373" s="28"/>
      <c r="V373" s="28"/>
    </row>
    <row r="374" spans="1:22" s="50" customFormat="1" ht="20.100000000000001" customHeight="1" x14ac:dyDescent="0.25">
      <c r="A374" s="136">
        <v>7</v>
      </c>
      <c r="B374" s="137"/>
      <c r="C374" s="135" t="s">
        <v>438</v>
      </c>
      <c r="D374" s="135"/>
      <c r="E374" s="135"/>
      <c r="F374" s="135"/>
      <c r="G374" s="135"/>
      <c r="H374" s="135"/>
      <c r="I374" s="135"/>
      <c r="J374" s="135"/>
      <c r="K374" s="135"/>
      <c r="L374" s="135"/>
      <c r="M374" s="135"/>
      <c r="N374" s="135"/>
      <c r="O374" s="135"/>
      <c r="P374" s="135"/>
      <c r="Q374" s="135"/>
      <c r="R374" s="134">
        <v>0.12</v>
      </c>
      <c r="S374" s="134"/>
      <c r="T374" s="28"/>
      <c r="U374" s="28"/>
      <c r="V374" s="28"/>
    </row>
    <row r="375" spans="1:22" s="50" customFormat="1" ht="20.100000000000001" customHeight="1" x14ac:dyDescent="0.25">
      <c r="A375" s="138">
        <v>8</v>
      </c>
      <c r="B375" s="139"/>
      <c r="C375" s="135" t="s">
        <v>439</v>
      </c>
      <c r="D375" s="135"/>
      <c r="E375" s="135"/>
      <c r="F375" s="135"/>
      <c r="G375" s="135"/>
      <c r="H375" s="135"/>
      <c r="I375" s="135"/>
      <c r="J375" s="135"/>
      <c r="K375" s="135"/>
      <c r="L375" s="135"/>
      <c r="M375" s="135"/>
      <c r="N375" s="135"/>
      <c r="O375" s="135"/>
      <c r="P375" s="135"/>
      <c r="Q375" s="135"/>
      <c r="R375" s="134">
        <v>0.08</v>
      </c>
      <c r="S375" s="134"/>
      <c r="T375" s="28"/>
      <c r="U375" s="28"/>
      <c r="V375" s="28"/>
    </row>
    <row r="376" spans="1:22" s="50" customFormat="1" ht="20.100000000000001" customHeight="1" x14ac:dyDescent="0.25">
      <c r="A376" s="140"/>
      <c r="B376" s="141"/>
      <c r="C376" s="135"/>
      <c r="D376" s="135"/>
      <c r="E376" s="135"/>
      <c r="F376" s="135"/>
      <c r="G376" s="135"/>
      <c r="H376" s="135"/>
      <c r="I376" s="135"/>
      <c r="J376" s="135"/>
      <c r="K376" s="135"/>
      <c r="L376" s="135"/>
      <c r="M376" s="135"/>
      <c r="N376" s="135"/>
      <c r="O376" s="135"/>
      <c r="P376" s="135"/>
      <c r="Q376" s="135"/>
      <c r="R376" s="134"/>
      <c r="S376" s="134"/>
      <c r="T376" s="28"/>
      <c r="U376" s="28"/>
      <c r="V376" s="28"/>
    </row>
    <row r="377" spans="1:22" s="50" customFormat="1" ht="20.100000000000001" customHeight="1" x14ac:dyDescent="0.25">
      <c r="A377" s="136">
        <v>9</v>
      </c>
      <c r="B377" s="137"/>
      <c r="C377" s="135" t="s">
        <v>440</v>
      </c>
      <c r="D377" s="135"/>
      <c r="E377" s="135"/>
      <c r="F377" s="135"/>
      <c r="G377" s="135"/>
      <c r="H377" s="135"/>
      <c r="I377" s="135"/>
      <c r="J377" s="135"/>
      <c r="K377" s="135"/>
      <c r="L377" s="135"/>
      <c r="M377" s="135"/>
      <c r="N377" s="135"/>
      <c r="O377" s="135"/>
      <c r="P377" s="135"/>
      <c r="Q377" s="135"/>
      <c r="R377" s="134">
        <v>7.0000000000000007E-2</v>
      </c>
      <c r="S377" s="134"/>
      <c r="T377" s="28"/>
      <c r="U377" s="28"/>
      <c r="V377" s="28"/>
    </row>
    <row r="378" spans="1:22" s="50" customFormat="1" ht="20.100000000000001" customHeight="1" x14ac:dyDescent="0.25">
      <c r="A378" s="136">
        <v>10</v>
      </c>
      <c r="B378" s="137"/>
      <c r="C378" s="135" t="s">
        <v>441</v>
      </c>
      <c r="D378" s="135"/>
      <c r="E378" s="135"/>
      <c r="F378" s="135"/>
      <c r="G378" s="135"/>
      <c r="H378" s="135"/>
      <c r="I378" s="135"/>
      <c r="J378" s="135"/>
      <c r="K378" s="135"/>
      <c r="L378" s="135"/>
      <c r="M378" s="135"/>
      <c r="N378" s="135"/>
      <c r="O378" s="135"/>
      <c r="P378" s="135"/>
      <c r="Q378" s="135"/>
      <c r="R378" s="134">
        <v>0.03</v>
      </c>
      <c r="S378" s="134"/>
      <c r="T378" s="28"/>
      <c r="U378" s="28"/>
      <c r="V378" s="28"/>
    </row>
    <row r="379" spans="1:22" s="50" customFormat="1" ht="20.100000000000001" customHeight="1" x14ac:dyDescent="0.25">
      <c r="A379" s="136">
        <v>11</v>
      </c>
      <c r="B379" s="137"/>
      <c r="C379" s="135" t="s">
        <v>442</v>
      </c>
      <c r="D379" s="135"/>
      <c r="E379" s="135"/>
      <c r="F379" s="135"/>
      <c r="G379" s="135"/>
      <c r="H379" s="135"/>
      <c r="I379" s="135"/>
      <c r="J379" s="135"/>
      <c r="K379" s="135"/>
      <c r="L379" s="135"/>
      <c r="M379" s="135"/>
      <c r="N379" s="135"/>
      <c r="O379" s="135"/>
      <c r="P379" s="135"/>
      <c r="Q379" s="135"/>
      <c r="R379" s="134">
        <v>4.4999999999999998E-2</v>
      </c>
      <c r="S379" s="134"/>
      <c r="T379" s="28"/>
      <c r="U379" s="28"/>
      <c r="V379" s="28"/>
    </row>
    <row r="380" spans="1:22" s="50" customFormat="1" ht="20.100000000000001" customHeight="1" x14ac:dyDescent="0.25">
      <c r="A380" s="136">
        <v>12</v>
      </c>
      <c r="B380" s="137"/>
      <c r="C380" s="135" t="s">
        <v>443</v>
      </c>
      <c r="D380" s="135"/>
      <c r="E380" s="135"/>
      <c r="F380" s="135"/>
      <c r="G380" s="135"/>
      <c r="H380" s="135"/>
      <c r="I380" s="135"/>
      <c r="J380" s="135"/>
      <c r="K380" s="135"/>
      <c r="L380" s="135"/>
      <c r="M380" s="135"/>
      <c r="N380" s="135"/>
      <c r="O380" s="135"/>
      <c r="P380" s="135"/>
      <c r="Q380" s="135"/>
      <c r="R380" s="134">
        <v>0.01</v>
      </c>
      <c r="S380" s="134"/>
      <c r="T380" s="28"/>
      <c r="U380" s="28"/>
      <c r="V380" s="28"/>
    </row>
    <row r="381" spans="1:22" s="50" customFormat="1" ht="20.100000000000001" customHeight="1" x14ac:dyDescent="0.25">
      <c r="A381" s="136">
        <v>13</v>
      </c>
      <c r="B381" s="137"/>
      <c r="C381" s="135" t="s">
        <v>444</v>
      </c>
      <c r="D381" s="135"/>
      <c r="E381" s="135"/>
      <c r="F381" s="135"/>
      <c r="G381" s="135"/>
      <c r="H381" s="135"/>
      <c r="I381" s="135"/>
      <c r="J381" s="135"/>
      <c r="K381" s="135"/>
      <c r="L381" s="135"/>
      <c r="M381" s="135"/>
      <c r="N381" s="135"/>
      <c r="O381" s="135"/>
      <c r="P381" s="135"/>
      <c r="Q381" s="135"/>
      <c r="R381" s="134">
        <v>7.0000000000000007E-2</v>
      </c>
      <c r="S381" s="134"/>
      <c r="T381" s="28"/>
      <c r="U381" s="28"/>
      <c r="V381" s="28"/>
    </row>
    <row r="382" spans="1:22" s="50" customFormat="1" ht="20.100000000000001" customHeight="1" x14ac:dyDescent="0.25">
      <c r="A382" s="136">
        <v>14</v>
      </c>
      <c r="B382" s="137"/>
      <c r="C382" s="135" t="s">
        <v>445</v>
      </c>
      <c r="D382" s="135"/>
      <c r="E382" s="135"/>
      <c r="F382" s="135"/>
      <c r="G382" s="135"/>
      <c r="H382" s="135"/>
      <c r="I382" s="135"/>
      <c r="J382" s="135"/>
      <c r="K382" s="135"/>
      <c r="L382" s="135"/>
      <c r="M382" s="135"/>
      <c r="N382" s="135"/>
      <c r="O382" s="135"/>
      <c r="P382" s="135"/>
      <c r="Q382" s="135"/>
      <c r="R382" s="134">
        <v>1.4999999999999999E-2</v>
      </c>
      <c r="S382" s="134"/>
      <c r="T382" s="28"/>
      <c r="U382" s="28"/>
      <c r="V382" s="28"/>
    </row>
    <row r="383" spans="1:22" s="50" customFormat="1" ht="20.100000000000001" customHeight="1" x14ac:dyDescent="0.25">
      <c r="A383" s="136">
        <v>15</v>
      </c>
      <c r="B383" s="137"/>
      <c r="C383" s="135" t="s">
        <v>446</v>
      </c>
      <c r="D383" s="135"/>
      <c r="E383" s="135"/>
      <c r="F383" s="135"/>
      <c r="G383" s="135"/>
      <c r="H383" s="135"/>
      <c r="I383" s="135"/>
      <c r="J383" s="135"/>
      <c r="K383" s="135"/>
      <c r="L383" s="135"/>
      <c r="M383" s="135"/>
      <c r="N383" s="135"/>
      <c r="O383" s="135"/>
      <c r="P383" s="135"/>
      <c r="Q383" s="135"/>
      <c r="R383" s="134">
        <v>3.3000000000000002E-2</v>
      </c>
      <c r="S383" s="134"/>
      <c r="T383" s="28"/>
      <c r="U383" s="28"/>
      <c r="V383" s="28"/>
    </row>
    <row r="384" spans="1:22" s="50" customFormat="1" ht="20.100000000000001" customHeight="1" x14ac:dyDescent="0.25">
      <c r="A384" s="136">
        <v>16</v>
      </c>
      <c r="B384" s="137"/>
      <c r="C384" s="135" t="s">
        <v>447</v>
      </c>
      <c r="D384" s="135"/>
      <c r="E384" s="135"/>
      <c r="F384" s="135"/>
      <c r="G384" s="135"/>
      <c r="H384" s="135"/>
      <c r="I384" s="135"/>
      <c r="J384" s="135"/>
      <c r="K384" s="135"/>
      <c r="L384" s="135"/>
      <c r="M384" s="135"/>
      <c r="N384" s="135"/>
      <c r="O384" s="135"/>
      <c r="P384" s="135"/>
      <c r="Q384" s="135"/>
      <c r="R384" s="134">
        <v>1.7000000000000001E-2</v>
      </c>
      <c r="S384" s="134"/>
      <c r="T384" s="28"/>
      <c r="U384" s="28"/>
      <c r="V384" s="28"/>
    </row>
    <row r="385" spans="1:23" s="50" customFormat="1" ht="20.100000000000001" customHeight="1" x14ac:dyDescent="0.25">
      <c r="A385" s="136">
        <v>17</v>
      </c>
      <c r="B385" s="137"/>
      <c r="C385" s="135" t="s">
        <v>448</v>
      </c>
      <c r="D385" s="135"/>
      <c r="E385" s="135"/>
      <c r="F385" s="135"/>
      <c r="G385" s="135"/>
      <c r="H385" s="135"/>
      <c r="I385" s="135"/>
      <c r="J385" s="135"/>
      <c r="K385" s="135"/>
      <c r="L385" s="135"/>
      <c r="M385" s="135"/>
      <c r="N385" s="135"/>
      <c r="O385" s="135"/>
      <c r="P385" s="135"/>
      <c r="Q385" s="135"/>
      <c r="R385" s="134">
        <v>1.4999999999999999E-2</v>
      </c>
      <c r="S385" s="134"/>
      <c r="T385" s="28"/>
      <c r="U385" s="28"/>
      <c r="V385" s="28"/>
    </row>
    <row r="386" spans="1:23" s="50" customFormat="1" ht="20.100000000000001" customHeight="1" x14ac:dyDescent="0.25">
      <c r="A386" s="136">
        <v>18</v>
      </c>
      <c r="B386" s="137"/>
      <c r="C386" s="135" t="s">
        <v>449</v>
      </c>
      <c r="D386" s="135"/>
      <c r="E386" s="135"/>
      <c r="F386" s="135"/>
      <c r="G386" s="135"/>
      <c r="H386" s="135"/>
      <c r="I386" s="135"/>
      <c r="J386" s="135"/>
      <c r="K386" s="135"/>
      <c r="L386" s="135"/>
      <c r="M386" s="135"/>
      <c r="N386" s="135"/>
      <c r="O386" s="135"/>
      <c r="P386" s="135"/>
      <c r="Q386" s="135"/>
      <c r="R386" s="134">
        <v>3.5000000000000003E-2</v>
      </c>
      <c r="S386" s="134"/>
      <c r="T386" s="28"/>
      <c r="U386" s="28"/>
      <c r="V386" s="28"/>
    </row>
    <row r="387" spans="1:23" s="50" customFormat="1" ht="20.100000000000001" customHeight="1" x14ac:dyDescent="0.25">
      <c r="A387" s="136">
        <v>19</v>
      </c>
      <c r="B387" s="137"/>
      <c r="C387" s="135" t="s">
        <v>450</v>
      </c>
      <c r="D387" s="135"/>
      <c r="E387" s="135"/>
      <c r="F387" s="135"/>
      <c r="G387" s="135"/>
      <c r="H387" s="135"/>
      <c r="I387" s="135"/>
      <c r="J387" s="135"/>
      <c r="K387" s="135"/>
      <c r="L387" s="135"/>
      <c r="M387" s="135"/>
      <c r="N387" s="135"/>
      <c r="O387" s="135"/>
      <c r="P387" s="135"/>
      <c r="Q387" s="135"/>
      <c r="R387" s="134">
        <v>0.01</v>
      </c>
      <c r="S387" s="134"/>
      <c r="T387" s="28"/>
      <c r="U387" s="28"/>
      <c r="V387" s="28"/>
    </row>
    <row r="388" spans="1:23" s="50" customFormat="1" ht="20.100000000000001" customHeight="1" x14ac:dyDescent="0.25">
      <c r="A388" s="138">
        <v>20</v>
      </c>
      <c r="B388" s="139"/>
      <c r="C388" s="135" t="s">
        <v>451</v>
      </c>
      <c r="D388" s="135"/>
      <c r="E388" s="135"/>
      <c r="F388" s="135"/>
      <c r="G388" s="135"/>
      <c r="H388" s="135"/>
      <c r="I388" s="135"/>
      <c r="J388" s="135"/>
      <c r="K388" s="135"/>
      <c r="L388" s="135"/>
      <c r="M388" s="135"/>
      <c r="N388" s="135"/>
      <c r="O388" s="135"/>
      <c r="P388" s="135"/>
      <c r="Q388" s="135"/>
      <c r="R388" s="134">
        <v>2.5000000000000001E-2</v>
      </c>
      <c r="S388" s="134"/>
      <c r="T388" s="28"/>
      <c r="U388" s="28"/>
      <c r="V388" s="28"/>
    </row>
    <row r="389" spans="1:23" s="50" customFormat="1" ht="20.100000000000001" customHeight="1" x14ac:dyDescent="0.25">
      <c r="A389" s="140"/>
      <c r="B389" s="141"/>
      <c r="C389" s="135"/>
      <c r="D389" s="135"/>
      <c r="E389" s="135"/>
      <c r="F389" s="135"/>
      <c r="G389" s="135"/>
      <c r="H389" s="135"/>
      <c r="I389" s="135"/>
      <c r="J389" s="135"/>
      <c r="K389" s="135"/>
      <c r="L389" s="135"/>
      <c r="M389" s="135"/>
      <c r="N389" s="135"/>
      <c r="O389" s="135"/>
      <c r="P389" s="135"/>
      <c r="Q389" s="135"/>
      <c r="R389" s="134"/>
      <c r="S389" s="134"/>
      <c r="T389" s="28"/>
      <c r="U389" s="28"/>
      <c r="V389" s="28"/>
    </row>
    <row r="390" spans="1:23" s="50" customFormat="1" ht="20.100000000000001" customHeight="1" x14ac:dyDescent="0.25">
      <c r="A390" s="136">
        <v>21</v>
      </c>
      <c r="B390" s="137"/>
      <c r="C390" s="135" t="s">
        <v>452</v>
      </c>
      <c r="D390" s="135"/>
      <c r="E390" s="135"/>
      <c r="F390" s="135"/>
      <c r="G390" s="135"/>
      <c r="H390" s="135"/>
      <c r="I390" s="135"/>
      <c r="J390" s="135"/>
      <c r="K390" s="135"/>
      <c r="L390" s="135"/>
      <c r="M390" s="135"/>
      <c r="N390" s="135"/>
      <c r="O390" s="135"/>
      <c r="P390" s="135"/>
      <c r="Q390" s="135"/>
      <c r="R390" s="134">
        <v>1.2999999999999999E-2</v>
      </c>
      <c r="S390" s="134"/>
      <c r="T390" s="28"/>
      <c r="U390" s="28"/>
      <c r="V390" s="28"/>
    </row>
    <row r="391" spans="1:23" s="50" customFormat="1" ht="20.100000000000001" customHeight="1"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row>
    <row r="392" spans="1:23" s="50" customFormat="1" ht="20.100000000000001" customHeight="1" x14ac:dyDescent="0.2">
      <c r="A392" s="28"/>
      <c r="B392" s="28"/>
      <c r="C392" s="28"/>
      <c r="D392" s="3"/>
      <c r="E392" s="3"/>
      <c r="F392" s="3"/>
      <c r="G392" s="3"/>
      <c r="H392" s="3"/>
      <c r="I392" s="3"/>
      <c r="J392" s="3"/>
      <c r="K392" s="3"/>
      <c r="L392" s="3"/>
      <c r="M392" s="3"/>
      <c r="N392" s="3"/>
      <c r="O392" s="3"/>
      <c r="P392" s="3"/>
      <c r="Q392" s="3"/>
      <c r="R392" s="3"/>
      <c r="S392" s="3"/>
      <c r="T392" s="28"/>
      <c r="U392" s="28"/>
      <c r="V392" s="28"/>
    </row>
    <row r="393" spans="1:23" s="50" customFormat="1" ht="39.950000000000003" customHeight="1" x14ac:dyDescent="0.25">
      <c r="A393" s="155" t="s">
        <v>17</v>
      </c>
      <c r="B393" s="156"/>
      <c r="C393" s="133" t="s">
        <v>431</v>
      </c>
      <c r="D393" s="133"/>
      <c r="E393" s="133" t="s">
        <v>302</v>
      </c>
      <c r="F393" s="133"/>
      <c r="G393" s="133" t="s">
        <v>87</v>
      </c>
      <c r="H393" s="133"/>
      <c r="I393" s="133"/>
      <c r="J393" s="133"/>
      <c r="K393" s="133"/>
      <c r="L393" s="133"/>
      <c r="M393" s="133"/>
      <c r="N393" s="133" t="s">
        <v>453</v>
      </c>
      <c r="O393" s="133"/>
      <c r="P393" s="133"/>
      <c r="Q393" s="133" t="s">
        <v>454</v>
      </c>
      <c r="R393" s="133"/>
      <c r="S393" s="133"/>
      <c r="T393" s="28"/>
      <c r="U393" s="28"/>
      <c r="V393" s="28"/>
    </row>
    <row r="394" spans="1:23" s="50" customFormat="1" ht="20.100000000000001" customHeight="1" x14ac:dyDescent="0.2">
      <c r="A394" s="153">
        <v>1</v>
      </c>
      <c r="B394" s="154"/>
      <c r="C394" s="113">
        <v>0.04</v>
      </c>
      <c r="D394" s="113"/>
      <c r="E394" s="114" t="s">
        <v>306</v>
      </c>
      <c r="F394" s="114"/>
      <c r="G394" s="115" t="str">
        <f>VLOOKUP(E394,$U$396:$W$404,3,0)</f>
        <v>Novo</v>
      </c>
      <c r="H394" s="115"/>
      <c r="I394" s="115"/>
      <c r="J394" s="115"/>
      <c r="K394" s="115"/>
      <c r="L394" s="115"/>
      <c r="M394" s="115"/>
      <c r="N394" s="116">
        <f>VLOOKUP(E394,$U$396:$W$404,2,0)</f>
        <v>0</v>
      </c>
      <c r="O394" s="116"/>
      <c r="P394" s="116"/>
      <c r="Q394" s="117">
        <f t="shared" ref="Q394:Q414" si="36">C394*N394</f>
        <v>0</v>
      </c>
      <c r="R394" s="117"/>
      <c r="S394" s="117"/>
      <c r="T394" s="28"/>
      <c r="U394" s="28"/>
      <c r="V394" s="28"/>
    </row>
    <row r="395" spans="1:23" s="50" customFormat="1" ht="20.100000000000001" customHeight="1" x14ac:dyDescent="0.2">
      <c r="A395" s="153">
        <v>2</v>
      </c>
      <c r="B395" s="154"/>
      <c r="C395" s="113">
        <v>7.0000000000000001E-3</v>
      </c>
      <c r="D395" s="113"/>
      <c r="E395" s="114" t="s">
        <v>306</v>
      </c>
      <c r="F395" s="114"/>
      <c r="G395" s="115" t="str">
        <f t="shared" ref="G395:G414" si="37">VLOOKUP(E395,$U$396:$W$404,3,0)</f>
        <v>Novo</v>
      </c>
      <c r="H395" s="115"/>
      <c r="I395" s="115"/>
      <c r="J395" s="115"/>
      <c r="K395" s="115"/>
      <c r="L395" s="115"/>
      <c r="M395" s="115"/>
      <c r="N395" s="116">
        <f t="shared" ref="N395:N414" si="38">VLOOKUP(E395,$U$396:$W$404,2,0)</f>
        <v>0</v>
      </c>
      <c r="O395" s="116"/>
      <c r="P395" s="116"/>
      <c r="Q395" s="117">
        <f t="shared" si="36"/>
        <v>0</v>
      </c>
      <c r="R395" s="117"/>
      <c r="S395" s="117"/>
      <c r="T395" s="28"/>
    </row>
    <row r="396" spans="1:23" s="50" customFormat="1" ht="20.100000000000001" customHeight="1" x14ac:dyDescent="0.2">
      <c r="A396" s="153">
        <v>3</v>
      </c>
      <c r="B396" s="154"/>
      <c r="C396" s="113">
        <v>0.15</v>
      </c>
      <c r="D396" s="113"/>
      <c r="E396" s="114" t="s">
        <v>306</v>
      </c>
      <c r="F396" s="114"/>
      <c r="G396" s="115" t="str">
        <f t="shared" si="37"/>
        <v>Novo</v>
      </c>
      <c r="H396" s="115"/>
      <c r="I396" s="115"/>
      <c r="J396" s="115"/>
      <c r="K396" s="115"/>
      <c r="L396" s="115"/>
      <c r="M396" s="115"/>
      <c r="N396" s="116">
        <f t="shared" si="38"/>
        <v>0</v>
      </c>
      <c r="O396" s="116"/>
      <c r="P396" s="116"/>
      <c r="Q396" s="117">
        <f t="shared" si="36"/>
        <v>0</v>
      </c>
      <c r="R396" s="117"/>
      <c r="S396" s="117"/>
      <c r="T396" s="28"/>
      <c r="U396" s="50" t="s">
        <v>306</v>
      </c>
      <c r="V396" s="50">
        <v>0</v>
      </c>
      <c r="W396" s="50" t="s">
        <v>261</v>
      </c>
    </row>
    <row r="397" spans="1:23" s="50" customFormat="1" ht="20.100000000000001" customHeight="1" x14ac:dyDescent="0.2">
      <c r="A397" s="153">
        <v>4</v>
      </c>
      <c r="B397" s="154"/>
      <c r="C397" s="113">
        <v>0.1</v>
      </c>
      <c r="D397" s="113"/>
      <c r="E397" s="114" t="s">
        <v>306</v>
      </c>
      <c r="F397" s="114"/>
      <c r="G397" s="115" t="str">
        <f t="shared" si="37"/>
        <v>Novo</v>
      </c>
      <c r="H397" s="115"/>
      <c r="I397" s="115"/>
      <c r="J397" s="115"/>
      <c r="K397" s="115"/>
      <c r="L397" s="115"/>
      <c r="M397" s="115"/>
      <c r="N397" s="116">
        <f t="shared" si="38"/>
        <v>0</v>
      </c>
      <c r="O397" s="116"/>
      <c r="P397" s="116"/>
      <c r="Q397" s="117">
        <f t="shared" si="36"/>
        <v>0</v>
      </c>
      <c r="R397" s="117"/>
      <c r="S397" s="117"/>
      <c r="T397" s="28"/>
      <c r="U397" s="50" t="s">
        <v>308</v>
      </c>
      <c r="V397" s="50">
        <v>0.32</v>
      </c>
      <c r="W397" s="50" t="s">
        <v>309</v>
      </c>
    </row>
    <row r="398" spans="1:23" s="50" customFormat="1" ht="20.100000000000001" customHeight="1" x14ac:dyDescent="0.2">
      <c r="A398" s="153">
        <v>5</v>
      </c>
      <c r="B398" s="154"/>
      <c r="C398" s="113">
        <v>7.4999999999999997E-2</v>
      </c>
      <c r="D398" s="113"/>
      <c r="E398" s="114" t="s">
        <v>306</v>
      </c>
      <c r="F398" s="114"/>
      <c r="G398" s="115" t="str">
        <f t="shared" si="37"/>
        <v>Novo</v>
      </c>
      <c r="H398" s="115"/>
      <c r="I398" s="115"/>
      <c r="J398" s="115"/>
      <c r="K398" s="115"/>
      <c r="L398" s="115"/>
      <c r="M398" s="115"/>
      <c r="N398" s="116">
        <f t="shared" si="38"/>
        <v>0</v>
      </c>
      <c r="O398" s="116"/>
      <c r="P398" s="116"/>
      <c r="Q398" s="117">
        <f t="shared" si="36"/>
        <v>0</v>
      </c>
      <c r="R398" s="117"/>
      <c r="S398" s="117"/>
      <c r="T398" s="28"/>
      <c r="U398" s="50" t="s">
        <v>311</v>
      </c>
      <c r="V398" s="50">
        <v>2.52</v>
      </c>
      <c r="W398" s="50" t="s">
        <v>7</v>
      </c>
    </row>
    <row r="399" spans="1:23" s="50" customFormat="1" ht="20.100000000000001" customHeight="1" x14ac:dyDescent="0.2">
      <c r="A399" s="153">
        <v>6</v>
      </c>
      <c r="B399" s="154"/>
      <c r="C399" s="113">
        <v>0.04</v>
      </c>
      <c r="D399" s="113"/>
      <c r="E399" s="114" t="s">
        <v>306</v>
      </c>
      <c r="F399" s="114"/>
      <c r="G399" s="115" t="str">
        <f t="shared" si="37"/>
        <v>Novo</v>
      </c>
      <c r="H399" s="115"/>
      <c r="I399" s="115"/>
      <c r="J399" s="115"/>
      <c r="K399" s="115"/>
      <c r="L399" s="115"/>
      <c r="M399" s="115"/>
      <c r="N399" s="116">
        <f t="shared" si="38"/>
        <v>0</v>
      </c>
      <c r="O399" s="116"/>
      <c r="P399" s="116"/>
      <c r="Q399" s="117">
        <f t="shared" si="36"/>
        <v>0</v>
      </c>
      <c r="R399" s="117"/>
      <c r="S399" s="117"/>
      <c r="T399" s="28"/>
      <c r="U399" s="50" t="s">
        <v>313</v>
      </c>
      <c r="V399" s="50">
        <v>8.09</v>
      </c>
      <c r="W399" s="50" t="s">
        <v>314</v>
      </c>
    </row>
    <row r="400" spans="1:23" s="50" customFormat="1" ht="20.100000000000001" customHeight="1" x14ac:dyDescent="0.2">
      <c r="A400" s="153">
        <v>7</v>
      </c>
      <c r="B400" s="154"/>
      <c r="C400" s="113">
        <v>0.12</v>
      </c>
      <c r="D400" s="113"/>
      <c r="E400" s="114" t="s">
        <v>306</v>
      </c>
      <c r="F400" s="114"/>
      <c r="G400" s="115" t="str">
        <f t="shared" si="37"/>
        <v>Novo</v>
      </c>
      <c r="H400" s="115"/>
      <c r="I400" s="115"/>
      <c r="J400" s="115"/>
      <c r="K400" s="115"/>
      <c r="L400" s="115"/>
      <c r="M400" s="115"/>
      <c r="N400" s="116">
        <f t="shared" si="38"/>
        <v>0</v>
      </c>
      <c r="O400" s="116"/>
      <c r="P400" s="116"/>
      <c r="Q400" s="117">
        <f t="shared" si="36"/>
        <v>0</v>
      </c>
      <c r="R400" s="117"/>
      <c r="S400" s="117"/>
      <c r="T400" s="28"/>
      <c r="U400" s="50" t="s">
        <v>316</v>
      </c>
      <c r="V400" s="50">
        <v>18.100000000000001</v>
      </c>
      <c r="W400" s="50" t="s">
        <v>317</v>
      </c>
    </row>
    <row r="401" spans="1:23" s="50" customFormat="1" ht="20.100000000000001" customHeight="1" x14ac:dyDescent="0.2">
      <c r="A401" s="153">
        <v>8</v>
      </c>
      <c r="B401" s="154"/>
      <c r="C401" s="113">
        <v>0.08</v>
      </c>
      <c r="D401" s="113"/>
      <c r="E401" s="114" t="s">
        <v>308</v>
      </c>
      <c r="F401" s="114"/>
      <c r="G401" s="115" t="str">
        <f t="shared" si="37"/>
        <v>Entre novo e regular</v>
      </c>
      <c r="H401" s="115"/>
      <c r="I401" s="115"/>
      <c r="J401" s="115"/>
      <c r="K401" s="115"/>
      <c r="L401" s="115"/>
      <c r="M401" s="115"/>
      <c r="N401" s="116">
        <f t="shared" si="38"/>
        <v>0.32</v>
      </c>
      <c r="O401" s="116"/>
      <c r="P401" s="116"/>
      <c r="Q401" s="117">
        <f t="shared" si="36"/>
        <v>2.5600000000000001E-2</v>
      </c>
      <c r="R401" s="117"/>
      <c r="S401" s="117"/>
      <c r="T401" s="28"/>
      <c r="U401" s="50" t="s">
        <v>319</v>
      </c>
      <c r="V401" s="50">
        <v>33.200000000000003</v>
      </c>
      <c r="W401" s="50" t="s">
        <v>320</v>
      </c>
    </row>
    <row r="402" spans="1:23" s="50" customFormat="1" ht="20.100000000000001" customHeight="1" x14ac:dyDescent="0.2">
      <c r="A402" s="153">
        <v>9</v>
      </c>
      <c r="B402" s="154"/>
      <c r="C402" s="113">
        <v>7.0000000000000007E-2</v>
      </c>
      <c r="D402" s="113"/>
      <c r="E402" s="114" t="s">
        <v>306</v>
      </c>
      <c r="F402" s="114"/>
      <c r="G402" s="115" t="str">
        <f t="shared" si="37"/>
        <v>Novo</v>
      </c>
      <c r="H402" s="115"/>
      <c r="I402" s="115"/>
      <c r="J402" s="115"/>
      <c r="K402" s="115"/>
      <c r="L402" s="115"/>
      <c r="M402" s="115"/>
      <c r="N402" s="116">
        <f t="shared" si="38"/>
        <v>0</v>
      </c>
      <c r="O402" s="116"/>
      <c r="P402" s="116"/>
      <c r="Q402" s="117">
        <f t="shared" si="36"/>
        <v>0</v>
      </c>
      <c r="R402" s="117"/>
      <c r="S402" s="117"/>
      <c r="T402" s="28"/>
      <c r="U402" s="50" t="s">
        <v>322</v>
      </c>
      <c r="V402" s="50">
        <v>52.6</v>
      </c>
      <c r="W402" s="50" t="s">
        <v>323</v>
      </c>
    </row>
    <row r="403" spans="1:23" s="50" customFormat="1" ht="20.100000000000001" customHeight="1" x14ac:dyDescent="0.2">
      <c r="A403" s="153">
        <v>10</v>
      </c>
      <c r="B403" s="154"/>
      <c r="C403" s="113">
        <v>0.03</v>
      </c>
      <c r="D403" s="113"/>
      <c r="E403" s="114" t="s">
        <v>306</v>
      </c>
      <c r="F403" s="114"/>
      <c r="G403" s="115" t="str">
        <f t="shared" si="37"/>
        <v>Novo</v>
      </c>
      <c r="H403" s="115"/>
      <c r="I403" s="115"/>
      <c r="J403" s="115"/>
      <c r="K403" s="115"/>
      <c r="L403" s="115"/>
      <c r="M403" s="115"/>
      <c r="N403" s="116">
        <f t="shared" si="38"/>
        <v>0</v>
      </c>
      <c r="O403" s="116"/>
      <c r="P403" s="116"/>
      <c r="Q403" s="117">
        <f t="shared" si="36"/>
        <v>0</v>
      </c>
      <c r="R403" s="117"/>
      <c r="S403" s="117"/>
      <c r="T403" s="28"/>
      <c r="U403" s="50" t="s">
        <v>325</v>
      </c>
      <c r="V403" s="50">
        <v>75.2</v>
      </c>
      <c r="W403" s="50" t="s">
        <v>326</v>
      </c>
    </row>
    <row r="404" spans="1:23" s="50" customFormat="1" ht="20.100000000000001" customHeight="1" x14ac:dyDescent="0.2">
      <c r="A404" s="153">
        <v>11</v>
      </c>
      <c r="B404" s="154"/>
      <c r="C404" s="113">
        <v>4.4999999999999998E-2</v>
      </c>
      <c r="D404" s="113"/>
      <c r="E404" s="114" t="s">
        <v>82</v>
      </c>
      <c r="F404" s="114"/>
      <c r="G404" s="115" t="str">
        <f t="shared" si="37"/>
        <v>Sem valor</v>
      </c>
      <c r="H404" s="115"/>
      <c r="I404" s="115"/>
      <c r="J404" s="115"/>
      <c r="K404" s="115"/>
      <c r="L404" s="115"/>
      <c r="M404" s="115"/>
      <c r="N404" s="116">
        <f t="shared" si="38"/>
        <v>100</v>
      </c>
      <c r="O404" s="116"/>
      <c r="P404" s="116"/>
      <c r="Q404" s="117">
        <f t="shared" si="36"/>
        <v>4.5</v>
      </c>
      <c r="R404" s="117"/>
      <c r="S404" s="117"/>
      <c r="T404" s="28"/>
      <c r="U404" s="50" t="s">
        <v>82</v>
      </c>
      <c r="V404" s="50">
        <v>100</v>
      </c>
      <c r="W404" s="50" t="s">
        <v>328</v>
      </c>
    </row>
    <row r="405" spans="1:23" s="50" customFormat="1" ht="20.100000000000001" customHeight="1" x14ac:dyDescent="0.2">
      <c r="A405" s="153">
        <v>12</v>
      </c>
      <c r="B405" s="154"/>
      <c r="C405" s="113">
        <v>0.01</v>
      </c>
      <c r="D405" s="113"/>
      <c r="E405" s="114" t="s">
        <v>82</v>
      </c>
      <c r="F405" s="114"/>
      <c r="G405" s="115" t="str">
        <f t="shared" si="37"/>
        <v>Sem valor</v>
      </c>
      <c r="H405" s="115"/>
      <c r="I405" s="115"/>
      <c r="J405" s="115"/>
      <c r="K405" s="115"/>
      <c r="L405" s="115"/>
      <c r="M405" s="115"/>
      <c r="N405" s="116">
        <f t="shared" si="38"/>
        <v>100</v>
      </c>
      <c r="O405" s="116"/>
      <c r="P405" s="116"/>
      <c r="Q405" s="117">
        <f t="shared" si="36"/>
        <v>1</v>
      </c>
      <c r="R405" s="117"/>
      <c r="S405" s="117"/>
      <c r="T405" s="28"/>
    </row>
    <row r="406" spans="1:23" s="50" customFormat="1" ht="20.100000000000001" customHeight="1" x14ac:dyDescent="0.2">
      <c r="A406" s="153">
        <v>13</v>
      </c>
      <c r="B406" s="154"/>
      <c r="C406" s="113">
        <v>7.0000000000000007E-2</v>
      </c>
      <c r="D406" s="113"/>
      <c r="E406" s="114" t="s">
        <v>306</v>
      </c>
      <c r="F406" s="114"/>
      <c r="G406" s="115" t="str">
        <f t="shared" si="37"/>
        <v>Novo</v>
      </c>
      <c r="H406" s="115"/>
      <c r="I406" s="115"/>
      <c r="J406" s="115"/>
      <c r="K406" s="115"/>
      <c r="L406" s="115"/>
      <c r="M406" s="115"/>
      <c r="N406" s="116">
        <f t="shared" si="38"/>
        <v>0</v>
      </c>
      <c r="O406" s="116"/>
      <c r="P406" s="116"/>
      <c r="Q406" s="117">
        <f t="shared" si="36"/>
        <v>0</v>
      </c>
      <c r="R406" s="117"/>
      <c r="S406" s="117"/>
      <c r="T406" s="28"/>
    </row>
    <row r="407" spans="1:23" s="50" customFormat="1" ht="20.100000000000001" customHeight="1" x14ac:dyDescent="0.2">
      <c r="A407" s="153">
        <v>14</v>
      </c>
      <c r="B407" s="154"/>
      <c r="C407" s="113">
        <v>1.4999999999999999E-2</v>
      </c>
      <c r="D407" s="113"/>
      <c r="E407" s="114" t="s">
        <v>306</v>
      </c>
      <c r="F407" s="114"/>
      <c r="G407" s="115" t="str">
        <f t="shared" si="37"/>
        <v>Novo</v>
      </c>
      <c r="H407" s="115"/>
      <c r="I407" s="115"/>
      <c r="J407" s="115"/>
      <c r="K407" s="115"/>
      <c r="L407" s="115"/>
      <c r="M407" s="115"/>
      <c r="N407" s="116">
        <f t="shared" si="38"/>
        <v>0</v>
      </c>
      <c r="O407" s="116"/>
      <c r="P407" s="116"/>
      <c r="Q407" s="117">
        <f t="shared" si="36"/>
        <v>0</v>
      </c>
      <c r="R407" s="117"/>
      <c r="S407" s="117"/>
      <c r="T407" s="28"/>
    </row>
    <row r="408" spans="1:23" s="50" customFormat="1" ht="20.100000000000001" customHeight="1" x14ac:dyDescent="0.2">
      <c r="A408" s="153">
        <v>15</v>
      </c>
      <c r="B408" s="154"/>
      <c r="C408" s="113">
        <v>3.3000000000000002E-2</v>
      </c>
      <c r="D408" s="113"/>
      <c r="E408" s="114" t="s">
        <v>306</v>
      </c>
      <c r="F408" s="114"/>
      <c r="G408" s="115" t="str">
        <f t="shared" si="37"/>
        <v>Novo</v>
      </c>
      <c r="H408" s="115"/>
      <c r="I408" s="115"/>
      <c r="J408" s="115"/>
      <c r="K408" s="115"/>
      <c r="L408" s="115"/>
      <c r="M408" s="115"/>
      <c r="N408" s="116">
        <f t="shared" si="38"/>
        <v>0</v>
      </c>
      <c r="O408" s="116"/>
      <c r="P408" s="116"/>
      <c r="Q408" s="117">
        <f t="shared" si="36"/>
        <v>0</v>
      </c>
      <c r="R408" s="117"/>
      <c r="S408" s="117"/>
      <c r="T408" s="28"/>
    </row>
    <row r="409" spans="1:23" s="50" customFormat="1" ht="20.100000000000001" customHeight="1" x14ac:dyDescent="0.2">
      <c r="A409" s="153">
        <v>16</v>
      </c>
      <c r="B409" s="154"/>
      <c r="C409" s="113">
        <v>1.7000000000000001E-2</v>
      </c>
      <c r="D409" s="113"/>
      <c r="E409" s="114" t="s">
        <v>306</v>
      </c>
      <c r="F409" s="114"/>
      <c r="G409" s="115" t="str">
        <f t="shared" si="37"/>
        <v>Novo</v>
      </c>
      <c r="H409" s="115"/>
      <c r="I409" s="115"/>
      <c r="J409" s="115"/>
      <c r="K409" s="115"/>
      <c r="L409" s="115"/>
      <c r="M409" s="115"/>
      <c r="N409" s="116">
        <f t="shared" si="38"/>
        <v>0</v>
      </c>
      <c r="O409" s="116"/>
      <c r="P409" s="116"/>
      <c r="Q409" s="117">
        <f t="shared" si="36"/>
        <v>0</v>
      </c>
      <c r="R409" s="117"/>
      <c r="S409" s="117"/>
      <c r="T409" s="28"/>
    </row>
    <row r="410" spans="1:23" s="50" customFormat="1" ht="20.100000000000001" customHeight="1" x14ac:dyDescent="0.2">
      <c r="A410" s="153">
        <v>17</v>
      </c>
      <c r="B410" s="154"/>
      <c r="C410" s="113">
        <v>1.4999999999999999E-2</v>
      </c>
      <c r="D410" s="113"/>
      <c r="E410" s="114" t="s">
        <v>82</v>
      </c>
      <c r="F410" s="114"/>
      <c r="G410" s="115" t="str">
        <f t="shared" si="37"/>
        <v>Sem valor</v>
      </c>
      <c r="H410" s="115"/>
      <c r="I410" s="115"/>
      <c r="J410" s="115"/>
      <c r="K410" s="115"/>
      <c r="L410" s="115"/>
      <c r="M410" s="115"/>
      <c r="N410" s="116">
        <f t="shared" si="38"/>
        <v>100</v>
      </c>
      <c r="O410" s="116"/>
      <c r="P410" s="116"/>
      <c r="Q410" s="117">
        <f t="shared" si="36"/>
        <v>1.5</v>
      </c>
      <c r="R410" s="117"/>
      <c r="S410" s="117"/>
      <c r="T410" s="28"/>
      <c r="U410" s="28"/>
      <c r="V410" s="28"/>
    </row>
    <row r="411" spans="1:23" s="50" customFormat="1" ht="20.100000000000001" customHeight="1" x14ac:dyDescent="0.2">
      <c r="A411" s="153">
        <v>18</v>
      </c>
      <c r="B411" s="154"/>
      <c r="C411" s="113">
        <v>3.5000000000000003E-2</v>
      </c>
      <c r="D411" s="113"/>
      <c r="E411" s="114" t="s">
        <v>82</v>
      </c>
      <c r="F411" s="114"/>
      <c r="G411" s="115" t="str">
        <f t="shared" si="37"/>
        <v>Sem valor</v>
      </c>
      <c r="H411" s="115"/>
      <c r="I411" s="115"/>
      <c r="J411" s="115"/>
      <c r="K411" s="115"/>
      <c r="L411" s="115"/>
      <c r="M411" s="115"/>
      <c r="N411" s="116">
        <f t="shared" si="38"/>
        <v>100</v>
      </c>
      <c r="O411" s="116"/>
      <c r="P411" s="116"/>
      <c r="Q411" s="117">
        <f t="shared" si="36"/>
        <v>3.5000000000000004</v>
      </c>
      <c r="R411" s="117"/>
      <c r="S411" s="117"/>
      <c r="T411" s="28"/>
      <c r="U411" s="28"/>
      <c r="V411" s="28"/>
    </row>
    <row r="412" spans="1:23" s="50" customFormat="1" ht="20.100000000000001" customHeight="1" x14ac:dyDescent="0.2">
      <c r="A412" s="153">
        <v>19</v>
      </c>
      <c r="B412" s="154"/>
      <c r="C412" s="113">
        <v>0.01</v>
      </c>
      <c r="D412" s="113"/>
      <c r="E412" s="114" t="s">
        <v>306</v>
      </c>
      <c r="F412" s="114"/>
      <c r="G412" s="115" t="str">
        <f t="shared" si="37"/>
        <v>Novo</v>
      </c>
      <c r="H412" s="115"/>
      <c r="I412" s="115"/>
      <c r="J412" s="115"/>
      <c r="K412" s="115"/>
      <c r="L412" s="115"/>
      <c r="M412" s="115"/>
      <c r="N412" s="116">
        <f t="shared" si="38"/>
        <v>0</v>
      </c>
      <c r="O412" s="116"/>
      <c r="P412" s="116"/>
      <c r="Q412" s="117">
        <f t="shared" si="36"/>
        <v>0</v>
      </c>
      <c r="R412" s="117"/>
      <c r="S412" s="117"/>
      <c r="T412" s="28"/>
      <c r="U412" s="28"/>
      <c r="V412" s="28"/>
    </row>
    <row r="413" spans="1:23" s="50" customFormat="1" ht="20.100000000000001" customHeight="1" x14ac:dyDescent="0.2">
      <c r="A413" s="153">
        <v>20</v>
      </c>
      <c r="B413" s="154"/>
      <c r="C413" s="113">
        <v>2.5000000000000001E-2</v>
      </c>
      <c r="D413" s="113"/>
      <c r="E413" s="114" t="s">
        <v>306</v>
      </c>
      <c r="F413" s="114"/>
      <c r="G413" s="115" t="str">
        <f t="shared" si="37"/>
        <v>Novo</v>
      </c>
      <c r="H413" s="115"/>
      <c r="I413" s="115"/>
      <c r="J413" s="115"/>
      <c r="K413" s="115"/>
      <c r="L413" s="115"/>
      <c r="M413" s="115"/>
      <c r="N413" s="116">
        <f t="shared" si="38"/>
        <v>0</v>
      </c>
      <c r="O413" s="116"/>
      <c r="P413" s="116"/>
      <c r="Q413" s="117">
        <f t="shared" si="36"/>
        <v>0</v>
      </c>
      <c r="R413" s="117"/>
      <c r="S413" s="117"/>
      <c r="T413" s="28"/>
      <c r="U413" s="28"/>
      <c r="V413" s="28"/>
    </row>
    <row r="414" spans="1:23" s="50" customFormat="1" ht="20.100000000000001" customHeight="1" x14ac:dyDescent="0.2">
      <c r="A414" s="153">
        <v>21</v>
      </c>
      <c r="B414" s="154"/>
      <c r="C414" s="113">
        <v>1.2999999999999999E-2</v>
      </c>
      <c r="D414" s="113"/>
      <c r="E414" s="114" t="s">
        <v>82</v>
      </c>
      <c r="F414" s="114"/>
      <c r="G414" s="115" t="str">
        <f t="shared" si="37"/>
        <v>Sem valor</v>
      </c>
      <c r="H414" s="115"/>
      <c r="I414" s="115"/>
      <c r="J414" s="115"/>
      <c r="K414" s="115"/>
      <c r="L414" s="115"/>
      <c r="M414" s="115"/>
      <c r="N414" s="116">
        <f t="shared" si="38"/>
        <v>100</v>
      </c>
      <c r="O414" s="116"/>
      <c r="P414" s="116"/>
      <c r="Q414" s="117">
        <f t="shared" si="36"/>
        <v>1.3</v>
      </c>
      <c r="R414" s="117"/>
      <c r="S414" s="117"/>
      <c r="T414" s="28"/>
      <c r="U414" s="28"/>
      <c r="V414" s="28"/>
    </row>
    <row r="415" spans="1:23" s="50" customFormat="1" ht="20.100000000000001" customHeight="1"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row>
    <row r="416" spans="1:23" s="50" customFormat="1" ht="20.100000000000001" customHeight="1" x14ac:dyDescent="0.2">
      <c r="A416" s="127" t="s">
        <v>455</v>
      </c>
      <c r="B416" s="127"/>
      <c r="C416" s="127"/>
      <c r="D416" s="127"/>
      <c r="E416" s="127"/>
      <c r="F416" s="127"/>
      <c r="G416" s="127"/>
      <c r="H416" s="127"/>
      <c r="I416" s="127"/>
      <c r="J416" s="127"/>
      <c r="K416" s="127"/>
      <c r="L416" s="127"/>
      <c r="M416" s="127"/>
      <c r="N416" s="127"/>
      <c r="O416" s="127"/>
      <c r="P416" s="127"/>
      <c r="Q416" s="127"/>
      <c r="R416" s="127"/>
      <c r="S416" s="127"/>
      <c r="T416" s="28"/>
      <c r="U416" s="28"/>
      <c r="V416" s="28"/>
    </row>
    <row r="417" spans="1:22" s="50" customFormat="1" ht="20.100000000000001" customHeight="1" x14ac:dyDescent="0.2">
      <c r="A417" s="41"/>
      <c r="B417" s="41"/>
      <c r="C417" s="41"/>
      <c r="D417" s="41"/>
      <c r="E417" s="41"/>
      <c r="F417" s="41"/>
      <c r="G417" s="41"/>
      <c r="H417" s="41"/>
      <c r="I417" s="41"/>
      <c r="J417" s="41"/>
      <c r="K417" s="41"/>
      <c r="L417" s="41"/>
      <c r="M417" s="41"/>
      <c r="N417" s="41"/>
      <c r="O417" s="41"/>
      <c r="P417" s="41"/>
      <c r="Q417" s="28"/>
      <c r="R417" s="28"/>
      <c r="S417" s="41"/>
      <c r="T417" s="28"/>
      <c r="U417" s="28"/>
      <c r="V417" s="28"/>
    </row>
    <row r="418" spans="1:22" s="50" customFormat="1" ht="20.100000000000001" customHeight="1" x14ac:dyDescent="0.2">
      <c r="A418" s="131" t="s">
        <v>456</v>
      </c>
      <c r="B418" s="131"/>
      <c r="C418" s="130">
        <v>1</v>
      </c>
      <c r="D418" s="130"/>
      <c r="E418" s="3"/>
      <c r="F418" s="3"/>
      <c r="G418" s="3"/>
      <c r="H418" s="3"/>
      <c r="I418" s="28"/>
      <c r="J418" s="41"/>
      <c r="K418" s="131" t="s">
        <v>457</v>
      </c>
      <c r="L418" s="131"/>
      <c r="M418" s="131"/>
      <c r="N418" s="131"/>
      <c r="O418" s="131"/>
      <c r="P418" s="131"/>
      <c r="Q418" s="132">
        <f>SUM(Q394:S414)</f>
        <v>11.825600000000001</v>
      </c>
      <c r="R418" s="132"/>
      <c r="S418" s="132"/>
      <c r="T418" s="28"/>
      <c r="U418" s="28"/>
      <c r="V418" s="28"/>
    </row>
    <row r="419" spans="1:22" s="50" customFormat="1" ht="20.100000000000001" customHeight="1" x14ac:dyDescent="0.2">
      <c r="A419" s="3"/>
      <c r="B419" s="3"/>
      <c r="C419" s="3"/>
      <c r="D419" s="3"/>
      <c r="E419" s="3"/>
      <c r="F419" s="3"/>
      <c r="G419" s="3"/>
      <c r="H419" s="3"/>
      <c r="I419" s="3"/>
      <c r="J419" s="3"/>
      <c r="K419" s="3"/>
      <c r="L419" s="3"/>
      <c r="M419" s="3"/>
      <c r="N419" s="3"/>
      <c r="O419" s="3"/>
      <c r="P419" s="3"/>
      <c r="Q419" s="3"/>
      <c r="R419" s="28"/>
      <c r="S419" s="28"/>
      <c r="T419" s="28"/>
      <c r="U419" s="28"/>
      <c r="V419" s="28"/>
    </row>
    <row r="420" spans="1:22" s="50" customFormat="1" ht="20.100000000000001" customHeight="1" x14ac:dyDescent="0.25">
      <c r="A420" s="127" t="s">
        <v>458</v>
      </c>
      <c r="B420" s="127"/>
      <c r="C420" s="127"/>
      <c r="D420" s="127"/>
      <c r="E420" s="127"/>
      <c r="F420" s="127"/>
      <c r="G420" s="127"/>
      <c r="H420" s="127"/>
      <c r="I420" s="127"/>
      <c r="J420" s="127"/>
      <c r="K420" s="127"/>
      <c r="L420" s="127"/>
      <c r="M420" s="127"/>
      <c r="N420" s="127"/>
      <c r="O420" s="127"/>
      <c r="P420" s="127"/>
      <c r="Q420" s="127"/>
      <c r="R420" s="129">
        <f>Q418</f>
        <v>11.825600000000001</v>
      </c>
      <c r="S420" s="129"/>
      <c r="T420" s="28"/>
      <c r="U420" s="28"/>
      <c r="V420" s="28"/>
    </row>
    <row r="421" spans="1:22" s="50" customFormat="1" ht="20.100000000000001" customHeight="1" x14ac:dyDescent="0.25">
      <c r="A421" s="128"/>
      <c r="B421" s="128"/>
      <c r="C421" s="128"/>
      <c r="D421" s="128"/>
      <c r="E421" s="128"/>
      <c r="F421" s="128"/>
      <c r="G421" s="128"/>
      <c r="H421" s="128"/>
      <c r="I421" s="128"/>
      <c r="J421" s="128"/>
      <c r="K421" s="128"/>
      <c r="L421" s="128"/>
      <c r="M421" s="128"/>
      <c r="N421" s="128"/>
      <c r="O421" s="128"/>
      <c r="P421" s="128"/>
      <c r="Q421" s="128"/>
      <c r="R421" s="129"/>
      <c r="S421" s="129"/>
      <c r="T421" s="28"/>
      <c r="U421" s="28"/>
      <c r="V421" s="28"/>
    </row>
    <row r="422" spans="1:22" s="50" customFormat="1" ht="20.100000000000001" customHeight="1"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row>
    <row r="423" spans="1:22" s="50" customFormat="1" ht="20.100000000000001" customHeight="1"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row>
    <row r="424" spans="1:22" s="50" customFormat="1" ht="20.100000000000001" customHeight="1" x14ac:dyDescent="0.25">
      <c r="A424" s="118" t="s">
        <v>459</v>
      </c>
      <c r="B424" s="118"/>
      <c r="C424" s="118"/>
      <c r="D424" s="118"/>
      <c r="E424" s="118"/>
      <c r="F424" s="118"/>
      <c r="G424" s="118"/>
      <c r="H424" s="118"/>
      <c r="I424" s="118"/>
      <c r="J424" s="118"/>
      <c r="K424" s="118"/>
      <c r="L424" s="118"/>
      <c r="M424" s="118"/>
      <c r="N424" s="118"/>
      <c r="O424" s="118"/>
      <c r="P424" s="118"/>
      <c r="Q424" s="118"/>
      <c r="R424" s="118"/>
      <c r="S424" s="118"/>
      <c r="T424" s="28"/>
      <c r="U424" s="28"/>
      <c r="V424" s="28"/>
    </row>
    <row r="425" spans="1:22" s="50" customFormat="1" ht="20.100000000000001" customHeight="1" x14ac:dyDescent="0.25">
      <c r="A425" s="33"/>
      <c r="B425" s="34"/>
      <c r="C425" s="34"/>
      <c r="D425" s="34"/>
      <c r="E425" s="34"/>
      <c r="F425" s="34"/>
      <c r="G425" s="34"/>
      <c r="H425" s="34"/>
      <c r="I425" s="34"/>
      <c r="J425" s="34"/>
      <c r="K425" s="34"/>
      <c r="L425" s="34"/>
      <c r="M425" s="34"/>
      <c r="N425" s="34"/>
      <c r="O425" s="34"/>
      <c r="P425" s="34"/>
      <c r="Q425" s="34"/>
      <c r="R425" s="34"/>
      <c r="S425" s="36"/>
      <c r="T425" s="28"/>
      <c r="U425" s="28"/>
      <c r="V425" s="28"/>
    </row>
    <row r="426" spans="1:22" s="50" customFormat="1" ht="20.100000000000001" customHeight="1" x14ac:dyDescent="0.25">
      <c r="A426" s="37"/>
      <c r="B426" s="28"/>
      <c r="C426" s="28"/>
      <c r="D426" s="28"/>
      <c r="E426" s="28"/>
      <c r="F426" s="28"/>
      <c r="G426" s="28"/>
      <c r="H426" s="28"/>
      <c r="I426" s="28"/>
      <c r="J426" s="28"/>
      <c r="K426" s="28"/>
      <c r="L426" s="28"/>
      <c r="M426" s="28"/>
      <c r="N426" s="28"/>
      <c r="O426" s="28"/>
      <c r="P426" s="28"/>
      <c r="Q426" s="28"/>
      <c r="R426" s="28"/>
      <c r="S426" s="38"/>
      <c r="T426" s="28"/>
      <c r="U426" s="28"/>
      <c r="V426" s="28"/>
    </row>
    <row r="427" spans="1:22" s="50" customFormat="1" ht="20.100000000000001" customHeight="1" x14ac:dyDescent="0.25">
      <c r="A427" s="37"/>
      <c r="B427" s="28"/>
      <c r="C427" s="28"/>
      <c r="D427" s="28"/>
      <c r="E427" s="28"/>
      <c r="F427" s="28"/>
      <c r="G427" s="28"/>
      <c r="H427" s="28"/>
      <c r="I427" s="28"/>
      <c r="J427" s="28"/>
      <c r="K427" s="28"/>
      <c r="L427" s="28"/>
      <c r="M427" s="28"/>
      <c r="N427" s="28"/>
      <c r="O427" s="28"/>
      <c r="P427" s="28"/>
      <c r="Q427" s="28"/>
      <c r="R427" s="28"/>
      <c r="S427" s="38"/>
      <c r="T427" s="28"/>
      <c r="U427" s="28"/>
      <c r="V427" s="28"/>
    </row>
    <row r="428" spans="1:22" s="50" customFormat="1" ht="20.100000000000001" customHeight="1" x14ac:dyDescent="0.25">
      <c r="A428" s="37"/>
      <c r="B428" s="28"/>
      <c r="C428" s="28"/>
      <c r="D428" s="28"/>
      <c r="E428" s="28"/>
      <c r="F428" s="28"/>
      <c r="G428" s="28"/>
      <c r="H428" s="28"/>
      <c r="I428" s="28"/>
      <c r="J428" s="28"/>
      <c r="K428" s="28"/>
      <c r="L428" s="28"/>
      <c r="M428" s="28"/>
      <c r="N428" s="28"/>
      <c r="O428" s="28"/>
      <c r="P428" s="28"/>
      <c r="Q428" s="28"/>
      <c r="R428" s="28"/>
      <c r="S428" s="38"/>
      <c r="T428" s="28"/>
      <c r="U428" s="28"/>
      <c r="V428" s="28"/>
    </row>
    <row r="429" spans="1:22" s="50" customFormat="1" ht="20.100000000000001" customHeight="1" x14ac:dyDescent="0.25">
      <c r="A429" s="37"/>
      <c r="B429" s="28"/>
      <c r="C429" s="28"/>
      <c r="D429" s="28"/>
      <c r="E429" s="28"/>
      <c r="F429" s="28"/>
      <c r="G429" s="28"/>
      <c r="H429" s="28"/>
      <c r="I429" s="28"/>
      <c r="J429" s="28"/>
      <c r="K429" s="28"/>
      <c r="L429" s="28"/>
      <c r="M429" s="28"/>
      <c r="N429" s="28"/>
      <c r="O429" s="28"/>
      <c r="P429" s="28"/>
      <c r="Q429" s="28"/>
      <c r="R429" s="28"/>
      <c r="S429" s="38"/>
      <c r="T429" s="28"/>
      <c r="U429" s="28"/>
      <c r="V429" s="28"/>
    </row>
    <row r="430" spans="1:22" s="50" customFormat="1" ht="20.100000000000001" customHeight="1" x14ac:dyDescent="0.25">
      <c r="A430" s="37"/>
      <c r="B430" s="28"/>
      <c r="C430" s="28"/>
      <c r="D430" s="28"/>
      <c r="E430" s="28"/>
      <c r="F430" s="28"/>
      <c r="G430" s="28"/>
      <c r="H430" s="28"/>
      <c r="I430" s="28"/>
      <c r="J430" s="28"/>
      <c r="K430" s="28"/>
      <c r="L430" s="28"/>
      <c r="M430" s="28"/>
      <c r="N430" s="28"/>
      <c r="O430" s="28"/>
      <c r="P430" s="28"/>
      <c r="Q430" s="28"/>
      <c r="R430" s="28"/>
      <c r="S430" s="38"/>
      <c r="T430" s="28"/>
      <c r="U430" s="28"/>
      <c r="V430" s="28"/>
    </row>
    <row r="431" spans="1:22" s="50" customFormat="1" ht="20.100000000000001" customHeight="1" x14ac:dyDescent="0.25">
      <c r="A431" s="37"/>
      <c r="B431" s="28"/>
      <c r="C431" s="28"/>
      <c r="D431" s="28"/>
      <c r="E431" s="28"/>
      <c r="F431" s="28"/>
      <c r="G431" s="28"/>
      <c r="H431" s="28"/>
      <c r="I431" s="28"/>
      <c r="J431" s="28"/>
      <c r="K431" s="28"/>
      <c r="L431" s="28"/>
      <c r="M431" s="28"/>
      <c r="N431" s="28"/>
      <c r="O431" s="28"/>
      <c r="P431" s="28"/>
      <c r="Q431" s="28"/>
      <c r="R431" s="28"/>
      <c r="S431" s="38"/>
      <c r="T431" s="28"/>
      <c r="U431" s="28"/>
      <c r="V431" s="28"/>
    </row>
    <row r="432" spans="1:22" s="50" customFormat="1" ht="20.100000000000001" customHeight="1" x14ac:dyDescent="0.25">
      <c r="A432" s="37"/>
      <c r="B432" s="28"/>
      <c r="C432" s="28"/>
      <c r="D432" s="28"/>
      <c r="E432" s="28"/>
      <c r="F432" s="28"/>
      <c r="G432" s="28"/>
      <c r="H432" s="28"/>
      <c r="I432" s="28"/>
      <c r="J432" s="28"/>
      <c r="K432" s="28"/>
      <c r="L432" s="28"/>
      <c r="M432" s="28"/>
      <c r="N432" s="28"/>
      <c r="O432" s="28"/>
      <c r="P432" s="28"/>
      <c r="Q432" s="28"/>
      <c r="R432" s="28"/>
      <c r="S432" s="38"/>
      <c r="T432" s="28"/>
      <c r="U432" s="28"/>
      <c r="V432" s="28"/>
    </row>
    <row r="433" spans="1:22" s="50" customFormat="1" ht="20.100000000000001" customHeight="1" x14ac:dyDescent="0.25">
      <c r="A433" s="37"/>
      <c r="B433" s="28"/>
      <c r="C433" s="28"/>
      <c r="D433" s="28"/>
      <c r="E433" s="28"/>
      <c r="F433" s="28"/>
      <c r="G433" s="28"/>
      <c r="H433" s="28"/>
      <c r="I433" s="28"/>
      <c r="J433" s="28"/>
      <c r="K433" s="28"/>
      <c r="L433" s="28"/>
      <c r="M433" s="28"/>
      <c r="N433" s="28"/>
      <c r="O433" s="28"/>
      <c r="P433" s="28"/>
      <c r="Q433" s="28"/>
      <c r="R433" s="28"/>
      <c r="S433" s="38"/>
      <c r="T433" s="28"/>
      <c r="U433" s="28"/>
      <c r="V433" s="28"/>
    </row>
    <row r="434" spans="1:22" s="50" customFormat="1" ht="20.100000000000001" customHeight="1" x14ac:dyDescent="0.25">
      <c r="A434" s="37"/>
      <c r="B434" s="28"/>
      <c r="C434" s="28"/>
      <c r="D434" s="28"/>
      <c r="E434" s="28"/>
      <c r="F434" s="28"/>
      <c r="G434" s="28"/>
      <c r="H434" s="28"/>
      <c r="I434" s="28"/>
      <c r="J434" s="28"/>
      <c r="K434" s="28"/>
      <c r="L434" s="28"/>
      <c r="M434" s="28"/>
      <c r="N434" s="28"/>
      <c r="O434" s="28"/>
      <c r="P434" s="28"/>
      <c r="Q434" s="28"/>
      <c r="R434" s="28"/>
      <c r="S434" s="38"/>
      <c r="T434" s="28"/>
      <c r="U434" s="28"/>
      <c r="V434" s="28"/>
    </row>
    <row r="435" spans="1:22" s="50" customFormat="1" ht="20.100000000000001" customHeight="1" x14ac:dyDescent="0.25">
      <c r="A435" s="37"/>
      <c r="B435" s="28"/>
      <c r="C435" s="28"/>
      <c r="D435" s="28"/>
      <c r="E435" s="28"/>
      <c r="F435" s="28"/>
      <c r="G435" s="28"/>
      <c r="H435" s="28"/>
      <c r="I435" s="28"/>
      <c r="J435" s="28"/>
      <c r="K435" s="28"/>
      <c r="L435" s="28"/>
      <c r="M435" s="28"/>
      <c r="N435" s="28"/>
      <c r="O435" s="28"/>
      <c r="P435" s="28"/>
      <c r="Q435" s="28"/>
      <c r="R435" s="28"/>
      <c r="S435" s="38"/>
      <c r="T435" s="28"/>
      <c r="U435" s="28"/>
      <c r="V435" s="28"/>
    </row>
    <row r="436" spans="1:22" s="50" customFormat="1" ht="20.100000000000001" customHeight="1" x14ac:dyDescent="0.25">
      <c r="A436" s="37"/>
      <c r="B436" s="28"/>
      <c r="C436" s="28"/>
      <c r="D436" s="28"/>
      <c r="E436" s="28"/>
      <c r="F436" s="28"/>
      <c r="G436" s="28"/>
      <c r="H436" s="28"/>
      <c r="I436" s="28"/>
      <c r="J436" s="28"/>
      <c r="K436" s="28"/>
      <c r="L436" s="28"/>
      <c r="M436" s="28"/>
      <c r="N436" s="28"/>
      <c r="O436" s="28"/>
      <c r="P436" s="28"/>
      <c r="Q436" s="28"/>
      <c r="R436" s="28"/>
      <c r="S436" s="38"/>
      <c r="T436" s="28"/>
      <c r="U436" s="28"/>
      <c r="V436" s="28"/>
    </row>
    <row r="437" spans="1:22" s="50" customFormat="1" ht="20.100000000000001" customHeight="1" x14ac:dyDescent="0.25">
      <c r="A437" s="37"/>
      <c r="B437" s="28"/>
      <c r="C437" s="28"/>
      <c r="D437" s="28"/>
      <c r="E437" s="28"/>
      <c r="F437" s="28"/>
      <c r="G437" s="28"/>
      <c r="H437" s="28"/>
      <c r="I437" s="28"/>
      <c r="J437" s="28"/>
      <c r="K437" s="28"/>
      <c r="L437" s="28"/>
      <c r="M437" s="28"/>
      <c r="N437" s="28"/>
      <c r="O437" s="28"/>
      <c r="P437" s="28"/>
      <c r="Q437" s="28"/>
      <c r="R437" s="28"/>
      <c r="S437" s="38"/>
      <c r="T437" s="28"/>
      <c r="U437" s="28"/>
      <c r="V437" s="28"/>
    </row>
    <row r="438" spans="1:22" s="50" customFormat="1" ht="20.100000000000001" customHeight="1" x14ac:dyDescent="0.25">
      <c r="A438" s="39"/>
      <c r="B438" s="40"/>
      <c r="C438" s="40"/>
      <c r="D438" s="40"/>
      <c r="E438" s="40"/>
      <c r="F438" s="40"/>
      <c r="G438" s="40"/>
      <c r="H438" s="40"/>
      <c r="I438" s="40"/>
      <c r="J438" s="40"/>
      <c r="K438" s="40"/>
      <c r="L438" s="40"/>
      <c r="M438" s="40"/>
      <c r="N438" s="40"/>
      <c r="O438" s="40"/>
      <c r="P438" s="40"/>
      <c r="Q438" s="40"/>
      <c r="R438" s="40"/>
      <c r="S438" s="42"/>
      <c r="T438" s="28"/>
      <c r="U438" s="28"/>
      <c r="V438" s="28"/>
    </row>
    <row r="439" spans="1:22" s="50" customFormat="1" ht="20.100000000000001" customHeight="1"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row>
    <row r="440" spans="1:22" s="50" customFormat="1" ht="20.100000000000001" customHeight="1" x14ac:dyDescent="0.25">
      <c r="A440" s="28"/>
      <c r="B440" s="28"/>
      <c r="C440" s="28"/>
      <c r="D440" s="28"/>
      <c r="E440" s="28"/>
      <c r="F440" s="28"/>
      <c r="G440" s="28"/>
      <c r="H440" s="28"/>
      <c r="I440" s="28"/>
      <c r="J440" s="28"/>
      <c r="K440" s="28"/>
      <c r="L440" s="28"/>
      <c r="M440" s="28"/>
      <c r="N440" s="28"/>
      <c r="O440" s="28"/>
      <c r="P440" s="149"/>
      <c r="Q440" s="149"/>
      <c r="R440" s="149"/>
      <c r="S440" s="149"/>
      <c r="T440" s="28"/>
      <c r="U440" s="28"/>
      <c r="V440" s="28"/>
    </row>
    <row r="441" spans="1:22" s="50" customFormat="1" ht="20.100000000000001" customHeight="1" x14ac:dyDescent="0.25">
      <c r="A441" s="120" t="s">
        <v>390</v>
      </c>
      <c r="B441" s="120"/>
      <c r="C441" s="120"/>
      <c r="D441" s="120"/>
      <c r="E441" s="120"/>
      <c r="F441" s="120"/>
      <c r="G441" s="120"/>
      <c r="H441" s="120"/>
      <c r="I441" s="120"/>
      <c r="J441" s="120"/>
      <c r="K441" s="120"/>
      <c r="L441" s="120"/>
      <c r="M441" s="120"/>
      <c r="N441" s="120"/>
      <c r="O441" s="120"/>
      <c r="P441" s="152"/>
      <c r="Q441" s="152"/>
      <c r="R441" s="152"/>
      <c r="S441" s="152"/>
      <c r="T441" s="28"/>
      <c r="U441" s="28"/>
      <c r="V441" s="28"/>
    </row>
    <row r="442" spans="1:22" s="50" customFormat="1" ht="20.100000000000001" customHeight="1"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row>
    <row r="443" spans="1:22" s="50" customFormat="1" ht="20.100000000000001" customHeight="1" x14ac:dyDescent="0.25">
      <c r="A443" s="111" t="s">
        <v>463</v>
      </c>
      <c r="B443" s="111"/>
      <c r="C443" s="111"/>
      <c r="D443" s="111"/>
      <c r="E443" s="111"/>
      <c r="F443" s="111"/>
      <c r="G443" s="111"/>
      <c r="H443" s="111"/>
      <c r="I443" s="111"/>
      <c r="J443" s="43"/>
      <c r="K443" s="43"/>
      <c r="L443" s="43"/>
      <c r="M443" s="122">
        <f>Q418</f>
        <v>11.825600000000001</v>
      </c>
      <c r="N443" s="123"/>
      <c r="O443" s="123"/>
      <c r="P443" s="123"/>
      <c r="Q443" s="123"/>
      <c r="R443" s="123"/>
      <c r="S443" s="123"/>
      <c r="T443" s="28"/>
      <c r="U443" s="28"/>
      <c r="V443" s="28"/>
    </row>
    <row r="444" spans="1:22" s="50" customFormat="1" ht="20.100000000000001" customHeight="1"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row>
    <row r="445" spans="1:22" s="50" customFormat="1" ht="20.100000000000001" customHeight="1" x14ac:dyDescent="0.25">
      <c r="A445" s="120" t="s">
        <v>391</v>
      </c>
      <c r="B445" s="120"/>
      <c r="C445" s="120"/>
      <c r="D445" s="120"/>
      <c r="E445" s="120"/>
      <c r="F445" s="120"/>
      <c r="G445" s="120"/>
      <c r="H445" s="120"/>
      <c r="I445" s="120"/>
      <c r="J445" s="120"/>
      <c r="K445" s="120"/>
      <c r="L445" s="120"/>
      <c r="M445" s="40"/>
      <c r="N445" s="40"/>
      <c r="O445" s="40"/>
      <c r="P445" s="124">
        <f>(K361)+(100-(K361))*(M443/100)</f>
        <v>28.020897959183671</v>
      </c>
      <c r="Q445" s="124"/>
      <c r="R445" s="124"/>
      <c r="S445" s="124"/>
      <c r="T445" s="28"/>
      <c r="U445" s="28"/>
      <c r="V445" s="28"/>
    </row>
    <row r="446" spans="1:22" s="50" customFormat="1" ht="20.100000000000001" customHeight="1" x14ac:dyDescent="0.25">
      <c r="A446" s="120" t="s">
        <v>392</v>
      </c>
      <c r="B446" s="120"/>
      <c r="C446" s="120"/>
      <c r="D446" s="120"/>
      <c r="E446" s="120"/>
      <c r="F446" s="120"/>
      <c r="G446" s="120"/>
      <c r="H446" s="120"/>
      <c r="I446" s="120"/>
      <c r="J446" s="120"/>
      <c r="K446" s="120"/>
      <c r="L446" s="120"/>
      <c r="M446" s="40"/>
      <c r="N446" s="40"/>
      <c r="O446" s="40"/>
      <c r="P446" s="125">
        <f>-(P445/100)</f>
        <v>-0.28020897959183672</v>
      </c>
      <c r="Q446" s="125"/>
      <c r="R446" s="125"/>
      <c r="S446" s="125"/>
      <c r="T446" s="28"/>
      <c r="U446" s="28"/>
      <c r="V446" s="28"/>
    </row>
    <row r="447" spans="1:22" s="50" customFormat="1" ht="20.100000000000001" customHeight="1" x14ac:dyDescent="0.25">
      <c r="A447" s="111" t="s">
        <v>393</v>
      </c>
      <c r="B447" s="111"/>
      <c r="C447" s="111"/>
      <c r="D447" s="111"/>
      <c r="E447" s="111"/>
      <c r="F447" s="111"/>
      <c r="G447" s="111"/>
      <c r="H447" s="111"/>
      <c r="I447" s="111"/>
      <c r="J447" s="111"/>
      <c r="K447" s="111"/>
      <c r="L447" s="111"/>
      <c r="M447" s="43"/>
      <c r="N447" s="43"/>
      <c r="O447" s="43"/>
      <c r="P447" s="126">
        <f>1+P446</f>
        <v>0.71979102040816323</v>
      </c>
      <c r="Q447" s="126"/>
      <c r="R447" s="126"/>
      <c r="S447" s="126"/>
      <c r="T447" s="28"/>
      <c r="U447" s="28"/>
      <c r="V447" s="28"/>
    </row>
    <row r="448" spans="1:22" s="50" customFormat="1" ht="20.100000000000001" customHeight="1" x14ac:dyDescent="0.2">
      <c r="A448" s="28"/>
      <c r="B448" s="28"/>
      <c r="C448" s="44"/>
      <c r="D448" s="28"/>
      <c r="E448" s="28"/>
      <c r="F448" s="28"/>
      <c r="G448" s="28"/>
      <c r="H448" s="28"/>
      <c r="I448" s="28"/>
      <c r="J448" s="28"/>
      <c r="K448" s="28"/>
      <c r="L448" s="28"/>
      <c r="M448" s="28"/>
      <c r="N448" s="28"/>
      <c r="O448" s="28"/>
      <c r="P448" s="28"/>
      <c r="Q448" s="28"/>
      <c r="R448" s="28"/>
      <c r="S448" s="28"/>
      <c r="T448" s="28"/>
      <c r="U448" s="28"/>
      <c r="V448" s="28"/>
    </row>
    <row r="449" spans="1:25" s="50" customFormat="1" ht="20.100000000000001" customHeight="1" x14ac:dyDescent="0.25">
      <c r="A449" s="120" t="s">
        <v>385</v>
      </c>
      <c r="B449" s="120"/>
      <c r="C449" s="120"/>
      <c r="D449" s="120"/>
      <c r="E449" s="120"/>
      <c r="F449" s="120"/>
      <c r="G449" s="120"/>
      <c r="H449" s="120"/>
      <c r="I449" s="120"/>
      <c r="J449" s="120"/>
      <c r="K449" s="120"/>
      <c r="L449" s="120"/>
      <c r="M449" s="120"/>
      <c r="N449" s="121">
        <f>N342</f>
        <v>390153.6532</v>
      </c>
      <c r="O449" s="121"/>
      <c r="P449" s="121"/>
      <c r="Q449" s="121"/>
      <c r="R449" s="121"/>
      <c r="S449" s="121"/>
      <c r="T449" s="28"/>
      <c r="U449" s="28"/>
      <c r="V449" s="28"/>
    </row>
    <row r="450" spans="1:25" s="50" customFormat="1" ht="20.100000000000001" customHeight="1" x14ac:dyDescent="0.25">
      <c r="A450" s="120" t="s">
        <v>394</v>
      </c>
      <c r="B450" s="120"/>
      <c r="C450" s="120"/>
      <c r="D450" s="120"/>
      <c r="E450" s="120"/>
      <c r="F450" s="120"/>
      <c r="G450" s="120"/>
      <c r="H450" s="120"/>
      <c r="I450" s="120"/>
      <c r="J450" s="120"/>
      <c r="K450" s="120"/>
      <c r="L450" s="120"/>
      <c r="M450" s="120"/>
      <c r="N450" s="121">
        <f>N449*P446</f>
        <v>-109324.55704719934</v>
      </c>
      <c r="O450" s="121"/>
      <c r="P450" s="121"/>
      <c r="Q450" s="121"/>
      <c r="R450" s="121"/>
      <c r="S450" s="121"/>
      <c r="T450" s="28"/>
      <c r="U450" s="28"/>
      <c r="V450" s="28"/>
    </row>
    <row r="451" spans="1:25" s="50" customFormat="1" ht="20.100000000000001" customHeight="1"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row>
    <row r="452" spans="1:25" s="50" customFormat="1" ht="20.100000000000001" customHeight="1" x14ac:dyDescent="0.25">
      <c r="A452" s="120" t="s">
        <v>395</v>
      </c>
      <c r="B452" s="120"/>
      <c r="C452" s="120"/>
      <c r="D452" s="120"/>
      <c r="E452" s="120"/>
      <c r="F452" s="120"/>
      <c r="G452" s="120"/>
      <c r="H452" s="120"/>
      <c r="I452" s="120"/>
      <c r="J452" s="120"/>
      <c r="K452" s="120"/>
      <c r="L452" s="120"/>
      <c r="M452" s="120"/>
      <c r="N452" s="121">
        <f>N449+N450</f>
        <v>280829.09615280066</v>
      </c>
      <c r="O452" s="121"/>
      <c r="P452" s="121"/>
      <c r="Q452" s="121"/>
      <c r="R452" s="121"/>
      <c r="S452" s="121"/>
      <c r="T452" s="28"/>
      <c r="U452" s="28"/>
      <c r="V452" s="28"/>
    </row>
    <row r="453" spans="1:25" s="50" customFormat="1" ht="20.100000000000001" customHeight="1"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row>
    <row r="454" spans="1:25" s="50" customFormat="1" ht="20.100000000000001" customHeight="1"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row>
    <row r="455" spans="1:25" s="50" customFormat="1" ht="20.100000000000001" customHeight="1" x14ac:dyDescent="0.25">
      <c r="A455" s="142" t="s">
        <v>396</v>
      </c>
      <c r="B455" s="142"/>
      <c r="C455" s="142"/>
      <c r="D455" s="142"/>
      <c r="E455" s="142"/>
      <c r="F455" s="142"/>
      <c r="G455" s="142"/>
      <c r="H455" s="142"/>
      <c r="I455" s="142"/>
      <c r="J455" s="142"/>
      <c r="K455" s="142"/>
      <c r="L455" s="142"/>
      <c r="M455" s="142"/>
      <c r="N455" s="142"/>
      <c r="O455" s="142"/>
      <c r="P455" s="142"/>
      <c r="Q455" s="142"/>
      <c r="R455" s="142"/>
      <c r="S455" s="142"/>
      <c r="T455" s="28"/>
      <c r="U455" s="28"/>
      <c r="V455" s="28"/>
    </row>
    <row r="456" spans="1:25" s="50" customFormat="1" ht="20.100000000000001" customHeight="1"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row>
    <row r="457" spans="1:25" s="50" customFormat="1" ht="20.100000000000001" customHeight="1" x14ac:dyDescent="0.25">
      <c r="A457" s="120" t="s">
        <v>398</v>
      </c>
      <c r="B457" s="120"/>
      <c r="C457" s="120"/>
      <c r="D457" s="120"/>
      <c r="E457" s="120"/>
      <c r="F457" s="40"/>
      <c r="G457" s="40"/>
      <c r="H457" s="40"/>
      <c r="I457" s="40"/>
      <c r="J457" s="40"/>
      <c r="K457" s="40"/>
      <c r="L457" s="40"/>
      <c r="M457" s="143" t="s">
        <v>267</v>
      </c>
      <c r="N457" s="143"/>
      <c r="O457" s="143"/>
      <c r="P457" s="143"/>
      <c r="Q457" s="143"/>
      <c r="R457" s="143"/>
      <c r="S457" s="143"/>
      <c r="T457" s="28"/>
      <c r="U457" s="28"/>
      <c r="V457" s="28"/>
    </row>
    <row r="458" spans="1:25" s="50" customFormat="1" ht="20.100000000000001" customHeight="1" x14ac:dyDescent="0.25">
      <c r="A458" s="120" t="s">
        <v>399</v>
      </c>
      <c r="B458" s="120"/>
      <c r="C458" s="120"/>
      <c r="D458" s="120"/>
      <c r="E458" s="120"/>
      <c r="F458" s="40"/>
      <c r="G458" s="40"/>
      <c r="H458" s="40"/>
      <c r="I458" s="40"/>
      <c r="J458" s="40"/>
      <c r="K458" s="40"/>
      <c r="L458" s="40"/>
      <c r="M458" s="52">
        <f>F347</f>
        <v>20</v>
      </c>
      <c r="N458" s="40" t="s">
        <v>400</v>
      </c>
      <c r="O458" s="40"/>
      <c r="P458" s="40"/>
      <c r="Q458" s="40"/>
      <c r="R458" s="40"/>
      <c r="S458" s="40"/>
      <c r="T458" s="28"/>
      <c r="U458" s="28"/>
      <c r="V458" s="28"/>
    </row>
    <row r="459" spans="1:25" s="50" customFormat="1" ht="20.100000000000001" customHeight="1"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row>
    <row r="460" spans="1:25" s="50" customFormat="1" ht="20.100000000000001" customHeight="1" x14ac:dyDescent="0.25">
      <c r="A460" s="120" t="s">
        <v>401</v>
      </c>
      <c r="B460" s="120"/>
      <c r="C460" s="120"/>
      <c r="D460" s="120"/>
      <c r="E460" s="120"/>
      <c r="F460" s="120"/>
      <c r="G460" s="120"/>
      <c r="H460" s="120"/>
      <c r="I460" s="120"/>
      <c r="J460" s="120"/>
      <c r="K460" s="120"/>
      <c r="L460" s="120"/>
      <c r="M460" s="120"/>
      <c r="N460" s="121">
        <f>N326</f>
        <v>176643.80952380953</v>
      </c>
      <c r="O460" s="121"/>
      <c r="P460" s="121"/>
      <c r="Q460" s="121"/>
      <c r="R460" s="121"/>
      <c r="S460" s="121"/>
      <c r="T460" s="28"/>
      <c r="U460" s="28"/>
      <c r="V460" s="28"/>
      <c r="X460" s="50" t="s">
        <v>397</v>
      </c>
    </row>
    <row r="461" spans="1:25" s="50" customFormat="1" ht="20.100000000000001" customHeight="1" x14ac:dyDescent="0.25">
      <c r="A461" s="120" t="s">
        <v>402</v>
      </c>
      <c r="B461" s="120"/>
      <c r="C461" s="120"/>
      <c r="D461" s="120"/>
      <c r="E461" s="120"/>
      <c r="F461" s="120"/>
      <c r="G461" s="120"/>
      <c r="H461" s="120"/>
      <c r="I461" s="120"/>
      <c r="J461" s="120"/>
      <c r="K461" s="120"/>
      <c r="L461" s="120"/>
      <c r="M461" s="120"/>
      <c r="N461" s="121">
        <f>N452</f>
        <v>280829.09615280066</v>
      </c>
      <c r="O461" s="121"/>
      <c r="P461" s="121"/>
      <c r="Q461" s="121"/>
      <c r="R461" s="121"/>
      <c r="S461" s="121"/>
      <c r="T461" s="28"/>
      <c r="U461" s="28"/>
      <c r="V461" s="28"/>
      <c r="X461" s="50" t="s">
        <v>460</v>
      </c>
      <c r="Y461" s="50">
        <f>MATCH(M458,'VANTAGEM DA COISA FEITA'!U12:U81,0)</f>
        <v>20</v>
      </c>
    </row>
    <row r="462" spans="1:25" s="50" customFormat="1" ht="20.100000000000001" customHeight="1"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X462" s="50" t="s">
        <v>461</v>
      </c>
      <c r="Y462" s="50">
        <f>MATCH(M457,'VANTAGEM DA COISA FEITA'!V11:Y11,0)</f>
        <v>3</v>
      </c>
    </row>
    <row r="463" spans="1:25" s="50" customFormat="1" ht="20.100000000000001" customHeight="1" x14ac:dyDescent="0.25">
      <c r="A463" s="120" t="s">
        <v>403</v>
      </c>
      <c r="B463" s="120"/>
      <c r="C463" s="120"/>
      <c r="D463" s="120"/>
      <c r="E463" s="120"/>
      <c r="F463" s="120"/>
      <c r="G463" s="120"/>
      <c r="H463" s="120"/>
      <c r="I463" s="120"/>
      <c r="J463" s="120"/>
      <c r="K463" s="120"/>
      <c r="L463" s="120"/>
      <c r="M463" s="120"/>
      <c r="N463" s="121">
        <f>N460+N461</f>
        <v>457472.90567661019</v>
      </c>
      <c r="O463" s="121"/>
      <c r="P463" s="121"/>
      <c r="Q463" s="121"/>
      <c r="R463" s="121"/>
      <c r="S463" s="121"/>
      <c r="T463" s="28"/>
      <c r="U463" s="28"/>
      <c r="V463" s="28"/>
      <c r="X463" s="50" t="s">
        <v>462</v>
      </c>
      <c r="Y463" s="50" cm="1">
        <f t="array" ref="Y463">INDEX('VANTAGEM DA COISA FEITA'!V12:Y81,Y461,Y462)</f>
        <v>5.2000000000000005E-2</v>
      </c>
    </row>
    <row r="464" spans="1:25" s="50" customFormat="1" ht="20.100000000000001" customHeight="1" x14ac:dyDescent="0.25">
      <c r="A464" s="120" t="s">
        <v>404</v>
      </c>
      <c r="B464" s="120"/>
      <c r="C464" s="120"/>
      <c r="D464" s="120"/>
      <c r="E464" s="120"/>
      <c r="F464" s="120"/>
      <c r="G464" s="120"/>
      <c r="H464" s="120"/>
      <c r="I464" s="120"/>
      <c r="J464" s="120"/>
      <c r="K464" s="120"/>
      <c r="L464" s="120"/>
      <c r="M464" s="120"/>
      <c r="N464" s="120">
        <f>1+Y463</f>
        <v>1.052</v>
      </c>
      <c r="O464" s="120"/>
      <c r="P464" s="120"/>
      <c r="Q464" s="120"/>
      <c r="R464" s="120"/>
      <c r="S464" s="120"/>
      <c r="T464" s="28"/>
      <c r="U464" s="28"/>
      <c r="V464" s="28"/>
    </row>
    <row r="465" spans="1:25" s="50" customFormat="1" ht="20.100000000000001" customHeight="1"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Y465" s="109"/>
    </row>
    <row r="466" spans="1:25" s="50" customFormat="1" ht="20.100000000000001" customHeight="1" x14ac:dyDescent="0.25">
      <c r="A466" s="120" t="s">
        <v>406</v>
      </c>
      <c r="B466" s="120"/>
      <c r="C466" s="120"/>
      <c r="D466" s="120"/>
      <c r="E466" s="120"/>
      <c r="F466" s="120"/>
      <c r="G466" s="120"/>
      <c r="H466" s="120"/>
      <c r="I466" s="120"/>
      <c r="J466" s="120"/>
      <c r="K466" s="120"/>
      <c r="L466" s="120"/>
      <c r="M466" s="120"/>
      <c r="N466" s="121">
        <f>N463*N464</f>
        <v>481261.49677179393</v>
      </c>
      <c r="O466" s="121"/>
      <c r="P466" s="121"/>
      <c r="Q466" s="121"/>
      <c r="R466" s="121"/>
      <c r="S466" s="121"/>
      <c r="T466" s="28"/>
      <c r="U466" s="28"/>
      <c r="V466" s="28"/>
      <c r="Y466" s="109"/>
    </row>
    <row r="467" spans="1:25" s="50" customFormat="1" ht="20.100000000000001" customHeight="1"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Y467" s="109"/>
    </row>
    <row r="468" spans="1:25" s="50" customFormat="1" ht="20.100000000000001" customHeight="1"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row>
    <row r="469" spans="1:25" s="50" customFormat="1" ht="20.100000000000001" customHeight="1" x14ac:dyDescent="0.25">
      <c r="A469" s="120" t="s">
        <v>408</v>
      </c>
      <c r="B469" s="120"/>
      <c r="C469" s="120"/>
      <c r="D469" s="120"/>
      <c r="E469" s="120"/>
      <c r="F469" s="120"/>
      <c r="G469" s="120"/>
      <c r="H469" s="120"/>
      <c r="I469" s="120"/>
      <c r="J469" s="120"/>
      <c r="K469" s="120"/>
      <c r="L469" s="120"/>
      <c r="M469" s="120"/>
      <c r="N469" s="120"/>
      <c r="O469" s="120"/>
      <c r="P469" s="120"/>
      <c r="Q469" s="120"/>
      <c r="R469" s="120"/>
      <c r="S469" s="120"/>
      <c r="T469" s="28"/>
      <c r="U469" s="28"/>
      <c r="V469" s="28"/>
    </row>
    <row r="470" spans="1:25" s="50" customFormat="1" ht="20.100000000000001" customHeight="1"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X470" s="50" t="s">
        <v>405</v>
      </c>
      <c r="Y470" s="110">
        <f>N460/(N460+N461)</f>
        <v>0.38612955506632757</v>
      </c>
    </row>
    <row r="471" spans="1:25" s="50" customFormat="1" ht="20.100000000000001" customHeight="1"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X471" s="50" t="s">
        <v>407</v>
      </c>
      <c r="Y471" s="110">
        <f>N461/(N460+N461)</f>
        <v>0.61387044493367249</v>
      </c>
    </row>
    <row r="472" spans="1:25" s="50" customFormat="1" ht="20.100000000000001" customHeight="1"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row>
    <row r="473" spans="1:25" s="50" customFormat="1" ht="20.100000000000001" customHeight="1"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row>
    <row r="474" spans="1:25" s="50" customFormat="1" ht="20.100000000000001" customHeight="1"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row>
    <row r="475" spans="1:25" s="50" customFormat="1" ht="20.100000000000001" customHeight="1"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row>
    <row r="476" spans="1:25" s="50" customFormat="1" ht="20.100000000000001" customHeight="1" x14ac:dyDescent="0.2">
      <c r="A476" s="45"/>
      <c r="B476" s="45"/>
      <c r="C476" s="45"/>
      <c r="D476" s="45"/>
      <c r="E476" s="45"/>
      <c r="F476" s="45"/>
      <c r="G476" s="45"/>
      <c r="H476" s="45"/>
      <c r="I476" s="45"/>
      <c r="J476" s="45"/>
      <c r="K476" s="45"/>
      <c r="L476" s="45"/>
      <c r="M476" s="45"/>
      <c r="N476" s="45"/>
      <c r="O476" s="45"/>
      <c r="P476" s="45"/>
      <c r="Q476" s="45"/>
      <c r="R476" s="45"/>
      <c r="S476" s="45"/>
      <c r="T476" s="28"/>
      <c r="U476" s="28"/>
      <c r="V476" s="28"/>
    </row>
    <row r="477" spans="1:25" s="50" customFormat="1" ht="20.100000000000001" customHeight="1"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row>
    <row r="478" spans="1:25" s="50" customFormat="1" ht="20.100000000000001" customHeight="1"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row>
    <row r="479" spans="1:25" s="50" customFormat="1" ht="20.100000000000001" customHeight="1"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row>
    <row r="480" spans="1:25" s="50" customFormat="1" ht="20.100000000000001" customHeight="1"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row>
    <row r="481" spans="1:22" s="50" customFormat="1" ht="20.100000000000001" customHeight="1"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row>
    <row r="482" spans="1:22" s="50" customFormat="1" ht="20.100000000000001" customHeight="1"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row>
    <row r="483" spans="1:22" s="50" customFormat="1" ht="20.100000000000001" customHeight="1" x14ac:dyDescent="0.25">
      <c r="A483" s="150" t="s">
        <v>76</v>
      </c>
      <c r="B483" s="150"/>
      <c r="C483" s="150"/>
      <c r="D483" s="150"/>
      <c r="E483" s="150"/>
      <c r="F483" s="150"/>
      <c r="G483" s="150"/>
      <c r="H483" s="150"/>
      <c r="I483" s="150"/>
      <c r="J483" s="150"/>
      <c r="K483" s="150"/>
      <c r="L483" s="150"/>
      <c r="M483" s="150"/>
      <c r="N483" s="118"/>
      <c r="O483" s="118"/>
      <c r="P483" s="118"/>
      <c r="Q483" s="118"/>
      <c r="R483" s="118"/>
      <c r="S483" s="118"/>
      <c r="T483" s="28"/>
      <c r="U483" s="28"/>
      <c r="V483" s="28"/>
    </row>
    <row r="484" spans="1:22" s="50" customFormat="1" ht="20.100000000000001" customHeight="1" x14ac:dyDescent="0.25">
      <c r="A484" s="120" t="s">
        <v>77</v>
      </c>
      <c r="B484" s="120"/>
      <c r="C484" s="120"/>
      <c r="D484" s="120"/>
      <c r="E484" s="120"/>
      <c r="F484" s="120"/>
      <c r="G484" s="120"/>
      <c r="H484" s="120"/>
      <c r="I484" s="120"/>
      <c r="J484" s="120"/>
      <c r="K484" s="120"/>
      <c r="L484" s="120"/>
      <c r="M484" s="120"/>
      <c r="N484" s="143">
        <v>3</v>
      </c>
      <c r="O484" s="143"/>
      <c r="P484" s="143"/>
      <c r="Q484" s="143"/>
      <c r="R484" s="143"/>
      <c r="S484" s="143"/>
      <c r="T484" s="118" t="str">
        <f>IF(N486&gt;0.01,"Reduzir o número de casas decimais","")</f>
        <v/>
      </c>
      <c r="U484" s="118"/>
      <c r="V484" s="28"/>
    </row>
    <row r="485" spans="1:22" s="50" customFormat="1" ht="20.100000000000001" customHeight="1" x14ac:dyDescent="0.25">
      <c r="A485" s="111" t="s">
        <v>78</v>
      </c>
      <c r="B485" s="111"/>
      <c r="C485" s="111"/>
      <c r="D485" s="111"/>
      <c r="E485" s="111"/>
      <c r="F485" s="111"/>
      <c r="G485" s="111"/>
      <c r="H485" s="111"/>
      <c r="I485" s="111"/>
      <c r="J485" s="111"/>
      <c r="K485" s="111"/>
      <c r="L485" s="111"/>
      <c r="M485" s="111"/>
      <c r="N485" s="112">
        <f>N488-N466</f>
        <v>738.50322820607107</v>
      </c>
      <c r="O485" s="111"/>
      <c r="P485" s="111"/>
      <c r="Q485" s="111"/>
      <c r="R485" s="111"/>
      <c r="S485" s="111"/>
      <c r="T485" s="28"/>
      <c r="U485" s="28"/>
      <c r="V485" s="28"/>
    </row>
    <row r="486" spans="1:22" s="50" customFormat="1" ht="20.100000000000001" customHeight="1" x14ac:dyDescent="0.25">
      <c r="A486" s="111" t="s">
        <v>79</v>
      </c>
      <c r="B486" s="111"/>
      <c r="C486" s="111"/>
      <c r="D486" s="111"/>
      <c r="E486" s="111"/>
      <c r="F486" s="111"/>
      <c r="G486" s="111"/>
      <c r="H486" s="111"/>
      <c r="I486" s="111"/>
      <c r="J486" s="111"/>
      <c r="K486" s="111"/>
      <c r="L486" s="111"/>
      <c r="M486" s="111"/>
      <c r="N486" s="119">
        <f>N485/N466</f>
        <v>1.534515503857681E-3</v>
      </c>
      <c r="O486" s="119"/>
      <c r="P486" s="119"/>
      <c r="Q486" s="119"/>
      <c r="R486" s="119"/>
      <c r="S486" s="119"/>
      <c r="T486" s="28"/>
      <c r="U486" s="28"/>
      <c r="V486" s="28"/>
    </row>
    <row r="487" spans="1:22" s="50" customFormat="1" ht="20.100000000000001" customHeight="1"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row>
    <row r="488" spans="1:22" s="50" customFormat="1" ht="20.100000000000001" customHeight="1" x14ac:dyDescent="0.25">
      <c r="A488" s="142" t="s">
        <v>75</v>
      </c>
      <c r="B488" s="142"/>
      <c r="C488" s="142"/>
      <c r="D488" s="142"/>
      <c r="E488" s="142"/>
      <c r="F488" s="142"/>
      <c r="G488" s="142"/>
      <c r="H488" s="142"/>
      <c r="I488" s="142"/>
      <c r="J488" s="142"/>
      <c r="K488" s="142"/>
      <c r="L488" s="142"/>
      <c r="M488" s="142"/>
      <c r="N488" s="151">
        <f>ROUNDUP(N466,-N484)</f>
        <v>482000</v>
      </c>
      <c r="O488" s="151"/>
      <c r="P488" s="151"/>
      <c r="Q488" s="151"/>
      <c r="R488" s="151"/>
      <c r="S488" s="151"/>
      <c r="T488" s="28"/>
      <c r="U488" s="28"/>
      <c r="V488" s="28"/>
    </row>
    <row r="489" spans="1:22" s="50" customFormat="1" ht="20.100000000000001" customHeight="1"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row>
    <row r="490" spans="1:22" s="50" customFormat="1" ht="20.100000000000001" customHeight="1"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row>
    <row r="491" spans="1:22" s="50" customFormat="1" ht="20.100000000000001" customHeight="1" x14ac:dyDescent="0.25">
      <c r="A491" s="149"/>
      <c r="B491" s="149"/>
      <c r="C491" s="149"/>
      <c r="D491" s="149"/>
      <c r="E491" s="149"/>
      <c r="F491" s="149"/>
      <c r="G491" s="149"/>
      <c r="H491" s="149"/>
      <c r="I491" s="149"/>
      <c r="J491" s="149"/>
      <c r="K491" s="149"/>
      <c r="L491" s="149"/>
      <c r="M491" s="149"/>
      <c r="N491" s="149"/>
      <c r="O491" s="149"/>
      <c r="P491" s="149"/>
      <c r="Q491" s="149"/>
      <c r="R491" s="149"/>
      <c r="S491" s="149"/>
      <c r="T491" s="28"/>
      <c r="U491" s="28"/>
      <c r="V491" s="28"/>
    </row>
    <row r="492" spans="1:22" s="50" customFormat="1" ht="20.100000000000001" customHeight="1" x14ac:dyDescent="0.25">
      <c r="A492" s="149" t="s">
        <v>84</v>
      </c>
      <c r="B492" s="149"/>
      <c r="C492" s="149"/>
      <c r="D492" s="149"/>
      <c r="E492" s="149"/>
      <c r="F492" s="149"/>
      <c r="G492" s="149"/>
      <c r="H492" s="149"/>
      <c r="I492" s="149"/>
      <c r="J492" s="149"/>
      <c r="K492" s="149"/>
      <c r="L492" s="149"/>
      <c r="M492" s="149"/>
      <c r="N492" s="149"/>
      <c r="O492" s="149"/>
      <c r="P492" s="149"/>
      <c r="Q492" s="149"/>
      <c r="R492" s="149"/>
      <c r="S492" s="149"/>
      <c r="T492" s="28"/>
      <c r="U492" s="28"/>
      <c r="V492" s="28"/>
    </row>
    <row r="493" spans="1:22" s="50" customFormat="1" ht="20.100000000000001" customHeight="1" x14ac:dyDescent="0.25">
      <c r="A493" s="149" t="s">
        <v>83</v>
      </c>
      <c r="B493" s="149"/>
      <c r="C493" s="149"/>
      <c r="D493" s="149"/>
      <c r="E493" s="149"/>
      <c r="F493" s="149"/>
      <c r="G493" s="149"/>
      <c r="H493" s="149"/>
      <c r="I493" s="149"/>
      <c r="J493" s="149"/>
      <c r="K493" s="149"/>
      <c r="L493" s="149"/>
      <c r="M493" s="149"/>
      <c r="N493" s="149"/>
      <c r="O493" s="149"/>
      <c r="P493" s="149"/>
      <c r="Q493" s="149"/>
      <c r="R493" s="149"/>
      <c r="S493" s="149"/>
      <c r="T493" s="28"/>
      <c r="U493" s="28"/>
      <c r="V493" s="28"/>
    </row>
    <row r="494" spans="1:22" s="50" customFormat="1" ht="20.100000000000001" customHeight="1"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row>
    <row r="496" spans="1:22" ht="20.100000000000001" customHeight="1" x14ac:dyDescent="0.25">
      <c r="A496" s="147" t="s">
        <v>80</v>
      </c>
      <c r="B496" s="147"/>
      <c r="C496" s="147"/>
      <c r="D496" s="147"/>
      <c r="E496" s="147"/>
      <c r="F496" s="147"/>
      <c r="G496" s="147"/>
      <c r="H496" s="147"/>
      <c r="I496" s="147"/>
      <c r="J496" s="147"/>
      <c r="K496" s="147"/>
      <c r="L496" s="147"/>
      <c r="M496" s="147"/>
      <c r="N496" s="147"/>
      <c r="O496" s="147"/>
      <c r="P496" s="147"/>
      <c r="Q496" s="147"/>
      <c r="R496" s="147"/>
      <c r="S496" s="147"/>
    </row>
    <row r="497" spans="1:19" ht="20.100000000000001" customHeight="1" x14ac:dyDescent="0.25">
      <c r="A497" s="147" t="s">
        <v>481</v>
      </c>
      <c r="B497" s="147"/>
      <c r="C497" s="147"/>
      <c r="D497" s="147"/>
      <c r="E497" s="147"/>
      <c r="F497" s="147"/>
      <c r="G497" s="147"/>
      <c r="H497" s="147"/>
      <c r="I497" s="147"/>
      <c r="J497" s="147"/>
      <c r="K497" s="147"/>
      <c r="L497" s="147"/>
      <c r="M497" s="147"/>
      <c r="N497" s="147"/>
      <c r="O497" s="147"/>
      <c r="P497" s="147"/>
      <c r="Q497" s="147"/>
      <c r="R497" s="147"/>
      <c r="S497" s="147"/>
    </row>
    <row r="498" spans="1:19" ht="20.100000000000001" customHeight="1" x14ac:dyDescent="0.25">
      <c r="A498" s="147" t="s">
        <v>103</v>
      </c>
      <c r="B498" s="147"/>
      <c r="C498" s="147"/>
      <c r="D498" s="147"/>
      <c r="E498" s="147"/>
      <c r="F498" s="147"/>
      <c r="G498" s="147"/>
      <c r="H498" s="147"/>
      <c r="I498" s="147"/>
      <c r="J498" s="147"/>
      <c r="K498" s="147"/>
      <c r="L498" s="147"/>
      <c r="M498" s="147"/>
      <c r="N498" s="147"/>
      <c r="O498" s="147"/>
      <c r="P498" s="147"/>
      <c r="Q498" s="147"/>
      <c r="R498" s="147"/>
      <c r="S498" s="147"/>
    </row>
    <row r="499" spans="1:19" ht="20.100000000000001" customHeight="1" x14ac:dyDescent="0.25">
      <c r="A499" s="147" t="s">
        <v>464</v>
      </c>
      <c r="B499" s="147"/>
      <c r="C499" s="147"/>
      <c r="D499" s="147"/>
      <c r="E499" s="147"/>
      <c r="F499" s="147"/>
      <c r="G499" s="147"/>
      <c r="H499" s="147"/>
      <c r="I499" s="147"/>
      <c r="J499" s="147"/>
      <c r="K499" s="147"/>
      <c r="L499" s="147"/>
      <c r="M499" s="147"/>
      <c r="N499" s="147"/>
      <c r="O499" s="147"/>
      <c r="P499" s="147"/>
      <c r="Q499" s="147"/>
      <c r="R499" s="147"/>
      <c r="S499" s="147"/>
    </row>
    <row r="500" spans="1:19" ht="20.100000000000001" customHeight="1" x14ac:dyDescent="0.25">
      <c r="A500" s="147" t="s">
        <v>465</v>
      </c>
      <c r="B500" s="147"/>
      <c r="C500" s="147"/>
      <c r="D500" s="147"/>
      <c r="E500" s="147"/>
      <c r="F500" s="147"/>
      <c r="G500" s="147"/>
      <c r="H500" s="147"/>
      <c r="I500" s="147"/>
      <c r="J500" s="147"/>
      <c r="K500" s="147"/>
      <c r="L500" s="147"/>
      <c r="M500" s="147"/>
      <c r="N500" s="147"/>
      <c r="O500" s="147"/>
      <c r="P500" s="147"/>
      <c r="Q500" s="147"/>
      <c r="R500" s="147"/>
      <c r="S500" s="147"/>
    </row>
    <row r="501" spans="1:19" ht="20.100000000000001" customHeight="1" x14ac:dyDescent="0.25">
      <c r="A501" s="147" t="s">
        <v>466</v>
      </c>
      <c r="B501" s="147"/>
      <c r="C501" s="147"/>
      <c r="D501" s="147"/>
      <c r="E501" s="147"/>
      <c r="F501" s="147"/>
      <c r="G501" s="147"/>
      <c r="H501" s="147"/>
      <c r="I501" s="147"/>
      <c r="J501" s="147"/>
      <c r="K501" s="147"/>
      <c r="L501" s="147"/>
      <c r="M501" s="147"/>
      <c r="N501" s="147"/>
      <c r="O501" s="147"/>
      <c r="P501" s="147"/>
      <c r="Q501" s="147"/>
      <c r="R501" s="147"/>
      <c r="S501" s="147"/>
    </row>
    <row r="502" spans="1:19" ht="20.100000000000001" customHeight="1" x14ac:dyDescent="0.25">
      <c r="A502" s="147" t="s">
        <v>467</v>
      </c>
      <c r="B502" s="147"/>
      <c r="C502" s="147"/>
      <c r="D502" s="147"/>
      <c r="E502" s="147"/>
      <c r="F502" s="147"/>
      <c r="G502" s="147"/>
      <c r="H502" s="147"/>
      <c r="I502" s="147"/>
      <c r="J502" s="147"/>
      <c r="K502" s="147"/>
      <c r="L502" s="147"/>
      <c r="M502" s="147"/>
      <c r="N502" s="147"/>
      <c r="O502" s="147"/>
      <c r="P502" s="147"/>
      <c r="Q502" s="147"/>
      <c r="R502" s="147"/>
      <c r="S502" s="147"/>
    </row>
    <row r="503" spans="1:19" ht="20.100000000000001" customHeight="1" x14ac:dyDescent="0.25">
      <c r="A503" s="147"/>
      <c r="B503" s="147"/>
      <c r="C503" s="147"/>
      <c r="D503" s="147"/>
      <c r="E503" s="147"/>
      <c r="F503" s="147"/>
      <c r="G503" s="147"/>
      <c r="H503" s="147"/>
      <c r="I503" s="147"/>
      <c r="J503" s="147"/>
      <c r="K503" s="147"/>
      <c r="L503" s="147"/>
      <c r="M503" s="147"/>
      <c r="N503" s="147"/>
      <c r="O503" s="147"/>
      <c r="P503" s="147"/>
      <c r="Q503" s="147"/>
      <c r="R503" s="147"/>
      <c r="S503" s="147"/>
    </row>
    <row r="504" spans="1:19" ht="20.100000000000001" customHeight="1" x14ac:dyDescent="0.25">
      <c r="A504" s="147" t="s">
        <v>468</v>
      </c>
      <c r="B504" s="147"/>
      <c r="C504" s="147"/>
      <c r="D504" s="147"/>
      <c r="E504" s="147"/>
      <c r="F504" s="147"/>
      <c r="G504" s="147"/>
      <c r="H504" s="147"/>
      <c r="I504" s="147"/>
      <c r="J504" s="147"/>
      <c r="K504" s="147"/>
      <c r="L504" s="147"/>
      <c r="M504" s="147"/>
      <c r="N504" s="147"/>
      <c r="O504" s="147"/>
      <c r="P504" s="147"/>
      <c r="Q504" s="147"/>
      <c r="R504" s="147"/>
      <c r="S504" s="147"/>
    </row>
    <row r="505" spans="1:19" ht="20.100000000000001" customHeight="1" x14ac:dyDescent="0.25">
      <c r="A505" s="147" t="s">
        <v>104</v>
      </c>
      <c r="B505" s="147"/>
      <c r="C505" s="147"/>
      <c r="D505" s="147"/>
      <c r="E505" s="147"/>
      <c r="F505" s="147"/>
      <c r="G505" s="147"/>
      <c r="H505" s="147"/>
      <c r="I505" s="147"/>
      <c r="J505" s="147"/>
      <c r="K505" s="147"/>
      <c r="L505" s="147"/>
      <c r="M505" s="147"/>
      <c r="N505" s="147"/>
      <c r="O505" s="147"/>
      <c r="P505" s="147"/>
      <c r="Q505" s="147"/>
      <c r="R505" s="147"/>
      <c r="S505" s="147"/>
    </row>
    <row r="506" spans="1:19" ht="20.100000000000001" customHeight="1" x14ac:dyDescent="0.25">
      <c r="A506" s="147" t="s">
        <v>469</v>
      </c>
      <c r="B506" s="147"/>
      <c r="C506" s="147"/>
      <c r="D506" s="147"/>
      <c r="E506" s="147"/>
      <c r="F506" s="147"/>
      <c r="G506" s="147"/>
      <c r="H506" s="147"/>
      <c r="I506" s="147"/>
      <c r="J506" s="147"/>
      <c r="K506" s="147"/>
      <c r="L506" s="147"/>
      <c r="M506" s="147"/>
      <c r="N506" s="147"/>
      <c r="O506" s="147"/>
      <c r="P506" s="147"/>
      <c r="Q506" s="147"/>
      <c r="R506" s="147"/>
      <c r="S506" s="147"/>
    </row>
    <row r="507" spans="1:19" ht="20.100000000000001" customHeight="1" x14ac:dyDescent="0.25">
      <c r="A507" s="147"/>
      <c r="B507" s="147"/>
      <c r="C507" s="147"/>
      <c r="D507" s="147"/>
      <c r="E507" s="147"/>
      <c r="F507" s="147"/>
      <c r="G507" s="147"/>
      <c r="H507" s="147"/>
      <c r="I507" s="147"/>
      <c r="J507" s="147"/>
      <c r="K507" s="147"/>
      <c r="L507" s="147"/>
      <c r="M507" s="147"/>
      <c r="N507" s="147"/>
      <c r="O507" s="147"/>
      <c r="P507" s="147"/>
      <c r="Q507" s="147"/>
      <c r="R507" s="147"/>
      <c r="S507" s="147"/>
    </row>
    <row r="508" spans="1:19" ht="20.100000000000001" customHeight="1" x14ac:dyDescent="0.25">
      <c r="A508" s="147" t="s">
        <v>470</v>
      </c>
      <c r="B508" s="147"/>
      <c r="C508" s="147"/>
      <c r="D508" s="147"/>
      <c r="E508" s="147"/>
      <c r="F508" s="147"/>
      <c r="G508" s="147"/>
      <c r="H508" s="147"/>
      <c r="I508" s="147"/>
      <c r="J508" s="147"/>
      <c r="K508" s="147"/>
      <c r="L508" s="147"/>
      <c r="M508" s="147"/>
      <c r="N508" s="147"/>
      <c r="O508" s="147"/>
      <c r="P508" s="147"/>
      <c r="Q508" s="147"/>
      <c r="R508" s="147"/>
      <c r="S508" s="147"/>
    </row>
    <row r="509" spans="1:19" ht="20.100000000000001" customHeight="1" x14ac:dyDescent="0.25">
      <c r="A509" s="147"/>
      <c r="B509" s="147"/>
      <c r="C509" s="147"/>
      <c r="D509" s="147"/>
      <c r="E509" s="147"/>
      <c r="F509" s="147"/>
      <c r="G509" s="147"/>
      <c r="H509" s="147"/>
      <c r="I509" s="147"/>
      <c r="J509" s="147"/>
      <c r="K509" s="147"/>
      <c r="L509" s="147"/>
      <c r="M509" s="147"/>
      <c r="N509" s="147"/>
      <c r="O509" s="147"/>
      <c r="P509" s="147"/>
      <c r="Q509" s="147"/>
      <c r="R509" s="147"/>
      <c r="S509" s="147"/>
    </row>
    <row r="510" spans="1:19" ht="20.100000000000001" customHeight="1" x14ac:dyDescent="0.25">
      <c r="A510" s="147" t="s">
        <v>482</v>
      </c>
      <c r="B510" s="147"/>
      <c r="C510" s="147"/>
      <c r="D510" s="147"/>
      <c r="E510" s="147"/>
      <c r="F510" s="147"/>
      <c r="G510" s="147"/>
      <c r="H510" s="147"/>
      <c r="I510" s="147"/>
      <c r="J510" s="147"/>
      <c r="K510" s="147"/>
      <c r="L510" s="147"/>
      <c r="M510" s="147"/>
      <c r="N510" s="147"/>
      <c r="O510" s="147"/>
      <c r="P510" s="147"/>
      <c r="Q510" s="147"/>
      <c r="R510" s="147"/>
      <c r="S510" s="147"/>
    </row>
    <row r="511" spans="1:19" ht="20.100000000000001" customHeight="1" x14ac:dyDescent="0.25">
      <c r="A511" s="147"/>
      <c r="B511" s="147"/>
      <c r="C511" s="147"/>
      <c r="D511" s="147"/>
      <c r="E511" s="147"/>
      <c r="F511" s="147"/>
      <c r="G511" s="147"/>
      <c r="H511" s="147"/>
      <c r="I511" s="147"/>
      <c r="J511" s="147"/>
      <c r="K511" s="147"/>
      <c r="L511" s="147"/>
      <c r="M511" s="147"/>
      <c r="N511" s="147"/>
      <c r="O511" s="147"/>
      <c r="P511" s="147"/>
      <c r="Q511" s="147"/>
      <c r="R511" s="147"/>
      <c r="S511" s="147"/>
    </row>
    <row r="512" spans="1:19" ht="20.100000000000001" customHeight="1" x14ac:dyDescent="0.25">
      <c r="A512" s="147" t="s">
        <v>471</v>
      </c>
      <c r="B512" s="147"/>
      <c r="C512" s="147"/>
      <c r="D512" s="147"/>
      <c r="E512" s="147"/>
      <c r="F512" s="147"/>
      <c r="G512" s="147"/>
      <c r="H512" s="147"/>
      <c r="I512" s="147"/>
      <c r="J512" s="147"/>
      <c r="K512" s="147"/>
      <c r="L512" s="147"/>
      <c r="M512" s="147"/>
      <c r="N512" s="147"/>
      <c r="O512" s="147"/>
      <c r="P512" s="147"/>
      <c r="Q512" s="147"/>
      <c r="R512" s="147"/>
      <c r="S512" s="147"/>
    </row>
    <row r="513" spans="1:19" ht="20.100000000000001" customHeight="1" x14ac:dyDescent="0.25">
      <c r="A513" s="147"/>
      <c r="B513" s="147"/>
      <c r="C513" s="147"/>
      <c r="D513" s="147"/>
      <c r="E513" s="147"/>
      <c r="F513" s="147"/>
      <c r="G513" s="147"/>
      <c r="H513" s="147"/>
      <c r="I513" s="147"/>
      <c r="J513" s="147"/>
      <c r="K513" s="147"/>
      <c r="L513" s="147"/>
      <c r="M513" s="147"/>
      <c r="N513" s="147"/>
      <c r="O513" s="147"/>
      <c r="P513" s="147"/>
      <c r="Q513" s="147"/>
      <c r="R513" s="147"/>
      <c r="S513" s="147"/>
    </row>
    <row r="514" spans="1:19" ht="20.100000000000001" customHeight="1" x14ac:dyDescent="0.25">
      <c r="A514" s="147" t="s">
        <v>483</v>
      </c>
      <c r="B514" s="147"/>
      <c r="C514" s="147"/>
      <c r="D514" s="147"/>
      <c r="E514" s="147"/>
      <c r="F514" s="147"/>
      <c r="G514" s="147"/>
      <c r="H514" s="147"/>
      <c r="I514" s="147"/>
      <c r="J514" s="147"/>
      <c r="K514" s="147"/>
      <c r="L514" s="147"/>
      <c r="M514" s="147"/>
      <c r="N514" s="147"/>
      <c r="O514" s="147"/>
      <c r="P514" s="147"/>
      <c r="Q514" s="147"/>
      <c r="R514" s="147"/>
      <c r="S514" s="147"/>
    </row>
    <row r="515" spans="1:19" ht="20.100000000000001" customHeight="1" x14ac:dyDescent="0.25">
      <c r="A515" s="147"/>
      <c r="B515" s="147"/>
      <c r="C515" s="147"/>
      <c r="D515" s="147"/>
      <c r="E515" s="147"/>
      <c r="F515" s="147"/>
      <c r="G515" s="147"/>
      <c r="H515" s="147"/>
      <c r="I515" s="147"/>
      <c r="J515" s="147"/>
      <c r="K515" s="147"/>
      <c r="L515" s="147"/>
      <c r="M515" s="147"/>
      <c r="N515" s="147"/>
      <c r="O515" s="147"/>
      <c r="P515" s="147"/>
      <c r="Q515" s="147"/>
      <c r="R515" s="147"/>
      <c r="S515" s="147"/>
    </row>
    <row r="516" spans="1:19" ht="20.100000000000001" customHeight="1" x14ac:dyDescent="0.25">
      <c r="A516" s="147" t="s">
        <v>472</v>
      </c>
      <c r="B516" s="147"/>
      <c r="C516" s="147"/>
      <c r="D516" s="147"/>
      <c r="E516" s="147"/>
      <c r="F516" s="147"/>
      <c r="G516" s="147"/>
      <c r="H516" s="147"/>
      <c r="I516" s="147"/>
      <c r="J516" s="147"/>
      <c r="K516" s="147"/>
      <c r="L516" s="147"/>
      <c r="M516" s="147"/>
      <c r="N516" s="147"/>
      <c r="O516" s="147"/>
      <c r="P516" s="147"/>
      <c r="Q516" s="147"/>
      <c r="R516" s="147"/>
      <c r="S516" s="147"/>
    </row>
    <row r="517" spans="1:19" ht="20.100000000000001" customHeight="1" x14ac:dyDescent="0.25">
      <c r="A517" s="147" t="s">
        <v>473</v>
      </c>
      <c r="B517" s="147"/>
      <c r="C517" s="147"/>
      <c r="D517" s="147"/>
      <c r="E517" s="147"/>
      <c r="F517" s="147"/>
      <c r="G517" s="147"/>
      <c r="H517" s="147"/>
      <c r="I517" s="147"/>
      <c r="J517" s="147"/>
      <c r="K517" s="147"/>
      <c r="L517" s="147"/>
      <c r="M517" s="147"/>
      <c r="N517" s="147"/>
      <c r="O517" s="147"/>
      <c r="P517" s="147"/>
      <c r="Q517" s="147"/>
      <c r="R517" s="147"/>
      <c r="S517" s="147"/>
    </row>
    <row r="518" spans="1:19" ht="20.100000000000001" customHeight="1" x14ac:dyDescent="0.25">
      <c r="A518" s="147" t="s">
        <v>474</v>
      </c>
      <c r="B518" s="147"/>
      <c r="C518" s="147"/>
      <c r="D518" s="147"/>
      <c r="E518" s="147"/>
      <c r="F518" s="147"/>
      <c r="G518" s="147"/>
      <c r="H518" s="147"/>
      <c r="I518" s="147"/>
      <c r="J518" s="147"/>
      <c r="K518" s="147"/>
      <c r="L518" s="147"/>
      <c r="M518" s="147"/>
      <c r="N518" s="147"/>
      <c r="O518" s="147"/>
      <c r="P518" s="147"/>
      <c r="Q518" s="147"/>
      <c r="R518" s="147"/>
      <c r="S518" s="147"/>
    </row>
    <row r="519" spans="1:19" ht="20.100000000000001" customHeight="1" x14ac:dyDescent="0.25">
      <c r="A519" s="147" t="s">
        <v>475</v>
      </c>
      <c r="B519" s="147"/>
      <c r="C519" s="147"/>
      <c r="D519" s="147"/>
      <c r="E519" s="147"/>
      <c r="F519" s="147"/>
      <c r="G519" s="147"/>
      <c r="H519" s="147"/>
      <c r="I519" s="147"/>
      <c r="J519" s="147"/>
      <c r="K519" s="147"/>
      <c r="L519" s="147"/>
      <c r="M519" s="147"/>
      <c r="N519" s="147"/>
      <c r="O519" s="147"/>
      <c r="P519" s="147"/>
      <c r="Q519" s="147"/>
      <c r="R519" s="147"/>
      <c r="S519" s="147"/>
    </row>
    <row r="520" spans="1:19" ht="20.100000000000001" customHeight="1" x14ac:dyDescent="0.25">
      <c r="A520" s="147" t="s">
        <v>484</v>
      </c>
      <c r="B520" s="147"/>
      <c r="C520" s="147"/>
      <c r="D520" s="147"/>
      <c r="E520" s="147"/>
      <c r="F520" s="147"/>
      <c r="G520" s="147"/>
      <c r="H520" s="147"/>
      <c r="I520" s="147"/>
      <c r="J520" s="147"/>
      <c r="K520" s="147"/>
      <c r="L520" s="147"/>
      <c r="M520" s="147"/>
      <c r="N520" s="147"/>
      <c r="O520" s="147"/>
      <c r="P520" s="147"/>
      <c r="Q520" s="147"/>
      <c r="R520" s="147"/>
      <c r="S520" s="147"/>
    </row>
  </sheetData>
  <sheetProtection formatCells="0"/>
  <mergeCells count="735">
    <mergeCell ref="C175:G175"/>
    <mergeCell ref="A176:B176"/>
    <mergeCell ref="C176:G176"/>
    <mergeCell ref="Q175:S175"/>
    <mergeCell ref="C173:G173"/>
    <mergeCell ref="C174:G174"/>
    <mergeCell ref="M165:P165"/>
    <mergeCell ref="Q165:S165"/>
    <mergeCell ref="M166:P166"/>
    <mergeCell ref="Q166:S166"/>
    <mergeCell ref="M167:P167"/>
    <mergeCell ref="Q167:S167"/>
    <mergeCell ref="A170:S170"/>
    <mergeCell ref="C172:G172"/>
    <mergeCell ref="Q176:S176"/>
    <mergeCell ref="Q174:S174"/>
    <mergeCell ref="M172:Q172"/>
    <mergeCell ref="R172:S172"/>
    <mergeCell ref="Q49:S49"/>
    <mergeCell ref="A154:B154"/>
    <mergeCell ref="C154:E154"/>
    <mergeCell ref="Q154:S154"/>
    <mergeCell ref="A155:B155"/>
    <mergeCell ref="C155:E155"/>
    <mergeCell ref="Q155:S155"/>
    <mergeCell ref="A161:B161"/>
    <mergeCell ref="C161:E161"/>
    <mergeCell ref="F161:H161"/>
    <mergeCell ref="I161:K161"/>
    <mergeCell ref="L161:N161"/>
    <mergeCell ref="O161:S161"/>
    <mergeCell ref="A147:S149"/>
    <mergeCell ref="Q145:S145"/>
    <mergeCell ref="A128:S128"/>
    <mergeCell ref="Q54:S54"/>
    <mergeCell ref="C151:E151"/>
    <mergeCell ref="C152:E152"/>
    <mergeCell ref="C153:E153"/>
    <mergeCell ref="C156:E156"/>
    <mergeCell ref="Q143:S144"/>
    <mergeCell ref="F143:P143"/>
    <mergeCell ref="A143:E145"/>
    <mergeCell ref="F19:H19"/>
    <mergeCell ref="I19:K19"/>
    <mergeCell ref="L19:N19"/>
    <mergeCell ref="O19:P19"/>
    <mergeCell ref="Q19:S19"/>
    <mergeCell ref="A20:B20"/>
    <mergeCell ref="C20:E20"/>
    <mergeCell ref="F20:H20"/>
    <mergeCell ref="I20:K20"/>
    <mergeCell ref="L20:N20"/>
    <mergeCell ref="O20:P20"/>
    <mergeCell ref="Q20:S20"/>
    <mergeCell ref="A502:S503"/>
    <mergeCell ref="A504:S504"/>
    <mergeCell ref="A505:S505"/>
    <mergeCell ref="A520:S520"/>
    <mergeCell ref="A506:S507"/>
    <mergeCell ref="A508:S509"/>
    <mergeCell ref="A510:S511"/>
    <mergeCell ref="A512:S513"/>
    <mergeCell ref="A514:S515"/>
    <mergeCell ref="A516:S516"/>
    <mergeCell ref="A517:S517"/>
    <mergeCell ref="A518:S518"/>
    <mergeCell ref="A519:S519"/>
    <mergeCell ref="A500:S500"/>
    <mergeCell ref="A501:S501"/>
    <mergeCell ref="L306:O306"/>
    <mergeCell ref="P306:S306"/>
    <mergeCell ref="L307:O307"/>
    <mergeCell ref="P307:S307"/>
    <mergeCell ref="C370:Q370"/>
    <mergeCell ref="R370:S370"/>
    <mergeCell ref="C371:Q371"/>
    <mergeCell ref="R371:S371"/>
    <mergeCell ref="A326:M326"/>
    <mergeCell ref="N326:S326"/>
    <mergeCell ref="A306:E306"/>
    <mergeCell ref="F306:I306"/>
    <mergeCell ref="A312:S313"/>
    <mergeCell ref="F347:I347"/>
    <mergeCell ref="M258:P258"/>
    <mergeCell ref="L282:O282"/>
    <mergeCell ref="F298:I298"/>
    <mergeCell ref="F299:I299"/>
    <mergeCell ref="A300:E300"/>
    <mergeCell ref="A496:S496"/>
    <mergeCell ref="A497:S497"/>
    <mergeCell ref="A498:S498"/>
    <mergeCell ref="A499:S499"/>
    <mergeCell ref="A303:S303"/>
    <mergeCell ref="A246:B246"/>
    <mergeCell ref="C246:G246"/>
    <mergeCell ref="A247:B247"/>
    <mergeCell ref="C247:G247"/>
    <mergeCell ref="M255:P255"/>
    <mergeCell ref="Q255:S255"/>
    <mergeCell ref="M253:P253"/>
    <mergeCell ref="Q253:S253"/>
    <mergeCell ref="M252:P252"/>
    <mergeCell ref="M215:P215"/>
    <mergeCell ref="Q215:S215"/>
    <mergeCell ref="M243:Q243"/>
    <mergeCell ref="R243:S243"/>
    <mergeCell ref="C244:G244"/>
    <mergeCell ref="M244:Q244"/>
    <mergeCell ref="R244:S244"/>
    <mergeCell ref="C245:G245"/>
    <mergeCell ref="M245:Q245"/>
    <mergeCell ref="R245:S245"/>
    <mergeCell ref="Q46:S46"/>
    <mergeCell ref="Q21:S21"/>
    <mergeCell ref="Q22:S22"/>
    <mergeCell ref="O17:P17"/>
    <mergeCell ref="A132:I132"/>
    <mergeCell ref="T243:V243"/>
    <mergeCell ref="T206:V206"/>
    <mergeCell ref="A305:E305"/>
    <mergeCell ref="F305:I305"/>
    <mergeCell ref="L305:O305"/>
    <mergeCell ref="P305:S305"/>
    <mergeCell ref="R206:S206"/>
    <mergeCell ref="A209:B209"/>
    <mergeCell ref="C209:G209"/>
    <mergeCell ref="A210:B210"/>
    <mergeCell ref="C210:G210"/>
    <mergeCell ref="Q254:S254"/>
    <mergeCell ref="C248:G248"/>
    <mergeCell ref="M249:P249"/>
    <mergeCell ref="Q249:S249"/>
    <mergeCell ref="M250:P250"/>
    <mergeCell ref="Q250:S250"/>
    <mergeCell ref="M246:Q246"/>
    <mergeCell ref="R246:S246"/>
    <mergeCell ref="O18:P18"/>
    <mergeCell ref="O21:P21"/>
    <mergeCell ref="O22:P22"/>
    <mergeCell ref="A19:B19"/>
    <mergeCell ref="C19:E19"/>
    <mergeCell ref="U17:V17"/>
    <mergeCell ref="A292:S292"/>
    <mergeCell ref="A296:E296"/>
    <mergeCell ref="A297:E297"/>
    <mergeCell ref="C17:E17"/>
    <mergeCell ref="F17:H17"/>
    <mergeCell ref="K139:M139"/>
    <mergeCell ref="L17:N17"/>
    <mergeCell ref="L18:N18"/>
    <mergeCell ref="L21:N21"/>
    <mergeCell ref="L22:N22"/>
    <mergeCell ref="A131:I131"/>
    <mergeCell ref="Q52:S52"/>
    <mergeCell ref="M53:P53"/>
    <mergeCell ref="Q53:S53"/>
    <mergeCell ref="M54:P54"/>
    <mergeCell ref="Q45:S45"/>
    <mergeCell ref="C46:E46"/>
    <mergeCell ref="O46:P46"/>
    <mergeCell ref="N133:P133"/>
    <mergeCell ref="N134:P134"/>
    <mergeCell ref="N135:P135"/>
    <mergeCell ref="K136:M136"/>
    <mergeCell ref="K137:M137"/>
    <mergeCell ref="A7:S7"/>
    <mergeCell ref="A15:S15"/>
    <mergeCell ref="I17:K17"/>
    <mergeCell ref="F18:H18"/>
    <mergeCell ref="I18:K18"/>
    <mergeCell ref="F21:H21"/>
    <mergeCell ref="I21:K21"/>
    <mergeCell ref="F22:H22"/>
    <mergeCell ref="I22:K22"/>
    <mergeCell ref="C18:E18"/>
    <mergeCell ref="C21:E21"/>
    <mergeCell ref="C22:E22"/>
    <mergeCell ref="Q17:S17"/>
    <mergeCell ref="Q12:S12"/>
    <mergeCell ref="N12:P12"/>
    <mergeCell ref="K12:M12"/>
    <mergeCell ref="A10:C10"/>
    <mergeCell ref="D10:J10"/>
    <mergeCell ref="Q18:S18"/>
    <mergeCell ref="Q137:S137"/>
    <mergeCell ref="A57:S57"/>
    <mergeCell ref="A91:S91"/>
    <mergeCell ref="A109:S109"/>
    <mergeCell ref="C47:E47"/>
    <mergeCell ref="O47:P47"/>
    <mergeCell ref="Q47:S47"/>
    <mergeCell ref="M52:P52"/>
    <mergeCell ref="A130:I130"/>
    <mergeCell ref="A48:B48"/>
    <mergeCell ref="C48:E48"/>
    <mergeCell ref="K48:L48"/>
    <mergeCell ref="M48:N48"/>
    <mergeCell ref="O48:P48"/>
    <mergeCell ref="Q48:S48"/>
    <mergeCell ref="A49:B49"/>
    <mergeCell ref="C49:E49"/>
    <mergeCell ref="K49:L49"/>
    <mergeCell ref="M49:N49"/>
    <mergeCell ref="A137:I137"/>
    <mergeCell ref="A133:I133"/>
    <mergeCell ref="A134:I134"/>
    <mergeCell ref="A135:I135"/>
    <mergeCell ref="A136:I136"/>
    <mergeCell ref="A34:H34"/>
    <mergeCell ref="M24:P24"/>
    <mergeCell ref="M25:P25"/>
    <mergeCell ref="M26:P26"/>
    <mergeCell ref="Q24:S24"/>
    <mergeCell ref="Q25:S25"/>
    <mergeCell ref="Q26:S26"/>
    <mergeCell ref="M45:N45"/>
    <mergeCell ref="M46:N46"/>
    <mergeCell ref="A29:S29"/>
    <mergeCell ref="C45:E45"/>
    <mergeCell ref="O45:P45"/>
    <mergeCell ref="A36:H36"/>
    <mergeCell ref="A37:H37"/>
    <mergeCell ref="A38:H38"/>
    <mergeCell ref="F41:J41"/>
    <mergeCell ref="K43:L43"/>
    <mergeCell ref="A41:E42"/>
    <mergeCell ref="K41:L42"/>
    <mergeCell ref="K38:O38"/>
    <mergeCell ref="P38:S38"/>
    <mergeCell ref="K33:O33"/>
    <mergeCell ref="P33:S33"/>
    <mergeCell ref="K34:O34"/>
    <mergeCell ref="C50:E50"/>
    <mergeCell ref="K45:L45"/>
    <mergeCell ref="K46:L46"/>
    <mergeCell ref="K47:L47"/>
    <mergeCell ref="K50:L50"/>
    <mergeCell ref="O49:P49"/>
    <mergeCell ref="A140:P141"/>
    <mergeCell ref="Q141:S141"/>
    <mergeCell ref="Q130:S130"/>
    <mergeCell ref="Q131:S131"/>
    <mergeCell ref="Q132:S132"/>
    <mergeCell ref="Q133:S133"/>
    <mergeCell ref="Q134:S134"/>
    <mergeCell ref="Q135:S135"/>
    <mergeCell ref="Q136:S136"/>
    <mergeCell ref="N136:P136"/>
    <mergeCell ref="N137:P137"/>
    <mergeCell ref="N130:P130"/>
    <mergeCell ref="N131:P131"/>
    <mergeCell ref="N132:P132"/>
    <mergeCell ref="M47:N47"/>
    <mergeCell ref="M50:N50"/>
    <mergeCell ref="O50:P50"/>
    <mergeCell ref="Q50:S50"/>
    <mergeCell ref="Q151:S151"/>
    <mergeCell ref="Q152:S152"/>
    <mergeCell ref="Q153:S153"/>
    <mergeCell ref="Q156:S156"/>
    <mergeCell ref="I158:K158"/>
    <mergeCell ref="F158:H158"/>
    <mergeCell ref="I159:K159"/>
    <mergeCell ref="F159:H159"/>
    <mergeCell ref="O158:S158"/>
    <mergeCell ref="O159:S159"/>
    <mergeCell ref="L159:N159"/>
    <mergeCell ref="C177:G177"/>
    <mergeCell ref="Q179:S179"/>
    <mergeCell ref="A208:B208"/>
    <mergeCell ref="Q180:S180"/>
    <mergeCell ref="C158:E158"/>
    <mergeCell ref="C159:E159"/>
    <mergeCell ref="C160:E160"/>
    <mergeCell ref="C163:E163"/>
    <mergeCell ref="L158:N158"/>
    <mergeCell ref="O160:S160"/>
    <mergeCell ref="O163:S163"/>
    <mergeCell ref="I160:K160"/>
    <mergeCell ref="F160:H160"/>
    <mergeCell ref="L160:N160"/>
    <mergeCell ref="I163:K163"/>
    <mergeCell ref="F163:H163"/>
    <mergeCell ref="L163:N163"/>
    <mergeCell ref="A162:B162"/>
    <mergeCell ref="C162:E162"/>
    <mergeCell ref="F162:H162"/>
    <mergeCell ref="I162:K162"/>
    <mergeCell ref="L162:N162"/>
    <mergeCell ref="O162:S162"/>
    <mergeCell ref="A175:B175"/>
    <mergeCell ref="M179:P179"/>
    <mergeCell ref="A204:S204"/>
    <mergeCell ref="M206:Q206"/>
    <mergeCell ref="M209:P209"/>
    <mergeCell ref="Q209:S209"/>
    <mergeCell ref="M181:P181"/>
    <mergeCell ref="Q181:S181"/>
    <mergeCell ref="M183:P183"/>
    <mergeCell ref="M184:P184"/>
    <mergeCell ref="M207:Q207"/>
    <mergeCell ref="T298:V298"/>
    <mergeCell ref="A5:S5"/>
    <mergeCell ref="A284:G284"/>
    <mergeCell ref="H286:M286"/>
    <mergeCell ref="H287:M287"/>
    <mergeCell ref="H288:M288"/>
    <mergeCell ref="A286:G286"/>
    <mergeCell ref="H283:K283"/>
    <mergeCell ref="L283:O283"/>
    <mergeCell ref="I33:J33"/>
    <mergeCell ref="I34:J34"/>
    <mergeCell ref="I35:J35"/>
    <mergeCell ref="I36:J36"/>
    <mergeCell ref="I37:J37"/>
    <mergeCell ref="I38:J38"/>
    <mergeCell ref="M260:P260"/>
    <mergeCell ref="Q260:S260"/>
    <mergeCell ref="M221:P221"/>
    <mergeCell ref="Q221:S221"/>
    <mergeCell ref="Q210:S210"/>
    <mergeCell ref="R207:S207"/>
    <mergeCell ref="Q257:S257"/>
    <mergeCell ref="C243:G243"/>
    <mergeCell ref="M217:N217"/>
    <mergeCell ref="X314:BO314"/>
    <mergeCell ref="X315:BO315"/>
    <mergeCell ref="X316:BO316"/>
    <mergeCell ref="X317:BO317"/>
    <mergeCell ref="A314:S315"/>
    <mergeCell ref="H317:K317"/>
    <mergeCell ref="L317:O317"/>
    <mergeCell ref="P317:S317"/>
    <mergeCell ref="A316:G317"/>
    <mergeCell ref="H316:S316"/>
    <mergeCell ref="A289:G289"/>
    <mergeCell ref="A211:B211"/>
    <mergeCell ref="A243:B243"/>
    <mergeCell ref="A241:S241"/>
    <mergeCell ref="Q252:S252"/>
    <mergeCell ref="M254:P254"/>
    <mergeCell ref="O217:P217"/>
    <mergeCell ref="Q217:S217"/>
    <mergeCell ref="M212:P212"/>
    <mergeCell ref="Q212:S212"/>
    <mergeCell ref="M213:P213"/>
    <mergeCell ref="Q213:S213"/>
    <mergeCell ref="M218:P218"/>
    <mergeCell ref="Q218:S218"/>
    <mergeCell ref="M220:P220"/>
    <mergeCell ref="Q220:S220"/>
    <mergeCell ref="M214:P214"/>
    <mergeCell ref="M261:P261"/>
    <mergeCell ref="Q261:S261"/>
    <mergeCell ref="Q214:S214"/>
    <mergeCell ref="C211:G211"/>
    <mergeCell ref="A281:G281"/>
    <mergeCell ref="P283:S283"/>
    <mergeCell ref="P284:S284"/>
    <mergeCell ref="K134:M134"/>
    <mergeCell ref="K135:M135"/>
    <mergeCell ref="A31:S31"/>
    <mergeCell ref="A33:H33"/>
    <mergeCell ref="P34:S34"/>
    <mergeCell ref="L281:O281"/>
    <mergeCell ref="L284:O284"/>
    <mergeCell ref="H284:K284"/>
    <mergeCell ref="H282:K282"/>
    <mergeCell ref="H281:K281"/>
    <mergeCell ref="M174:P174"/>
    <mergeCell ref="M175:P175"/>
    <mergeCell ref="M176:P176"/>
    <mergeCell ref="M177:P177"/>
    <mergeCell ref="M178:P178"/>
    <mergeCell ref="C207:G207"/>
    <mergeCell ref="C208:G208"/>
    <mergeCell ref="C206:G206"/>
    <mergeCell ref="M180:N180"/>
    <mergeCell ref="O180:P180"/>
    <mergeCell ref="Q177:S177"/>
    <mergeCell ref="Q178:S178"/>
    <mergeCell ref="Q183:S183"/>
    <mergeCell ref="Q184:S184"/>
    <mergeCell ref="H289:M289"/>
    <mergeCell ref="A298:E298"/>
    <mergeCell ref="A299:E299"/>
    <mergeCell ref="F296:I296"/>
    <mergeCell ref="F297:I297"/>
    <mergeCell ref="K10:S10"/>
    <mergeCell ref="A9:S9"/>
    <mergeCell ref="A11:C12"/>
    <mergeCell ref="K11:M11"/>
    <mergeCell ref="N11:P11"/>
    <mergeCell ref="Q11:S11"/>
    <mergeCell ref="D11:J12"/>
    <mergeCell ref="A139:J139"/>
    <mergeCell ref="N139:P139"/>
    <mergeCell ref="A17:B17"/>
    <mergeCell ref="A18:B18"/>
    <mergeCell ref="A21:B21"/>
    <mergeCell ref="A22:B22"/>
    <mergeCell ref="A45:B45"/>
    <mergeCell ref="A35:H35"/>
    <mergeCell ref="K130:M130"/>
    <mergeCell ref="K131:M131"/>
    <mergeCell ref="K132:M132"/>
    <mergeCell ref="K133:M133"/>
    <mergeCell ref="A353:S355"/>
    <mergeCell ref="A383:B383"/>
    <mergeCell ref="A384:B384"/>
    <mergeCell ref="A46:B46"/>
    <mergeCell ref="A47:B47"/>
    <mergeCell ref="A50:B50"/>
    <mergeCell ref="A151:B151"/>
    <mergeCell ref="A152:B152"/>
    <mergeCell ref="A153:B153"/>
    <mergeCell ref="A156:B156"/>
    <mergeCell ref="A158:B158"/>
    <mergeCell ref="A347:E347"/>
    <mergeCell ref="A345:S345"/>
    <mergeCell ref="A348:E348"/>
    <mergeCell ref="F348:I348"/>
    <mergeCell ref="A349:E349"/>
    <mergeCell ref="F349:I349"/>
    <mergeCell ref="A244:B244"/>
    <mergeCell ref="A245:B245"/>
    <mergeCell ref="A248:B248"/>
    <mergeCell ref="A340:M340"/>
    <mergeCell ref="A341:M341"/>
    <mergeCell ref="A342:M342"/>
    <mergeCell ref="P338:S338"/>
    <mergeCell ref="A329:S329"/>
    <mergeCell ref="A331:S334"/>
    <mergeCell ref="A336:D336"/>
    <mergeCell ref="E336:J336"/>
    <mergeCell ref="P336:S336"/>
    <mergeCell ref="A322:S322"/>
    <mergeCell ref="K336:O336"/>
    <mergeCell ref="C379:Q379"/>
    <mergeCell ref="R379:S379"/>
    <mergeCell ref="A351:S351"/>
    <mergeCell ref="A366:B366"/>
    <mergeCell ref="A367:B368"/>
    <mergeCell ref="A369:B369"/>
    <mergeCell ref="A370:B370"/>
    <mergeCell ref="C374:Q374"/>
    <mergeCell ref="K337:O337"/>
    <mergeCell ref="A338:O338"/>
    <mergeCell ref="N341:S341"/>
    <mergeCell ref="N342:S342"/>
    <mergeCell ref="N340:S340"/>
    <mergeCell ref="C372:Q372"/>
    <mergeCell ref="R372:S372"/>
    <mergeCell ref="C373:Q373"/>
    <mergeCell ref="R373:S373"/>
    <mergeCell ref="A159:B159"/>
    <mergeCell ref="A160:B160"/>
    <mergeCell ref="A163:B163"/>
    <mergeCell ref="A172:B172"/>
    <mergeCell ref="A173:B173"/>
    <mergeCell ref="A174:B174"/>
    <mergeCell ref="A177:B177"/>
    <mergeCell ref="A206:B206"/>
    <mergeCell ref="A207:B207"/>
    <mergeCell ref="M257:N257"/>
    <mergeCell ref="O257:P257"/>
    <mergeCell ref="A324:M324"/>
    <mergeCell ref="N324:S324"/>
    <mergeCell ref="A325:M325"/>
    <mergeCell ref="N325:S325"/>
    <mergeCell ref="H318:K319"/>
    <mergeCell ref="L318:O319"/>
    <mergeCell ref="P318:S319"/>
    <mergeCell ref="A318:G319"/>
    <mergeCell ref="A294:S294"/>
    <mergeCell ref="A309:S310"/>
    <mergeCell ref="A302:E302"/>
    <mergeCell ref="F302:I302"/>
    <mergeCell ref="Q258:S258"/>
    <mergeCell ref="P281:S281"/>
    <mergeCell ref="P282:S282"/>
    <mergeCell ref="A287:G287"/>
    <mergeCell ref="A288:G288"/>
    <mergeCell ref="A282:G282"/>
    <mergeCell ref="A283:G283"/>
    <mergeCell ref="F300:I300"/>
    <mergeCell ref="A301:E301"/>
    <mergeCell ref="F301:I301"/>
    <mergeCell ref="M210:P210"/>
    <mergeCell ref="G404:M404"/>
    <mergeCell ref="N404:P404"/>
    <mergeCell ref="A382:B382"/>
    <mergeCell ref="A375:B376"/>
    <mergeCell ref="A337:D337"/>
    <mergeCell ref="E337:J337"/>
    <mergeCell ref="P337:S337"/>
    <mergeCell ref="R374:S374"/>
    <mergeCell ref="C375:Q376"/>
    <mergeCell ref="R375:S376"/>
    <mergeCell ref="C377:Q377"/>
    <mergeCell ref="R377:S377"/>
    <mergeCell ref="C378:Q378"/>
    <mergeCell ref="R378:S378"/>
    <mergeCell ref="A377:B377"/>
    <mergeCell ref="A371:B371"/>
    <mergeCell ref="A372:B372"/>
    <mergeCell ref="A373:B373"/>
    <mergeCell ref="A374:B374"/>
    <mergeCell ref="A378:B378"/>
    <mergeCell ref="A379:B379"/>
    <mergeCell ref="A380:B380"/>
    <mergeCell ref="A381:B381"/>
    <mergeCell ref="A403:B403"/>
    <mergeCell ref="A404:B404"/>
    <mergeCell ref="C390:Q390"/>
    <mergeCell ref="R390:S390"/>
    <mergeCell ref="A390:B390"/>
    <mergeCell ref="A393:B393"/>
    <mergeCell ref="A396:B396"/>
    <mergeCell ref="A397:B397"/>
    <mergeCell ref="A398:B398"/>
    <mergeCell ref="A399:B399"/>
    <mergeCell ref="A400:B400"/>
    <mergeCell ref="A401:B401"/>
    <mergeCell ref="A394:B394"/>
    <mergeCell ref="A395:B395"/>
    <mergeCell ref="A402:B402"/>
    <mergeCell ref="C403:D403"/>
    <mergeCell ref="E403:F403"/>
    <mergeCell ref="G403:M403"/>
    <mergeCell ref="N403:P403"/>
    <mergeCell ref="Q403:S403"/>
    <mergeCell ref="C404:D404"/>
    <mergeCell ref="E404:F404"/>
    <mergeCell ref="Q404:S404"/>
    <mergeCell ref="A407:B407"/>
    <mergeCell ref="A408:B408"/>
    <mergeCell ref="C405:D405"/>
    <mergeCell ref="E405:F405"/>
    <mergeCell ref="G405:M405"/>
    <mergeCell ref="N405:P405"/>
    <mergeCell ref="Q405:S405"/>
    <mergeCell ref="C406:D406"/>
    <mergeCell ref="E406:F406"/>
    <mergeCell ref="G406:M406"/>
    <mergeCell ref="N406:P406"/>
    <mergeCell ref="Q406:S406"/>
    <mergeCell ref="A405:B405"/>
    <mergeCell ref="A406:B406"/>
    <mergeCell ref="C407:D407"/>
    <mergeCell ref="E407:F407"/>
    <mergeCell ref="G407:M407"/>
    <mergeCell ref="N407:P407"/>
    <mergeCell ref="Q407:S407"/>
    <mergeCell ref="C408:D408"/>
    <mergeCell ref="E408:F408"/>
    <mergeCell ref="G408:M408"/>
    <mergeCell ref="N408:P408"/>
    <mergeCell ref="A409:B409"/>
    <mergeCell ref="A410:B410"/>
    <mergeCell ref="C411:D411"/>
    <mergeCell ref="E411:F411"/>
    <mergeCell ref="G411:M411"/>
    <mergeCell ref="N411:P411"/>
    <mergeCell ref="Q411:S411"/>
    <mergeCell ref="C412:D412"/>
    <mergeCell ref="E412:F412"/>
    <mergeCell ref="G412:M412"/>
    <mergeCell ref="N412:P412"/>
    <mergeCell ref="E409:F409"/>
    <mergeCell ref="G409:M409"/>
    <mergeCell ref="N409:P409"/>
    <mergeCell ref="Q409:S409"/>
    <mergeCell ref="C410:D410"/>
    <mergeCell ref="E410:F410"/>
    <mergeCell ref="G410:M410"/>
    <mergeCell ref="N410:P410"/>
    <mergeCell ref="Q410:S410"/>
    <mergeCell ref="A449:M449"/>
    <mergeCell ref="N449:S449"/>
    <mergeCell ref="A450:M450"/>
    <mergeCell ref="N450:S450"/>
    <mergeCell ref="A452:M452"/>
    <mergeCell ref="N452:S452"/>
    <mergeCell ref="G414:M414"/>
    <mergeCell ref="N414:P414"/>
    <mergeCell ref="Q414:S414"/>
    <mergeCell ref="C414:D414"/>
    <mergeCell ref="E414:F414"/>
    <mergeCell ref="A414:B414"/>
    <mergeCell ref="A493:S493"/>
    <mergeCell ref="A483:M483"/>
    <mergeCell ref="N483:S483"/>
    <mergeCell ref="A484:M484"/>
    <mergeCell ref="N484:S484"/>
    <mergeCell ref="A463:M463"/>
    <mergeCell ref="N463:S463"/>
    <mergeCell ref="A464:M464"/>
    <mergeCell ref="N464:S464"/>
    <mergeCell ref="A466:M466"/>
    <mergeCell ref="N466:S466"/>
    <mergeCell ref="A469:S469"/>
    <mergeCell ref="A488:M488"/>
    <mergeCell ref="N488:S488"/>
    <mergeCell ref="A491:S491"/>
    <mergeCell ref="A492:S492"/>
    <mergeCell ref="A455:S455"/>
    <mergeCell ref="A457:E457"/>
    <mergeCell ref="M457:S457"/>
    <mergeCell ref="A458:E458"/>
    <mergeCell ref="C380:Q380"/>
    <mergeCell ref="R380:S380"/>
    <mergeCell ref="C381:Q381"/>
    <mergeCell ref="R381:S381"/>
    <mergeCell ref="H361:J361"/>
    <mergeCell ref="K361:M361"/>
    <mergeCell ref="A363:S365"/>
    <mergeCell ref="C366:Q366"/>
    <mergeCell ref="R366:S366"/>
    <mergeCell ref="C367:Q368"/>
    <mergeCell ref="R367:S368"/>
    <mergeCell ref="C369:Q369"/>
    <mergeCell ref="R369:S369"/>
    <mergeCell ref="C382:Q382"/>
    <mergeCell ref="R382:S382"/>
    <mergeCell ref="C383:Q383"/>
    <mergeCell ref="R383:S383"/>
    <mergeCell ref="C384:Q384"/>
    <mergeCell ref="R384:S384"/>
    <mergeCell ref="C385:Q385"/>
    <mergeCell ref="R385:S385"/>
    <mergeCell ref="C386:Q386"/>
    <mergeCell ref="R386:S386"/>
    <mergeCell ref="C387:Q387"/>
    <mergeCell ref="R387:S387"/>
    <mergeCell ref="C388:Q389"/>
    <mergeCell ref="R388:S389"/>
    <mergeCell ref="A385:B385"/>
    <mergeCell ref="A386:B386"/>
    <mergeCell ref="A387:B387"/>
    <mergeCell ref="A388:B389"/>
    <mergeCell ref="C393:D393"/>
    <mergeCell ref="E393:F393"/>
    <mergeCell ref="G393:M393"/>
    <mergeCell ref="N393:P393"/>
    <mergeCell ref="Q393:S393"/>
    <mergeCell ref="E397:F397"/>
    <mergeCell ref="G397:M397"/>
    <mergeCell ref="N397:P397"/>
    <mergeCell ref="Q397:S397"/>
    <mergeCell ref="C398:D398"/>
    <mergeCell ref="E398:F398"/>
    <mergeCell ref="G398:M398"/>
    <mergeCell ref="C394:D394"/>
    <mergeCell ref="E394:F394"/>
    <mergeCell ref="G394:M394"/>
    <mergeCell ref="N394:P394"/>
    <mergeCell ref="Q394:S394"/>
    <mergeCell ref="C395:D395"/>
    <mergeCell ref="E395:F395"/>
    <mergeCell ref="G395:M395"/>
    <mergeCell ref="N395:P395"/>
    <mergeCell ref="Q395:S395"/>
    <mergeCell ref="C402:D402"/>
    <mergeCell ref="E402:F402"/>
    <mergeCell ref="G402:M402"/>
    <mergeCell ref="N402:P402"/>
    <mergeCell ref="Q402:S402"/>
    <mergeCell ref="A446:L446"/>
    <mergeCell ref="P446:S446"/>
    <mergeCell ref="A447:L447"/>
    <mergeCell ref="P447:S447"/>
    <mergeCell ref="Q412:S412"/>
    <mergeCell ref="A420:Q421"/>
    <mergeCell ref="R420:S421"/>
    <mergeCell ref="C418:D418"/>
    <mergeCell ref="A418:B418"/>
    <mergeCell ref="K418:P418"/>
    <mergeCell ref="Q418:S418"/>
    <mergeCell ref="A416:S416"/>
    <mergeCell ref="C413:D413"/>
    <mergeCell ref="P440:S441"/>
    <mergeCell ref="A413:B413"/>
    <mergeCell ref="Q408:S408"/>
    <mergeCell ref="A411:B411"/>
    <mergeCell ref="A412:B412"/>
    <mergeCell ref="C409:D409"/>
    <mergeCell ref="C401:D401"/>
    <mergeCell ref="E401:F401"/>
    <mergeCell ref="G401:M401"/>
    <mergeCell ref="N401:P401"/>
    <mergeCell ref="Q401:S401"/>
    <mergeCell ref="T484:U484"/>
    <mergeCell ref="A485:M485"/>
    <mergeCell ref="N485:S485"/>
    <mergeCell ref="A486:M486"/>
    <mergeCell ref="N486:S486"/>
    <mergeCell ref="E413:F413"/>
    <mergeCell ref="G413:M413"/>
    <mergeCell ref="N413:P413"/>
    <mergeCell ref="Q413:S413"/>
    <mergeCell ref="A460:M460"/>
    <mergeCell ref="N460:S460"/>
    <mergeCell ref="A461:M461"/>
    <mergeCell ref="N461:S461"/>
    <mergeCell ref="A424:S424"/>
    <mergeCell ref="A441:O441"/>
    <mergeCell ref="A443:I443"/>
    <mergeCell ref="M443:S443"/>
    <mergeCell ref="A445:L445"/>
    <mergeCell ref="P445:S445"/>
    <mergeCell ref="K35:O35"/>
    <mergeCell ref="P35:S35"/>
    <mergeCell ref="K36:O36"/>
    <mergeCell ref="P36:S36"/>
    <mergeCell ref="K37:O37"/>
    <mergeCell ref="P37:S37"/>
    <mergeCell ref="C400:D400"/>
    <mergeCell ref="E400:F400"/>
    <mergeCell ref="G400:M400"/>
    <mergeCell ref="N400:P400"/>
    <mergeCell ref="Q400:S400"/>
    <mergeCell ref="N398:P398"/>
    <mergeCell ref="Q398:S398"/>
    <mergeCell ref="C399:D399"/>
    <mergeCell ref="E399:F399"/>
    <mergeCell ref="G399:M399"/>
    <mergeCell ref="N399:P399"/>
    <mergeCell ref="Q399:S399"/>
    <mergeCell ref="C396:D396"/>
    <mergeCell ref="E396:F396"/>
    <mergeCell ref="G396:M396"/>
    <mergeCell ref="N396:P396"/>
    <mergeCell ref="Q396:S396"/>
    <mergeCell ref="C397:D397"/>
  </mergeCells>
  <conditionalFormatting sqref="A369:A375">
    <cfRule type="cellIs" dxfId="20" priority="3" operator="lessThan">
      <formula>0</formula>
    </cfRule>
  </conditionalFormatting>
  <conditionalFormatting sqref="A377:A388">
    <cfRule type="cellIs" dxfId="19" priority="2" operator="lessThan">
      <formula>0</formula>
    </cfRule>
  </conditionalFormatting>
  <conditionalFormatting sqref="A390">
    <cfRule type="cellIs" dxfId="18" priority="4" operator="lessThan">
      <formula>0</formula>
    </cfRule>
  </conditionalFormatting>
  <conditionalFormatting sqref="A394:A414">
    <cfRule type="cellIs" dxfId="17" priority="1" operator="lessThan">
      <formula>0</formula>
    </cfRule>
  </conditionalFormatting>
  <conditionalFormatting sqref="A419:D419">
    <cfRule type="cellIs" dxfId="16" priority="11" operator="lessThan">
      <formula>0</formula>
    </cfRule>
  </conditionalFormatting>
  <conditionalFormatting sqref="C366:C367">
    <cfRule type="cellIs" dxfId="15" priority="9" operator="lessThan">
      <formula>0</formula>
    </cfRule>
  </conditionalFormatting>
  <conditionalFormatting sqref="C369:C375">
    <cfRule type="cellIs" dxfId="14" priority="8" operator="lessThan">
      <formula>0</formula>
    </cfRule>
  </conditionalFormatting>
  <conditionalFormatting sqref="C377:C388">
    <cfRule type="cellIs" dxfId="13" priority="6" operator="lessThan">
      <formula>0</formula>
    </cfRule>
  </conditionalFormatting>
  <conditionalFormatting sqref="C390">
    <cfRule type="cellIs" dxfId="12" priority="7" operator="lessThan">
      <formula>0</formula>
    </cfRule>
  </conditionalFormatting>
  <conditionalFormatting sqref="N486:S486">
    <cfRule type="cellIs" dxfId="11" priority="13" operator="greaterThan">
      <formula>0.01</formula>
    </cfRule>
  </conditionalFormatting>
  <conditionalFormatting sqref="P307:S307">
    <cfRule type="cellIs" dxfId="10" priority="38" operator="greaterThan">
      <formula>0.5</formula>
    </cfRule>
  </conditionalFormatting>
  <conditionalFormatting sqref="Q181:S181">
    <cfRule type="cellIs" dxfId="9" priority="35" operator="equal">
      <formula>"Encerrar"</formula>
    </cfRule>
    <cfRule type="cellIs" dxfId="8" priority="36" operator="equal">
      <formula>"Continuar"</formula>
    </cfRule>
  </conditionalFormatting>
  <conditionalFormatting sqref="Q218:S218">
    <cfRule type="cellIs" dxfId="7" priority="24" operator="equal">
      <formula>"Encerrar"</formula>
    </cfRule>
    <cfRule type="cellIs" dxfId="6" priority="25" operator="equal">
      <formula>"Continuar"</formula>
    </cfRule>
  </conditionalFormatting>
  <conditionalFormatting sqref="Q258:S258">
    <cfRule type="cellIs" dxfId="5" priority="22" operator="equal">
      <formula>"Encerrar"</formula>
    </cfRule>
    <cfRule type="cellIs" dxfId="4" priority="23" operator="equal">
      <formula>"Continuar"</formula>
    </cfRule>
  </conditionalFormatting>
  <conditionalFormatting sqref="R366:R367 A367 R369:R375 R377:R388 R390 C393:C414 N393:N414 E394:E414 G394:G414 Q394:Q414 A416:B416 A418 C418 J418:K418 A420:B420">
    <cfRule type="cellIs" dxfId="3" priority="10" operator="lessThan">
      <formula>0</formula>
    </cfRule>
  </conditionalFormatting>
  <conditionalFormatting sqref="T484">
    <cfRule type="containsText" dxfId="2" priority="12" operator="containsText" text="Reduzir o número de casas decimais">
      <formula>NOT(ISERROR(SEARCH("Reduzir o número de casas decimais",T484)))</formula>
    </cfRule>
  </conditionalFormatting>
  <dataValidations count="5">
    <dataValidation type="list" allowBlank="1" showInputMessage="1" showErrorMessage="1" sqref="E337:J337" xr:uid="{BC7723A1-F713-4D77-A225-4755655D3AAE}">
      <formula1>$AI$329:$AI$337</formula1>
    </dataValidation>
    <dataValidation type="list" allowBlank="1" showInputMessage="1" showErrorMessage="1" sqref="E336:J336" xr:uid="{16BA2861-BB4D-4547-B36D-9B65721AAE3C}">
      <formula1>$AJ$333:$AJ$336</formula1>
    </dataValidation>
    <dataValidation type="list" allowBlank="1" showInputMessage="1" showErrorMessage="1" sqref="P336:S336" xr:uid="{F36208C9-7AC5-49C3-82E9-188C9A389661}">
      <formula1>$AJ$329:$AJ$331</formula1>
    </dataValidation>
    <dataValidation type="list" allowBlank="1" showInputMessage="1" showErrorMessage="1" sqref="E394:F414" xr:uid="{274F81E6-408B-435F-AEFE-EB4C464D5413}">
      <formula1>$U$396:$U$404</formula1>
    </dataValidation>
    <dataValidation type="list" allowBlank="1" showInputMessage="1" showErrorMessage="1" sqref="L18:L22" xr:uid="{5C2DD489-0C83-42A1-A5AC-6D8E4F2B2F12}">
      <formula1>$U$19:$U$20</formula1>
    </dataValidation>
  </dataValidations>
  <printOptions horizontalCentered="1"/>
  <pageMargins left="0.25" right="0.25" top="0.75" bottom="0.75" header="0.3" footer="0.3"/>
  <pageSetup paperSize="9" scale="79" fitToHeight="0" orientation="portrait" r:id="rId1"/>
  <ignoredErrors>
    <ignoredError sqref="Y252 Y212 N452"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881D38-17A1-4584-BA99-422C2EC80983}">
          <x14:formula1>
            <xm:f>'VANTAGEM DA COISA FEITA'!$V$11:$Y$11</xm:f>
          </x14:formula1>
          <xm:sqref>M457:S457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A55B-6AE0-4B3E-9054-5705ACC43F97}">
  <dimension ref="A1:AP81"/>
  <sheetViews>
    <sheetView zoomScaleNormal="100" workbookViewId="0">
      <selection sqref="A1:R1"/>
    </sheetView>
  </sheetViews>
  <sheetFormatPr defaultColWidth="20.625" defaultRowHeight="15" x14ac:dyDescent="0.25"/>
  <cols>
    <col min="1" max="18" width="6.625" style="61" customWidth="1"/>
    <col min="19" max="16384" width="20.625" style="53"/>
  </cols>
  <sheetData>
    <row r="1" spans="1:42" ht="20.100000000000001" customHeight="1" thickBot="1" x14ac:dyDescent="0.3">
      <c r="A1" s="248" t="s">
        <v>257</v>
      </c>
      <c r="B1" s="248"/>
      <c r="C1" s="248"/>
      <c r="D1" s="248"/>
      <c r="E1" s="248"/>
      <c r="F1" s="248"/>
      <c r="G1" s="248"/>
      <c r="H1" s="248"/>
      <c r="I1" s="248"/>
      <c r="J1" s="248"/>
      <c r="K1" s="248"/>
      <c r="L1" s="248"/>
      <c r="M1" s="248"/>
      <c r="N1" s="248"/>
      <c r="O1" s="248"/>
      <c r="P1" s="248"/>
      <c r="Q1" s="248"/>
      <c r="R1" s="248"/>
    </row>
    <row r="2" spans="1:42" x14ac:dyDescent="0.25">
      <c r="A2" s="4"/>
      <c r="B2" s="4"/>
      <c r="C2" s="4"/>
      <c r="D2" s="4"/>
      <c r="E2" s="4"/>
      <c r="F2" s="4"/>
      <c r="G2" s="4"/>
      <c r="H2" s="4"/>
      <c r="I2" s="4"/>
      <c r="J2" s="4"/>
      <c r="K2" s="4"/>
      <c r="L2" s="4"/>
      <c r="M2" s="4"/>
      <c r="N2" s="4"/>
      <c r="O2" s="4"/>
      <c r="P2" s="4"/>
      <c r="Q2" s="4"/>
      <c r="R2" s="4"/>
    </row>
    <row r="3" spans="1:42" ht="20.100000000000001" customHeight="1" x14ac:dyDescent="0.25">
      <c r="A3" s="249" t="s">
        <v>258</v>
      </c>
      <c r="B3" s="249"/>
      <c r="C3" s="249"/>
      <c r="D3" s="249"/>
      <c r="E3" s="249"/>
      <c r="F3" s="249"/>
      <c r="G3" s="249"/>
      <c r="H3" s="249"/>
      <c r="I3" s="249"/>
      <c r="J3" s="249"/>
      <c r="K3" s="249"/>
      <c r="L3" s="249"/>
      <c r="M3" s="249"/>
      <c r="N3" s="249"/>
      <c r="O3" s="249"/>
      <c r="P3" s="249"/>
      <c r="Q3" s="249"/>
      <c r="R3" s="249"/>
    </row>
    <row r="4" spans="1:42" ht="20.100000000000001" customHeight="1" x14ac:dyDescent="0.25">
      <c r="A4" s="249"/>
      <c r="B4" s="249"/>
      <c r="C4" s="249"/>
      <c r="D4" s="249"/>
      <c r="E4" s="249"/>
      <c r="F4" s="249"/>
      <c r="G4" s="249"/>
      <c r="H4" s="249"/>
      <c r="I4" s="249"/>
      <c r="J4" s="249"/>
      <c r="K4" s="249"/>
      <c r="L4" s="249"/>
      <c r="M4" s="249"/>
      <c r="N4" s="249"/>
      <c r="O4" s="249"/>
      <c r="P4" s="249"/>
      <c r="Q4" s="249"/>
      <c r="R4" s="249"/>
    </row>
    <row r="5" spans="1:42" ht="20.100000000000001" customHeight="1" x14ac:dyDescent="0.25">
      <c r="A5" s="242" t="s">
        <v>259</v>
      </c>
      <c r="B5" s="242"/>
      <c r="C5" s="242"/>
      <c r="D5" s="242"/>
      <c r="E5" s="242"/>
      <c r="F5" s="242"/>
      <c r="G5" s="242"/>
      <c r="H5" s="242"/>
      <c r="I5" s="242"/>
      <c r="J5" s="242"/>
      <c r="K5" s="242"/>
      <c r="L5" s="242"/>
      <c r="M5" s="242"/>
      <c r="N5" s="242"/>
      <c r="O5" s="242"/>
      <c r="P5" s="242"/>
      <c r="Q5" s="242"/>
      <c r="R5" s="242"/>
    </row>
    <row r="6" spans="1:42" ht="20.100000000000001" customHeight="1" x14ac:dyDescent="0.25">
      <c r="A6" s="250" t="s">
        <v>260</v>
      </c>
      <c r="B6" s="250"/>
      <c r="C6" s="250"/>
      <c r="D6" s="250"/>
      <c r="E6" s="250" t="s">
        <v>261</v>
      </c>
      <c r="F6" s="250"/>
      <c r="G6" s="250" t="s">
        <v>262</v>
      </c>
      <c r="H6" s="250"/>
      <c r="I6" s="250"/>
      <c r="J6" s="250"/>
      <c r="K6" s="250" t="s">
        <v>263</v>
      </c>
      <c r="L6" s="250"/>
      <c r="M6" s="250"/>
      <c r="N6" s="250"/>
      <c r="O6" s="250" t="s">
        <v>264</v>
      </c>
      <c r="P6" s="250"/>
      <c r="Q6" s="250"/>
      <c r="R6" s="250"/>
    </row>
    <row r="7" spans="1:42" ht="20.100000000000001" customHeight="1" x14ac:dyDescent="0.25">
      <c r="A7" s="244" t="s">
        <v>265</v>
      </c>
      <c r="B7" s="244"/>
      <c r="C7" s="244"/>
      <c r="D7" s="244"/>
      <c r="E7" s="241">
        <v>0.25</v>
      </c>
      <c r="F7" s="241"/>
      <c r="G7" s="241">
        <v>0.25</v>
      </c>
      <c r="H7" s="241"/>
      <c r="I7" s="241">
        <v>0.21</v>
      </c>
      <c r="J7" s="241"/>
      <c r="K7" s="241">
        <v>0.21</v>
      </c>
      <c r="L7" s="241"/>
      <c r="M7" s="241">
        <v>0.13</v>
      </c>
      <c r="N7" s="241"/>
      <c r="O7" s="241">
        <v>0.13</v>
      </c>
      <c r="P7" s="241"/>
      <c r="Q7" s="241">
        <v>0</v>
      </c>
      <c r="R7" s="241"/>
    </row>
    <row r="8" spans="1:42" ht="20.100000000000001" customHeight="1" x14ac:dyDescent="0.25">
      <c r="A8" s="244"/>
      <c r="B8" s="244"/>
      <c r="C8" s="244"/>
      <c r="D8" s="244"/>
      <c r="E8" s="241"/>
      <c r="F8" s="241"/>
      <c r="G8" s="241"/>
      <c r="H8" s="241"/>
      <c r="I8" s="241"/>
      <c r="J8" s="241"/>
      <c r="K8" s="241"/>
      <c r="L8" s="241"/>
      <c r="M8" s="241"/>
      <c r="N8" s="241"/>
      <c r="O8" s="241"/>
      <c r="P8" s="241"/>
      <c r="Q8" s="241"/>
      <c r="R8" s="241"/>
      <c r="U8" s="247"/>
      <c r="V8" s="247"/>
      <c r="W8" s="54"/>
    </row>
    <row r="9" spans="1:42" ht="20.100000000000001" customHeight="1" x14ac:dyDescent="0.25">
      <c r="A9" s="244" t="s">
        <v>266</v>
      </c>
      <c r="B9" s="244"/>
      <c r="C9" s="244"/>
      <c r="D9" s="244"/>
      <c r="E9" s="241">
        <v>0.15</v>
      </c>
      <c r="F9" s="241"/>
      <c r="G9" s="241">
        <v>0.15</v>
      </c>
      <c r="H9" s="241"/>
      <c r="I9" s="241">
        <v>0.125</v>
      </c>
      <c r="J9" s="241"/>
      <c r="K9" s="241">
        <v>0.125</v>
      </c>
      <c r="L9" s="241"/>
      <c r="M9" s="241">
        <v>7.8E-2</v>
      </c>
      <c r="N9" s="241"/>
      <c r="O9" s="241">
        <v>7.8E-2</v>
      </c>
      <c r="P9" s="241"/>
      <c r="Q9" s="241">
        <v>0</v>
      </c>
      <c r="R9" s="241"/>
      <c r="U9" s="247"/>
      <c r="V9" s="247"/>
      <c r="W9" s="54"/>
    </row>
    <row r="10" spans="1:42" ht="20.100000000000001" customHeight="1" x14ac:dyDescent="0.25">
      <c r="A10" s="244"/>
      <c r="B10" s="244"/>
      <c r="C10" s="244"/>
      <c r="D10" s="244"/>
      <c r="E10" s="241"/>
      <c r="F10" s="241"/>
      <c r="G10" s="241"/>
      <c r="H10" s="241"/>
      <c r="I10" s="241"/>
      <c r="J10" s="241"/>
      <c r="K10" s="241"/>
      <c r="L10" s="241"/>
      <c r="M10" s="241"/>
      <c r="N10" s="241"/>
      <c r="O10" s="241"/>
      <c r="P10" s="241"/>
      <c r="Q10" s="241"/>
      <c r="R10" s="241"/>
    </row>
    <row r="11" spans="1:42" ht="20.100000000000001" customHeight="1" x14ac:dyDescent="0.25">
      <c r="A11" s="244" t="s">
        <v>267</v>
      </c>
      <c r="B11" s="244"/>
      <c r="C11" s="244"/>
      <c r="D11" s="244"/>
      <c r="E11" s="241">
        <v>0.1</v>
      </c>
      <c r="F11" s="241"/>
      <c r="G11" s="241">
        <v>0.1</v>
      </c>
      <c r="H11" s="241"/>
      <c r="I11" s="241">
        <v>8.4000000000000005E-2</v>
      </c>
      <c r="J11" s="241"/>
      <c r="K11" s="241">
        <v>8.4000000000000005E-2</v>
      </c>
      <c r="L11" s="241"/>
      <c r="M11" s="241">
        <v>5.1999999999999998E-2</v>
      </c>
      <c r="N11" s="241"/>
      <c r="O11" s="241">
        <v>5.1999999999999998E-2</v>
      </c>
      <c r="P11" s="241"/>
      <c r="Q11" s="241">
        <v>0</v>
      </c>
      <c r="R11" s="241"/>
      <c r="U11" s="55" t="s">
        <v>268</v>
      </c>
      <c r="V11" s="55" t="s">
        <v>265</v>
      </c>
      <c r="W11" s="55" t="s">
        <v>266</v>
      </c>
      <c r="X11" s="55" t="s">
        <v>267</v>
      </c>
      <c r="Y11" s="55" t="s">
        <v>269</v>
      </c>
      <c r="AA11" s="245" t="s">
        <v>270</v>
      </c>
      <c r="AB11" s="245"/>
      <c r="AC11" s="245"/>
      <c r="AD11" s="245"/>
      <c r="AE11" s="245"/>
      <c r="AF11" s="245"/>
      <c r="AG11" s="245"/>
      <c r="AH11" s="245"/>
      <c r="AI11" s="245"/>
      <c r="AJ11" s="245"/>
    </row>
    <row r="12" spans="1:42" ht="20.100000000000001" customHeight="1" x14ac:dyDescent="0.25">
      <c r="A12" s="244"/>
      <c r="B12" s="244"/>
      <c r="C12" s="244"/>
      <c r="D12" s="244"/>
      <c r="E12" s="241"/>
      <c r="F12" s="241"/>
      <c r="G12" s="241"/>
      <c r="H12" s="241"/>
      <c r="I12" s="241"/>
      <c r="J12" s="241"/>
      <c r="K12" s="241"/>
      <c r="L12" s="241"/>
      <c r="M12" s="241"/>
      <c r="N12" s="241"/>
      <c r="O12" s="241"/>
      <c r="P12" s="241"/>
      <c r="Q12" s="241"/>
      <c r="R12" s="241"/>
      <c r="U12" s="56">
        <f t="shared" ref="U12:U41" si="0">AB12</f>
        <v>1</v>
      </c>
      <c r="V12" s="57">
        <f t="shared" ref="V12:V41" si="1">AD12/100</f>
        <v>0.24600000000000002</v>
      </c>
      <c r="W12" s="57">
        <f t="shared" ref="W12:W41" si="2">AF12/100</f>
        <v>0.14749999999999999</v>
      </c>
      <c r="X12" s="57">
        <f t="shared" ref="X12:X41" si="3">AH12/100</f>
        <v>9.8400000000000001E-2</v>
      </c>
      <c r="Y12" s="57">
        <f t="shared" ref="Y12:Y41" si="4">AJ12/100</f>
        <v>4.9200000000000001E-2</v>
      </c>
      <c r="AA12" s="246"/>
      <c r="AB12" s="58">
        <v>1</v>
      </c>
      <c r="AC12" s="246"/>
      <c r="AD12" s="59">
        <f t="shared" ref="AD12:AD21" si="5">25-AB12*4/10</f>
        <v>24.6</v>
      </c>
      <c r="AE12" s="246"/>
      <c r="AF12" s="59">
        <f t="shared" ref="AF12:AF21" si="6">15-(AB12*2.5/10)</f>
        <v>14.75</v>
      </c>
      <c r="AG12" s="246"/>
      <c r="AH12" s="59">
        <f t="shared" ref="AH12:AH21" si="7">10-AB12*1.6/10</f>
        <v>9.84</v>
      </c>
      <c r="AI12" s="246"/>
      <c r="AJ12" s="59">
        <f t="shared" ref="AJ12:AJ21" si="8">5-AB12*0.8/10</f>
        <v>4.92</v>
      </c>
      <c r="AM12" s="60"/>
      <c r="AN12" s="60"/>
      <c r="AO12" s="60"/>
      <c r="AP12" s="60"/>
    </row>
    <row r="13" spans="1:42" ht="20.100000000000001" customHeight="1" x14ac:dyDescent="0.25">
      <c r="A13" s="244" t="s">
        <v>269</v>
      </c>
      <c r="B13" s="244"/>
      <c r="C13" s="244"/>
      <c r="D13" s="244"/>
      <c r="E13" s="241">
        <v>0.05</v>
      </c>
      <c r="F13" s="241"/>
      <c r="G13" s="241">
        <v>0.05</v>
      </c>
      <c r="H13" s="241"/>
      <c r="I13" s="241">
        <v>4.2000000000000003E-2</v>
      </c>
      <c r="J13" s="241"/>
      <c r="K13" s="241">
        <v>4.2000000000000003E-2</v>
      </c>
      <c r="L13" s="241"/>
      <c r="M13" s="241">
        <v>2.5999999999999999E-2</v>
      </c>
      <c r="N13" s="241"/>
      <c r="O13" s="241">
        <v>2.5999999999999999E-2</v>
      </c>
      <c r="P13" s="241"/>
      <c r="Q13" s="241">
        <v>0</v>
      </c>
      <c r="R13" s="241"/>
      <c r="U13" s="56">
        <f t="shared" si="0"/>
        <v>2</v>
      </c>
      <c r="V13" s="57">
        <f t="shared" si="1"/>
        <v>0.24199999999999999</v>
      </c>
      <c r="W13" s="57">
        <f t="shared" si="2"/>
        <v>0.14499999999999999</v>
      </c>
      <c r="X13" s="57">
        <f t="shared" si="3"/>
        <v>9.6799999999999997E-2</v>
      </c>
      <c r="Y13" s="57">
        <f t="shared" si="4"/>
        <v>4.8399999999999999E-2</v>
      </c>
      <c r="AA13" s="246"/>
      <c r="AB13" s="58">
        <v>2</v>
      </c>
      <c r="AC13" s="246"/>
      <c r="AD13" s="59">
        <f t="shared" si="5"/>
        <v>24.2</v>
      </c>
      <c r="AE13" s="246"/>
      <c r="AF13" s="59">
        <f t="shared" si="6"/>
        <v>14.5</v>
      </c>
      <c r="AG13" s="246"/>
      <c r="AH13" s="59">
        <f t="shared" si="7"/>
        <v>9.68</v>
      </c>
      <c r="AI13" s="246"/>
      <c r="AJ13" s="59">
        <f t="shared" si="8"/>
        <v>4.84</v>
      </c>
      <c r="AM13" s="60"/>
      <c r="AN13" s="60"/>
      <c r="AO13" s="60"/>
      <c r="AP13" s="60"/>
    </row>
    <row r="14" spans="1:42" ht="20.100000000000001" customHeight="1" x14ac:dyDescent="0.25">
      <c r="A14" s="244"/>
      <c r="B14" s="244"/>
      <c r="C14" s="244"/>
      <c r="D14" s="244"/>
      <c r="E14" s="241"/>
      <c r="F14" s="241"/>
      <c r="G14" s="241"/>
      <c r="H14" s="241"/>
      <c r="I14" s="241"/>
      <c r="J14" s="241"/>
      <c r="K14" s="241"/>
      <c r="L14" s="241"/>
      <c r="M14" s="241"/>
      <c r="N14" s="241"/>
      <c r="O14" s="241"/>
      <c r="P14" s="241"/>
      <c r="Q14" s="241"/>
      <c r="R14" s="241"/>
      <c r="U14" s="56">
        <f t="shared" si="0"/>
        <v>3</v>
      </c>
      <c r="V14" s="57">
        <f t="shared" si="1"/>
        <v>0.23800000000000002</v>
      </c>
      <c r="W14" s="57">
        <f t="shared" si="2"/>
        <v>0.14249999999999999</v>
      </c>
      <c r="X14" s="57">
        <f t="shared" si="3"/>
        <v>9.5199999999999993E-2</v>
      </c>
      <c r="Y14" s="57">
        <f t="shared" si="4"/>
        <v>4.7599999999999996E-2</v>
      </c>
      <c r="AA14" s="246"/>
      <c r="AB14" s="58">
        <v>3</v>
      </c>
      <c r="AC14" s="246"/>
      <c r="AD14" s="59">
        <f t="shared" si="5"/>
        <v>23.8</v>
      </c>
      <c r="AE14" s="246"/>
      <c r="AF14" s="59">
        <f t="shared" si="6"/>
        <v>14.25</v>
      </c>
      <c r="AG14" s="246"/>
      <c r="AH14" s="59">
        <f t="shared" si="7"/>
        <v>9.52</v>
      </c>
      <c r="AI14" s="246"/>
      <c r="AJ14" s="59">
        <f t="shared" si="8"/>
        <v>4.76</v>
      </c>
      <c r="AM14" s="60"/>
      <c r="AN14" s="60"/>
      <c r="AO14" s="60"/>
      <c r="AP14" s="60"/>
    </row>
    <row r="15" spans="1:42" ht="20.100000000000001" customHeight="1" x14ac:dyDescent="0.25">
      <c r="A15" s="242" t="s">
        <v>271</v>
      </c>
      <c r="B15" s="242"/>
      <c r="C15" s="242"/>
      <c r="D15" s="242"/>
      <c r="E15" s="242"/>
      <c r="F15" s="242"/>
      <c r="G15" s="242"/>
      <c r="H15" s="242"/>
      <c r="I15" s="242"/>
      <c r="J15" s="242"/>
      <c r="K15" s="242"/>
      <c r="L15" s="242"/>
      <c r="M15" s="242"/>
      <c r="N15" s="242"/>
      <c r="O15" s="242"/>
      <c r="P15" s="242"/>
      <c r="Q15" s="242"/>
      <c r="R15" s="242"/>
      <c r="U15" s="56">
        <f t="shared" si="0"/>
        <v>4</v>
      </c>
      <c r="V15" s="57">
        <f t="shared" si="1"/>
        <v>0.23399999999999999</v>
      </c>
      <c r="W15" s="57">
        <f t="shared" si="2"/>
        <v>0.14000000000000001</v>
      </c>
      <c r="X15" s="57">
        <f t="shared" si="3"/>
        <v>9.3599999999999989E-2</v>
      </c>
      <c r="Y15" s="57">
        <f t="shared" si="4"/>
        <v>4.6799999999999994E-2</v>
      </c>
      <c r="AA15" s="246"/>
      <c r="AB15" s="58">
        <v>4</v>
      </c>
      <c r="AC15" s="246"/>
      <c r="AD15" s="59">
        <f t="shared" si="5"/>
        <v>23.4</v>
      </c>
      <c r="AE15" s="246"/>
      <c r="AF15" s="59">
        <f t="shared" si="6"/>
        <v>14</v>
      </c>
      <c r="AG15" s="246"/>
      <c r="AH15" s="59">
        <f t="shared" si="7"/>
        <v>9.36</v>
      </c>
      <c r="AI15" s="246"/>
      <c r="AJ15" s="59">
        <f t="shared" si="8"/>
        <v>4.68</v>
      </c>
      <c r="AM15" s="60"/>
      <c r="AN15" s="60"/>
      <c r="AO15" s="60"/>
      <c r="AP15" s="60"/>
    </row>
    <row r="16" spans="1:42" ht="20.100000000000001" customHeight="1" x14ac:dyDescent="0.25">
      <c r="A16" s="242" t="s">
        <v>272</v>
      </c>
      <c r="B16" s="242"/>
      <c r="C16" s="242"/>
      <c r="D16" s="242"/>
      <c r="E16" s="242"/>
      <c r="F16" s="242"/>
      <c r="G16" s="242"/>
      <c r="H16" s="242"/>
      <c r="I16" s="242"/>
      <c r="J16" s="242"/>
      <c r="K16" s="242"/>
      <c r="L16" s="242"/>
      <c r="M16" s="242"/>
      <c r="N16" s="242"/>
      <c r="O16" s="242"/>
      <c r="P16" s="242"/>
      <c r="Q16" s="242"/>
      <c r="R16" s="242"/>
      <c r="U16" s="56">
        <f t="shared" si="0"/>
        <v>5</v>
      </c>
      <c r="V16" s="57">
        <f t="shared" si="1"/>
        <v>0.23</v>
      </c>
      <c r="W16" s="57">
        <f t="shared" si="2"/>
        <v>0.13750000000000001</v>
      </c>
      <c r="X16" s="57">
        <f t="shared" si="3"/>
        <v>9.1999999999999998E-2</v>
      </c>
      <c r="Y16" s="57">
        <f t="shared" si="4"/>
        <v>4.5999999999999999E-2</v>
      </c>
      <c r="AA16" s="246"/>
      <c r="AB16" s="58">
        <v>5</v>
      </c>
      <c r="AC16" s="246"/>
      <c r="AD16" s="59">
        <f t="shared" si="5"/>
        <v>23</v>
      </c>
      <c r="AE16" s="246"/>
      <c r="AF16" s="59">
        <f t="shared" si="6"/>
        <v>13.75</v>
      </c>
      <c r="AG16" s="246"/>
      <c r="AH16" s="59">
        <f t="shared" si="7"/>
        <v>9.1999999999999993</v>
      </c>
      <c r="AI16" s="246"/>
      <c r="AJ16" s="59">
        <f t="shared" si="8"/>
        <v>4.5999999999999996</v>
      </c>
      <c r="AM16" s="60"/>
      <c r="AN16" s="60"/>
      <c r="AO16" s="60"/>
      <c r="AP16" s="60"/>
    </row>
    <row r="17" spans="1:42" ht="20.100000000000001" customHeight="1" x14ac:dyDescent="0.25">
      <c r="A17" s="242" t="s">
        <v>273</v>
      </c>
      <c r="B17" s="242"/>
      <c r="C17" s="242"/>
      <c r="D17" s="243" t="s">
        <v>274</v>
      </c>
      <c r="E17" s="243"/>
      <c r="F17" s="243"/>
      <c r="G17" s="243"/>
      <c r="H17" s="243"/>
      <c r="I17" s="243"/>
      <c r="J17" s="243"/>
      <c r="K17" s="243"/>
      <c r="L17" s="243"/>
      <c r="M17" s="243"/>
      <c r="N17" s="243"/>
      <c r="O17" s="243"/>
      <c r="P17" s="243"/>
      <c r="Q17" s="243"/>
      <c r="R17" s="243"/>
      <c r="U17" s="56">
        <f t="shared" si="0"/>
        <v>6</v>
      </c>
      <c r="V17" s="57">
        <f t="shared" si="1"/>
        <v>0.22600000000000001</v>
      </c>
      <c r="W17" s="57">
        <f t="shared" si="2"/>
        <v>0.13500000000000001</v>
      </c>
      <c r="X17" s="57">
        <f t="shared" si="3"/>
        <v>9.0399999999999994E-2</v>
      </c>
      <c r="Y17" s="57">
        <f t="shared" si="4"/>
        <v>4.5199999999999997E-2</v>
      </c>
      <c r="AA17" s="246"/>
      <c r="AB17" s="58">
        <v>6</v>
      </c>
      <c r="AC17" s="246"/>
      <c r="AD17" s="59">
        <f t="shared" si="5"/>
        <v>22.6</v>
      </c>
      <c r="AE17" s="246"/>
      <c r="AF17" s="59">
        <f t="shared" si="6"/>
        <v>13.5</v>
      </c>
      <c r="AG17" s="246"/>
      <c r="AH17" s="59">
        <f t="shared" si="7"/>
        <v>9.0399999999999991</v>
      </c>
      <c r="AI17" s="246"/>
      <c r="AJ17" s="59">
        <f t="shared" si="8"/>
        <v>4.5199999999999996</v>
      </c>
      <c r="AM17" s="60"/>
      <c r="AN17" s="60"/>
      <c r="AO17" s="60"/>
      <c r="AP17" s="60"/>
    </row>
    <row r="18" spans="1:42" ht="20.100000000000001" customHeight="1" x14ac:dyDescent="0.25">
      <c r="A18" s="118" t="s">
        <v>275</v>
      </c>
      <c r="B18" s="118"/>
      <c r="C18" s="118"/>
      <c r="D18" s="118"/>
      <c r="E18" s="118"/>
      <c r="F18" s="118"/>
      <c r="G18" s="118"/>
      <c r="H18" s="118"/>
      <c r="I18" s="118"/>
      <c r="J18" s="118"/>
      <c r="K18" s="118"/>
      <c r="L18" s="118"/>
      <c r="M18" s="118"/>
      <c r="N18" s="118"/>
      <c r="O18" s="118"/>
      <c r="P18" s="118"/>
      <c r="Q18" s="118"/>
      <c r="R18" s="118"/>
      <c r="U18" s="56">
        <f t="shared" si="0"/>
        <v>7</v>
      </c>
      <c r="V18" s="57">
        <f t="shared" si="1"/>
        <v>0.222</v>
      </c>
      <c r="W18" s="57">
        <f t="shared" si="2"/>
        <v>0.13250000000000001</v>
      </c>
      <c r="X18" s="57">
        <f t="shared" si="3"/>
        <v>8.879999999999999E-2</v>
      </c>
      <c r="Y18" s="57">
        <f t="shared" si="4"/>
        <v>4.4399999999999995E-2</v>
      </c>
      <c r="AA18" s="246"/>
      <c r="AB18" s="58">
        <v>7</v>
      </c>
      <c r="AC18" s="246"/>
      <c r="AD18" s="59">
        <f t="shared" si="5"/>
        <v>22.2</v>
      </c>
      <c r="AE18" s="246"/>
      <c r="AF18" s="59">
        <f t="shared" si="6"/>
        <v>13.25</v>
      </c>
      <c r="AG18" s="246"/>
      <c r="AH18" s="59">
        <f t="shared" si="7"/>
        <v>8.879999999999999</v>
      </c>
      <c r="AI18" s="246"/>
      <c r="AJ18" s="59">
        <f t="shared" si="8"/>
        <v>4.4399999999999995</v>
      </c>
      <c r="AM18" s="60"/>
      <c r="AN18" s="60"/>
      <c r="AO18" s="60"/>
      <c r="AP18" s="60"/>
    </row>
    <row r="19" spans="1:42" ht="20.100000000000001" customHeight="1" x14ac:dyDescent="0.25">
      <c r="A19" s="118"/>
      <c r="B19" s="118"/>
      <c r="C19" s="118"/>
      <c r="D19" s="118"/>
      <c r="E19" s="118"/>
      <c r="F19" s="118"/>
      <c r="G19" s="118"/>
      <c r="H19" s="118"/>
      <c r="I19" s="118"/>
      <c r="J19" s="118"/>
      <c r="K19" s="118"/>
      <c r="L19" s="118"/>
      <c r="M19" s="118"/>
      <c r="N19" s="118"/>
      <c r="O19" s="118"/>
      <c r="P19" s="118"/>
      <c r="Q19" s="118"/>
      <c r="R19" s="118"/>
      <c r="U19" s="56">
        <f t="shared" si="0"/>
        <v>8</v>
      </c>
      <c r="V19" s="57">
        <f t="shared" si="1"/>
        <v>0.218</v>
      </c>
      <c r="W19" s="57">
        <f t="shared" si="2"/>
        <v>0.13</v>
      </c>
      <c r="X19" s="57">
        <f t="shared" si="3"/>
        <v>8.72E-2</v>
      </c>
      <c r="Y19" s="57">
        <f t="shared" si="4"/>
        <v>4.36E-2</v>
      </c>
      <c r="AA19" s="246"/>
      <c r="AB19" s="58">
        <v>8</v>
      </c>
      <c r="AC19" s="246"/>
      <c r="AD19" s="59">
        <f t="shared" si="5"/>
        <v>21.8</v>
      </c>
      <c r="AE19" s="246"/>
      <c r="AF19" s="59">
        <f t="shared" si="6"/>
        <v>13</v>
      </c>
      <c r="AG19" s="246"/>
      <c r="AH19" s="59">
        <f t="shared" si="7"/>
        <v>8.7200000000000006</v>
      </c>
      <c r="AI19" s="246"/>
      <c r="AJ19" s="59">
        <f t="shared" si="8"/>
        <v>4.3600000000000003</v>
      </c>
      <c r="AM19" s="60"/>
      <c r="AN19" s="60"/>
      <c r="AO19" s="60"/>
      <c r="AP19" s="60"/>
    </row>
    <row r="20" spans="1:42" ht="20.100000000000001" customHeight="1" x14ac:dyDescent="0.25">
      <c r="A20" s="118"/>
      <c r="B20" s="118"/>
      <c r="C20" s="118"/>
      <c r="D20" s="118"/>
      <c r="E20" s="118"/>
      <c r="F20" s="118"/>
      <c r="G20" s="118"/>
      <c r="H20" s="118"/>
      <c r="I20" s="118"/>
      <c r="J20" s="118"/>
      <c r="K20" s="118"/>
      <c r="L20" s="118"/>
      <c r="M20" s="118"/>
      <c r="N20" s="118"/>
      <c r="O20" s="118"/>
      <c r="P20" s="118"/>
      <c r="Q20" s="118"/>
      <c r="R20" s="118"/>
      <c r="U20" s="56">
        <f t="shared" si="0"/>
        <v>9</v>
      </c>
      <c r="V20" s="57">
        <f t="shared" si="1"/>
        <v>0.214</v>
      </c>
      <c r="W20" s="57">
        <f t="shared" si="2"/>
        <v>0.1275</v>
      </c>
      <c r="X20" s="57">
        <f t="shared" si="3"/>
        <v>8.5600000000000009E-2</v>
      </c>
      <c r="Y20" s="57">
        <f t="shared" si="4"/>
        <v>4.2800000000000005E-2</v>
      </c>
      <c r="AA20" s="246"/>
      <c r="AB20" s="58">
        <v>9</v>
      </c>
      <c r="AC20" s="246"/>
      <c r="AD20" s="59">
        <f t="shared" si="5"/>
        <v>21.4</v>
      </c>
      <c r="AE20" s="246"/>
      <c r="AF20" s="59">
        <f t="shared" si="6"/>
        <v>12.75</v>
      </c>
      <c r="AG20" s="246"/>
      <c r="AH20" s="59">
        <f t="shared" si="7"/>
        <v>8.56</v>
      </c>
      <c r="AI20" s="246"/>
      <c r="AJ20" s="59">
        <f t="shared" si="8"/>
        <v>4.28</v>
      </c>
      <c r="AM20" s="60"/>
      <c r="AN20" s="60"/>
      <c r="AO20" s="60"/>
      <c r="AP20" s="60"/>
    </row>
    <row r="21" spans="1:42" ht="20.100000000000001" customHeight="1" x14ac:dyDescent="0.25">
      <c r="A21" s="53"/>
      <c r="B21" s="53"/>
      <c r="C21" s="53"/>
      <c r="D21" s="53"/>
      <c r="E21" s="53"/>
      <c r="F21" s="53"/>
      <c r="G21" s="53"/>
      <c r="H21" s="53"/>
      <c r="I21" s="53"/>
      <c r="J21" s="53"/>
      <c r="K21" s="53"/>
      <c r="L21" s="53"/>
      <c r="M21" s="53"/>
      <c r="N21" s="53"/>
      <c r="O21" s="53"/>
      <c r="P21" s="53"/>
      <c r="Q21" s="53"/>
      <c r="R21" s="53"/>
      <c r="U21" s="56">
        <f t="shared" si="0"/>
        <v>10</v>
      </c>
      <c r="V21" s="57">
        <f t="shared" si="1"/>
        <v>0.21</v>
      </c>
      <c r="W21" s="57">
        <f t="shared" si="2"/>
        <v>0.125</v>
      </c>
      <c r="X21" s="57">
        <f t="shared" si="3"/>
        <v>8.4000000000000005E-2</v>
      </c>
      <c r="Y21" s="57">
        <f t="shared" si="4"/>
        <v>4.2000000000000003E-2</v>
      </c>
      <c r="AA21" s="246"/>
      <c r="AB21" s="58">
        <v>10</v>
      </c>
      <c r="AC21" s="246"/>
      <c r="AD21" s="59">
        <f t="shared" si="5"/>
        <v>21</v>
      </c>
      <c r="AE21" s="246"/>
      <c r="AF21" s="59">
        <f t="shared" si="6"/>
        <v>12.5</v>
      </c>
      <c r="AG21" s="246"/>
      <c r="AH21" s="59">
        <f t="shared" si="7"/>
        <v>8.4</v>
      </c>
      <c r="AI21" s="246"/>
      <c r="AJ21" s="59">
        <f t="shared" si="8"/>
        <v>4.2</v>
      </c>
      <c r="AM21" s="60"/>
      <c r="AN21" s="60"/>
      <c r="AO21" s="60"/>
      <c r="AP21" s="60"/>
    </row>
    <row r="22" spans="1:42" ht="20.100000000000001" customHeight="1" x14ac:dyDescent="0.25">
      <c r="A22" s="53"/>
      <c r="B22" s="53"/>
      <c r="C22" s="53"/>
      <c r="D22" s="53"/>
      <c r="E22" s="53"/>
      <c r="F22" s="53"/>
      <c r="G22" s="53"/>
      <c r="H22" s="53"/>
      <c r="I22" s="53"/>
      <c r="J22" s="53"/>
      <c r="K22" s="53"/>
      <c r="L22" s="53"/>
      <c r="M22" s="53"/>
      <c r="N22" s="53"/>
      <c r="O22" s="53"/>
      <c r="P22" s="53"/>
      <c r="Q22" s="53"/>
      <c r="R22" s="53"/>
      <c r="U22" s="56">
        <f t="shared" si="0"/>
        <v>11</v>
      </c>
      <c r="V22" s="57">
        <f t="shared" si="1"/>
        <v>0.20199999999999999</v>
      </c>
      <c r="W22" s="57">
        <f t="shared" si="2"/>
        <v>0.12029999999999999</v>
      </c>
      <c r="X22" s="57">
        <f t="shared" si="3"/>
        <v>8.0799999999999997E-2</v>
      </c>
      <c r="Y22" s="57">
        <f t="shared" si="4"/>
        <v>4.0399999999999998E-2</v>
      </c>
      <c r="AA22" s="246"/>
      <c r="AB22" s="58">
        <v>11</v>
      </c>
      <c r="AC22" s="246"/>
      <c r="AD22" s="59">
        <f t="shared" ref="AD22:AD31" si="9">21-((AB22-10)*(8/10))</f>
        <v>20.2</v>
      </c>
      <c r="AE22" s="246"/>
      <c r="AF22" s="59">
        <f t="shared" ref="AF22:AF31" si="10">12.5-(AB22-10)*4.7/10</f>
        <v>12.03</v>
      </c>
      <c r="AG22" s="246"/>
      <c r="AH22" s="59">
        <f t="shared" ref="AH22:AH31" si="11">8.4-(AB22-10)*3.2/10</f>
        <v>8.08</v>
      </c>
      <c r="AI22" s="246"/>
      <c r="AJ22" s="59">
        <f t="shared" ref="AJ22:AJ31" si="12">4.2-(AB22-10)*1.6/10</f>
        <v>4.04</v>
      </c>
      <c r="AM22" s="60"/>
      <c r="AN22" s="60"/>
      <c r="AO22" s="60"/>
      <c r="AP22" s="60"/>
    </row>
    <row r="23" spans="1:42" ht="20.100000000000001" customHeight="1" x14ac:dyDescent="0.25">
      <c r="A23" s="53"/>
      <c r="B23" s="53"/>
      <c r="C23" s="53"/>
      <c r="D23" s="53"/>
      <c r="E23" s="53"/>
      <c r="F23" s="53"/>
      <c r="G23" s="53"/>
      <c r="H23" s="53"/>
      <c r="I23" s="53"/>
      <c r="J23" s="53"/>
      <c r="K23" s="53"/>
      <c r="L23" s="53"/>
      <c r="M23" s="53"/>
      <c r="N23" s="53"/>
      <c r="O23" s="53"/>
      <c r="P23" s="53"/>
      <c r="Q23" s="53"/>
      <c r="R23" s="53"/>
      <c r="U23" s="56">
        <f t="shared" si="0"/>
        <v>12</v>
      </c>
      <c r="V23" s="57">
        <f t="shared" si="1"/>
        <v>0.19399999999999998</v>
      </c>
      <c r="W23" s="57">
        <f t="shared" si="2"/>
        <v>0.11560000000000001</v>
      </c>
      <c r="X23" s="57">
        <f t="shared" si="3"/>
        <v>7.7600000000000002E-2</v>
      </c>
      <c r="Y23" s="57">
        <f t="shared" si="4"/>
        <v>3.8800000000000001E-2</v>
      </c>
      <c r="AA23" s="246"/>
      <c r="AB23" s="58">
        <v>12</v>
      </c>
      <c r="AC23" s="246"/>
      <c r="AD23" s="59">
        <f t="shared" si="9"/>
        <v>19.399999999999999</v>
      </c>
      <c r="AE23" s="246"/>
      <c r="AF23" s="59">
        <f t="shared" si="10"/>
        <v>11.56</v>
      </c>
      <c r="AG23" s="246"/>
      <c r="AH23" s="59">
        <f t="shared" si="11"/>
        <v>7.7600000000000007</v>
      </c>
      <c r="AI23" s="246"/>
      <c r="AJ23" s="59">
        <f t="shared" si="12"/>
        <v>3.8800000000000003</v>
      </c>
      <c r="AM23" s="60"/>
      <c r="AN23" s="60"/>
      <c r="AO23" s="60"/>
      <c r="AP23" s="60"/>
    </row>
    <row r="24" spans="1:42" ht="20.100000000000001" customHeight="1" x14ac:dyDescent="0.25">
      <c r="A24" s="53"/>
      <c r="B24" s="53"/>
      <c r="C24" s="53"/>
      <c r="D24" s="53"/>
      <c r="E24" s="53"/>
      <c r="F24" s="53"/>
      <c r="G24" s="53"/>
      <c r="H24" s="53"/>
      <c r="I24" s="53"/>
      <c r="J24" s="53"/>
      <c r="K24" s="53"/>
      <c r="L24" s="53"/>
      <c r="M24" s="53"/>
      <c r="N24" s="53"/>
      <c r="O24" s="53"/>
      <c r="P24" s="53"/>
      <c r="Q24" s="53"/>
      <c r="R24" s="53"/>
      <c r="U24" s="56">
        <f t="shared" si="0"/>
        <v>13</v>
      </c>
      <c r="V24" s="57">
        <f t="shared" si="1"/>
        <v>0.18600000000000003</v>
      </c>
      <c r="W24" s="57">
        <f t="shared" si="2"/>
        <v>0.1109</v>
      </c>
      <c r="X24" s="57">
        <f t="shared" si="3"/>
        <v>7.4400000000000008E-2</v>
      </c>
      <c r="Y24" s="57">
        <f t="shared" si="4"/>
        <v>3.7200000000000004E-2</v>
      </c>
      <c r="AA24" s="246"/>
      <c r="AB24" s="58">
        <v>13</v>
      </c>
      <c r="AC24" s="246"/>
      <c r="AD24" s="59">
        <f t="shared" si="9"/>
        <v>18.600000000000001</v>
      </c>
      <c r="AE24" s="246"/>
      <c r="AF24" s="59">
        <f t="shared" si="10"/>
        <v>11.09</v>
      </c>
      <c r="AG24" s="246"/>
      <c r="AH24" s="59">
        <f t="shared" si="11"/>
        <v>7.44</v>
      </c>
      <c r="AI24" s="246"/>
      <c r="AJ24" s="59">
        <f t="shared" si="12"/>
        <v>3.72</v>
      </c>
      <c r="AM24" s="60"/>
      <c r="AN24" s="60"/>
      <c r="AO24" s="60"/>
      <c r="AP24" s="60"/>
    </row>
    <row r="25" spans="1:42" ht="20.100000000000001" customHeight="1" x14ac:dyDescent="0.25">
      <c r="A25" s="53"/>
      <c r="B25" s="53"/>
      <c r="C25" s="53"/>
      <c r="D25" s="53"/>
      <c r="E25" s="53"/>
      <c r="F25" s="53"/>
      <c r="G25" s="53"/>
      <c r="H25" s="53"/>
      <c r="I25" s="53"/>
      <c r="J25" s="53"/>
      <c r="K25" s="53"/>
      <c r="L25" s="53"/>
      <c r="M25" s="53"/>
      <c r="N25" s="53"/>
      <c r="O25" s="53"/>
      <c r="P25" s="53"/>
      <c r="Q25" s="53"/>
      <c r="R25" s="53"/>
      <c r="U25" s="56">
        <f t="shared" si="0"/>
        <v>14</v>
      </c>
      <c r="V25" s="57">
        <f t="shared" si="1"/>
        <v>0.17800000000000002</v>
      </c>
      <c r="W25" s="57">
        <f t="shared" si="2"/>
        <v>0.10619999999999999</v>
      </c>
      <c r="X25" s="57">
        <f t="shared" si="3"/>
        <v>7.1199999999999999E-2</v>
      </c>
      <c r="Y25" s="57">
        <f t="shared" si="4"/>
        <v>3.56E-2</v>
      </c>
      <c r="AA25" s="246"/>
      <c r="AB25" s="58">
        <v>14</v>
      </c>
      <c r="AC25" s="246"/>
      <c r="AD25" s="59">
        <f t="shared" si="9"/>
        <v>17.8</v>
      </c>
      <c r="AE25" s="246"/>
      <c r="AF25" s="59">
        <f t="shared" si="10"/>
        <v>10.62</v>
      </c>
      <c r="AG25" s="246"/>
      <c r="AH25" s="59">
        <f t="shared" si="11"/>
        <v>7.12</v>
      </c>
      <c r="AI25" s="246"/>
      <c r="AJ25" s="59">
        <f t="shared" si="12"/>
        <v>3.56</v>
      </c>
      <c r="AM25" s="60"/>
      <c r="AN25" s="60"/>
      <c r="AO25" s="60"/>
      <c r="AP25" s="60"/>
    </row>
    <row r="26" spans="1:42" ht="20.100000000000001" customHeight="1" x14ac:dyDescent="0.25">
      <c r="A26" s="53"/>
      <c r="B26" s="53"/>
      <c r="C26" s="53"/>
      <c r="D26" s="53"/>
      <c r="E26" s="53"/>
      <c r="F26" s="53"/>
      <c r="G26" s="53"/>
      <c r="H26" s="53"/>
      <c r="I26" s="53"/>
      <c r="J26" s="53"/>
      <c r="K26" s="53"/>
      <c r="L26" s="53"/>
      <c r="M26" s="53"/>
      <c r="N26" s="53"/>
      <c r="O26" s="53"/>
      <c r="P26" s="53"/>
      <c r="Q26" s="53"/>
      <c r="R26" s="53"/>
      <c r="U26" s="56">
        <f t="shared" si="0"/>
        <v>15</v>
      </c>
      <c r="V26" s="57">
        <f t="shared" si="1"/>
        <v>0.17</v>
      </c>
      <c r="W26" s="57">
        <f t="shared" si="2"/>
        <v>0.10150000000000001</v>
      </c>
      <c r="X26" s="57">
        <f t="shared" si="3"/>
        <v>6.8000000000000005E-2</v>
      </c>
      <c r="Y26" s="57">
        <f t="shared" si="4"/>
        <v>3.4000000000000002E-2</v>
      </c>
      <c r="AA26" s="246"/>
      <c r="AB26" s="58">
        <v>15</v>
      </c>
      <c r="AC26" s="246"/>
      <c r="AD26" s="59">
        <f t="shared" si="9"/>
        <v>17</v>
      </c>
      <c r="AE26" s="246"/>
      <c r="AF26" s="59">
        <f t="shared" si="10"/>
        <v>10.15</v>
      </c>
      <c r="AG26" s="246"/>
      <c r="AH26" s="59">
        <f t="shared" si="11"/>
        <v>6.8000000000000007</v>
      </c>
      <c r="AI26" s="246"/>
      <c r="AJ26" s="59">
        <f t="shared" si="12"/>
        <v>3.4000000000000004</v>
      </c>
      <c r="AM26" s="60"/>
      <c r="AN26" s="60"/>
      <c r="AO26" s="60"/>
      <c r="AP26" s="60"/>
    </row>
    <row r="27" spans="1:42" ht="20.100000000000001" customHeight="1" x14ac:dyDescent="0.25">
      <c r="A27" s="53"/>
      <c r="B27" s="53"/>
      <c r="C27" s="53"/>
      <c r="D27" s="53"/>
      <c r="E27" s="53"/>
      <c r="F27" s="53"/>
      <c r="G27" s="53"/>
      <c r="H27" s="53"/>
      <c r="I27" s="53"/>
      <c r="J27" s="53"/>
      <c r="K27" s="53"/>
      <c r="L27" s="53"/>
      <c r="M27" s="53"/>
      <c r="N27" s="53"/>
      <c r="O27" s="53"/>
      <c r="P27" s="53"/>
      <c r="Q27" s="53"/>
      <c r="R27" s="53"/>
      <c r="U27" s="56">
        <f t="shared" si="0"/>
        <v>16</v>
      </c>
      <c r="V27" s="57">
        <f t="shared" si="1"/>
        <v>0.16200000000000001</v>
      </c>
      <c r="W27" s="57">
        <f t="shared" si="2"/>
        <v>9.6799999999999997E-2</v>
      </c>
      <c r="X27" s="57">
        <f t="shared" si="3"/>
        <v>6.480000000000001E-2</v>
      </c>
      <c r="Y27" s="57">
        <f t="shared" si="4"/>
        <v>3.2400000000000005E-2</v>
      </c>
      <c r="AA27" s="246"/>
      <c r="AB27" s="58">
        <v>16</v>
      </c>
      <c r="AC27" s="246"/>
      <c r="AD27" s="59">
        <f t="shared" si="9"/>
        <v>16.2</v>
      </c>
      <c r="AE27" s="246"/>
      <c r="AF27" s="59">
        <f t="shared" si="10"/>
        <v>9.68</v>
      </c>
      <c r="AG27" s="246"/>
      <c r="AH27" s="59">
        <f t="shared" si="11"/>
        <v>6.48</v>
      </c>
      <c r="AI27" s="246"/>
      <c r="AJ27" s="59">
        <f t="shared" si="12"/>
        <v>3.24</v>
      </c>
      <c r="AM27" s="60"/>
      <c r="AN27" s="60"/>
      <c r="AO27" s="60"/>
      <c r="AP27" s="60"/>
    </row>
    <row r="28" spans="1:42" ht="20.100000000000001" customHeight="1" x14ac:dyDescent="0.25">
      <c r="U28" s="56">
        <f t="shared" si="0"/>
        <v>17</v>
      </c>
      <c r="V28" s="57">
        <f t="shared" si="1"/>
        <v>0.154</v>
      </c>
      <c r="W28" s="57">
        <f t="shared" si="2"/>
        <v>9.2100000000000015E-2</v>
      </c>
      <c r="X28" s="57">
        <f t="shared" si="3"/>
        <v>6.1600000000000002E-2</v>
      </c>
      <c r="Y28" s="57">
        <f t="shared" si="4"/>
        <v>3.0800000000000001E-2</v>
      </c>
      <c r="AA28" s="246"/>
      <c r="AB28" s="58">
        <v>17</v>
      </c>
      <c r="AC28" s="246"/>
      <c r="AD28" s="59">
        <f t="shared" si="9"/>
        <v>15.399999999999999</v>
      </c>
      <c r="AE28" s="246"/>
      <c r="AF28" s="59">
        <f t="shared" si="10"/>
        <v>9.2100000000000009</v>
      </c>
      <c r="AG28" s="246"/>
      <c r="AH28" s="59">
        <f t="shared" si="11"/>
        <v>6.16</v>
      </c>
      <c r="AI28" s="246"/>
      <c r="AJ28" s="59">
        <f t="shared" si="12"/>
        <v>3.08</v>
      </c>
      <c r="AM28" s="60"/>
      <c r="AN28" s="60"/>
      <c r="AO28" s="60"/>
      <c r="AP28" s="60"/>
    </row>
    <row r="29" spans="1:42" ht="20.100000000000001" customHeight="1" x14ac:dyDescent="0.2">
      <c r="A29" s="51"/>
      <c r="B29" s="51"/>
      <c r="C29" s="51"/>
      <c r="D29" s="51"/>
      <c r="E29" s="51"/>
      <c r="F29" s="51"/>
      <c r="G29" s="51"/>
      <c r="H29" s="51"/>
      <c r="I29" s="51"/>
      <c r="J29" s="51"/>
      <c r="K29" s="51"/>
      <c r="L29" s="51"/>
      <c r="M29" s="51"/>
      <c r="N29" s="51"/>
      <c r="O29" s="51"/>
      <c r="P29" s="51"/>
      <c r="Q29" s="51"/>
      <c r="R29" s="51"/>
      <c r="U29" s="56">
        <f t="shared" si="0"/>
        <v>18</v>
      </c>
      <c r="V29" s="57">
        <f t="shared" si="1"/>
        <v>0.14599999999999999</v>
      </c>
      <c r="W29" s="57">
        <f t="shared" si="2"/>
        <v>8.7400000000000005E-2</v>
      </c>
      <c r="X29" s="57">
        <f t="shared" si="3"/>
        <v>5.8400000000000001E-2</v>
      </c>
      <c r="Y29" s="57">
        <f t="shared" si="4"/>
        <v>2.92E-2</v>
      </c>
      <c r="AA29" s="246"/>
      <c r="AB29" s="58">
        <v>18</v>
      </c>
      <c r="AC29" s="246"/>
      <c r="AD29" s="59">
        <f t="shared" si="9"/>
        <v>14.6</v>
      </c>
      <c r="AE29" s="246"/>
      <c r="AF29" s="59">
        <f t="shared" si="10"/>
        <v>8.74</v>
      </c>
      <c r="AG29" s="246"/>
      <c r="AH29" s="59">
        <f t="shared" si="11"/>
        <v>5.84</v>
      </c>
      <c r="AI29" s="246"/>
      <c r="AJ29" s="59">
        <f t="shared" si="12"/>
        <v>2.92</v>
      </c>
      <c r="AM29" s="60"/>
      <c r="AN29" s="60"/>
      <c r="AO29" s="60"/>
      <c r="AP29" s="60"/>
    </row>
    <row r="30" spans="1:42" ht="20.100000000000001" customHeight="1" x14ac:dyDescent="0.25">
      <c r="A30" s="53"/>
      <c r="B30" s="53"/>
      <c r="C30" s="53"/>
      <c r="D30" s="53"/>
      <c r="E30" s="53"/>
      <c r="F30" s="53"/>
      <c r="G30" s="53"/>
      <c r="H30" s="53"/>
      <c r="I30" s="53"/>
      <c r="J30" s="53"/>
      <c r="K30" s="53"/>
      <c r="L30" s="53"/>
      <c r="M30" s="53"/>
      <c r="N30" s="53"/>
      <c r="O30" s="53"/>
      <c r="P30" s="53"/>
      <c r="Q30" s="53"/>
      <c r="R30" s="53"/>
      <c r="U30" s="56">
        <f t="shared" si="0"/>
        <v>19</v>
      </c>
      <c r="V30" s="57">
        <f t="shared" si="1"/>
        <v>0.13800000000000001</v>
      </c>
      <c r="W30" s="57">
        <f t="shared" si="2"/>
        <v>8.2699999999999996E-2</v>
      </c>
      <c r="X30" s="57">
        <f t="shared" si="3"/>
        <v>5.5200000000000006E-2</v>
      </c>
      <c r="Y30" s="57">
        <f t="shared" si="4"/>
        <v>2.7600000000000003E-2</v>
      </c>
      <c r="AA30" s="246"/>
      <c r="AB30" s="58">
        <v>19</v>
      </c>
      <c r="AC30" s="246"/>
      <c r="AD30" s="59">
        <f t="shared" si="9"/>
        <v>13.8</v>
      </c>
      <c r="AE30" s="246"/>
      <c r="AF30" s="59">
        <f t="shared" si="10"/>
        <v>8.27</v>
      </c>
      <c r="AG30" s="246"/>
      <c r="AH30" s="59">
        <f t="shared" si="11"/>
        <v>5.5200000000000005</v>
      </c>
      <c r="AI30" s="246"/>
      <c r="AJ30" s="59">
        <f t="shared" si="12"/>
        <v>2.7600000000000002</v>
      </c>
      <c r="AM30" s="60"/>
      <c r="AN30" s="60"/>
      <c r="AO30" s="60"/>
      <c r="AP30" s="60"/>
    </row>
    <row r="31" spans="1:42" ht="20.100000000000001" customHeight="1" x14ac:dyDescent="0.25">
      <c r="A31" s="53"/>
      <c r="B31" s="53"/>
      <c r="C31" s="53"/>
      <c r="D31" s="53"/>
      <c r="E31" s="53"/>
      <c r="F31" s="53"/>
      <c r="G31" s="53"/>
      <c r="H31" s="53"/>
      <c r="I31" s="53"/>
      <c r="J31" s="53"/>
      <c r="K31" s="53"/>
      <c r="L31" s="53"/>
      <c r="M31" s="53"/>
      <c r="N31" s="53"/>
      <c r="O31" s="53"/>
      <c r="P31" s="53"/>
      <c r="Q31" s="53"/>
      <c r="R31" s="53"/>
      <c r="U31" s="56">
        <f t="shared" si="0"/>
        <v>20</v>
      </c>
      <c r="V31" s="57">
        <f t="shared" si="1"/>
        <v>0.13</v>
      </c>
      <c r="W31" s="57">
        <f t="shared" si="2"/>
        <v>7.8E-2</v>
      </c>
      <c r="X31" s="57">
        <f t="shared" si="3"/>
        <v>5.2000000000000005E-2</v>
      </c>
      <c r="Y31" s="57">
        <f t="shared" si="4"/>
        <v>2.6000000000000002E-2</v>
      </c>
      <c r="AA31" s="246"/>
      <c r="AB31" s="58">
        <v>20</v>
      </c>
      <c r="AC31" s="246"/>
      <c r="AD31" s="59">
        <f t="shared" si="9"/>
        <v>13</v>
      </c>
      <c r="AE31" s="246"/>
      <c r="AF31" s="59">
        <f t="shared" si="10"/>
        <v>7.8</v>
      </c>
      <c r="AG31" s="246"/>
      <c r="AH31" s="59">
        <f t="shared" si="11"/>
        <v>5.2</v>
      </c>
      <c r="AI31" s="246"/>
      <c r="AJ31" s="59">
        <f t="shared" si="12"/>
        <v>2.6</v>
      </c>
      <c r="AM31" s="60"/>
      <c r="AN31" s="60"/>
      <c r="AO31" s="60"/>
      <c r="AP31" s="60"/>
    </row>
    <row r="32" spans="1:42" ht="20.100000000000001" customHeight="1" x14ac:dyDescent="0.25">
      <c r="A32" s="53"/>
      <c r="B32" s="53"/>
      <c r="C32" s="53"/>
      <c r="D32" s="53"/>
      <c r="E32" s="53"/>
      <c r="F32" s="53"/>
      <c r="G32" s="53"/>
      <c r="H32" s="53"/>
      <c r="I32" s="53"/>
      <c r="J32" s="53"/>
      <c r="K32" s="53"/>
      <c r="L32" s="53"/>
      <c r="M32" s="53"/>
      <c r="N32" s="53"/>
      <c r="O32" s="53"/>
      <c r="P32" s="53"/>
      <c r="Q32" s="53"/>
      <c r="R32" s="53"/>
      <c r="U32" s="56">
        <f t="shared" si="0"/>
        <v>21</v>
      </c>
      <c r="V32" s="57">
        <f t="shared" si="1"/>
        <v>0.11699999999999999</v>
      </c>
      <c r="W32" s="57">
        <f t="shared" si="2"/>
        <v>7.0199999999999999E-2</v>
      </c>
      <c r="X32" s="57">
        <f t="shared" si="3"/>
        <v>4.6799999999999994E-2</v>
      </c>
      <c r="Y32" s="57">
        <f t="shared" si="4"/>
        <v>2.3399999999999997E-2</v>
      </c>
      <c r="AA32" s="246"/>
      <c r="AB32" s="58">
        <v>21</v>
      </c>
      <c r="AC32" s="246"/>
      <c r="AD32" s="59">
        <f>13-((AB32-20)*(13/10))</f>
        <v>11.7</v>
      </c>
      <c r="AE32" s="246">
        <f>13-((AC32-20)*(13/10))</f>
        <v>39</v>
      </c>
      <c r="AF32" s="59">
        <f t="shared" ref="AF32:AF41" si="13">7.8-(AB32-20)*7.8/10</f>
        <v>7.02</v>
      </c>
      <c r="AG32" s="246">
        <f>13-((AE32-20)*(13/10))</f>
        <v>-11.7</v>
      </c>
      <c r="AH32" s="59">
        <f t="shared" ref="AH32:AH41" si="14">5.2-(AB32-20)*5.2/10</f>
        <v>4.68</v>
      </c>
      <c r="AI32" s="246">
        <f>13-((AG32-20)*(13/10))</f>
        <v>54.21</v>
      </c>
      <c r="AJ32" s="59">
        <f t="shared" ref="AJ32:AJ41" si="15">2.6-(AB32-20)*2.6/10</f>
        <v>2.34</v>
      </c>
      <c r="AM32" s="60"/>
      <c r="AN32" s="60"/>
      <c r="AO32" s="60"/>
      <c r="AP32" s="60"/>
    </row>
    <row r="33" spans="1:42" ht="20.100000000000001" customHeight="1" x14ac:dyDescent="0.25">
      <c r="A33" s="53"/>
      <c r="B33" s="53"/>
      <c r="C33" s="53"/>
      <c r="D33" s="53"/>
      <c r="E33" s="53"/>
      <c r="F33" s="53"/>
      <c r="G33" s="53"/>
      <c r="H33" s="53"/>
      <c r="I33" s="53"/>
      <c r="J33" s="53"/>
      <c r="K33" s="53"/>
      <c r="L33" s="53"/>
      <c r="M33" s="53"/>
      <c r="N33" s="53"/>
      <c r="O33" s="53"/>
      <c r="P33" s="53"/>
      <c r="Q33" s="53"/>
      <c r="R33" s="53"/>
      <c r="U33" s="56">
        <f t="shared" si="0"/>
        <v>22</v>
      </c>
      <c r="V33" s="57">
        <f t="shared" si="1"/>
        <v>0.10400000000000001</v>
      </c>
      <c r="W33" s="57">
        <f t="shared" si="2"/>
        <v>6.2400000000000004E-2</v>
      </c>
      <c r="X33" s="57">
        <f t="shared" si="3"/>
        <v>4.1599999999999998E-2</v>
      </c>
      <c r="Y33" s="57">
        <f t="shared" si="4"/>
        <v>2.0799999999999999E-2</v>
      </c>
      <c r="AA33" s="246"/>
      <c r="AB33" s="58">
        <v>22</v>
      </c>
      <c r="AC33" s="246"/>
      <c r="AD33" s="59">
        <f t="shared" ref="AD33:AD41" si="16">13-((AB33-20)*(13/10))</f>
        <v>10.4</v>
      </c>
      <c r="AE33" s="246"/>
      <c r="AF33" s="59">
        <f t="shared" si="13"/>
        <v>6.24</v>
      </c>
      <c r="AG33" s="246"/>
      <c r="AH33" s="59">
        <f t="shared" si="14"/>
        <v>4.16</v>
      </c>
      <c r="AI33" s="246"/>
      <c r="AJ33" s="59">
        <f t="shared" si="15"/>
        <v>2.08</v>
      </c>
      <c r="AM33" s="60"/>
      <c r="AN33" s="60"/>
      <c r="AO33" s="60"/>
      <c r="AP33" s="60"/>
    </row>
    <row r="34" spans="1:42" ht="20.100000000000001" customHeight="1" x14ac:dyDescent="0.25">
      <c r="A34" s="53"/>
      <c r="B34" s="53"/>
      <c r="C34" s="53"/>
      <c r="D34" s="53"/>
      <c r="E34" s="53"/>
      <c r="F34" s="53"/>
      <c r="G34" s="53"/>
      <c r="H34" s="53"/>
      <c r="I34" s="53"/>
      <c r="J34" s="53"/>
      <c r="K34" s="53"/>
      <c r="L34" s="53"/>
      <c r="M34" s="53"/>
      <c r="N34" s="53"/>
      <c r="O34" s="53"/>
      <c r="P34" s="53"/>
      <c r="Q34" s="53"/>
      <c r="R34" s="53"/>
      <c r="U34" s="56">
        <f t="shared" si="0"/>
        <v>23</v>
      </c>
      <c r="V34" s="57">
        <f t="shared" si="1"/>
        <v>9.0999999999999998E-2</v>
      </c>
      <c r="W34" s="57">
        <f t="shared" si="2"/>
        <v>5.4600000000000003E-2</v>
      </c>
      <c r="X34" s="57">
        <f t="shared" si="3"/>
        <v>3.6400000000000002E-2</v>
      </c>
      <c r="Y34" s="57">
        <f t="shared" si="4"/>
        <v>1.8200000000000001E-2</v>
      </c>
      <c r="AA34" s="246"/>
      <c r="AB34" s="58">
        <v>23</v>
      </c>
      <c r="AC34" s="246"/>
      <c r="AD34" s="59">
        <f t="shared" si="16"/>
        <v>9.1</v>
      </c>
      <c r="AE34" s="246"/>
      <c r="AF34" s="59">
        <f t="shared" si="13"/>
        <v>5.46</v>
      </c>
      <c r="AG34" s="246"/>
      <c r="AH34" s="59">
        <f t="shared" si="14"/>
        <v>3.64</v>
      </c>
      <c r="AI34" s="246"/>
      <c r="AJ34" s="59">
        <f t="shared" si="15"/>
        <v>1.82</v>
      </c>
      <c r="AM34" s="60"/>
      <c r="AN34" s="60"/>
      <c r="AO34" s="60"/>
      <c r="AP34" s="60"/>
    </row>
    <row r="35" spans="1:42" ht="20.100000000000001" customHeight="1" x14ac:dyDescent="0.25">
      <c r="A35" s="53"/>
      <c r="B35" s="53"/>
      <c r="C35" s="53"/>
      <c r="D35" s="53"/>
      <c r="E35" s="53"/>
      <c r="F35" s="53"/>
      <c r="G35" s="53"/>
      <c r="H35" s="53"/>
      <c r="I35" s="53"/>
      <c r="J35" s="53"/>
      <c r="K35" s="53"/>
      <c r="L35" s="53"/>
      <c r="M35" s="53"/>
      <c r="N35" s="53"/>
      <c r="O35" s="53"/>
      <c r="P35" s="53"/>
      <c r="Q35" s="53"/>
      <c r="R35" s="53"/>
      <c r="U35" s="56">
        <f t="shared" si="0"/>
        <v>24</v>
      </c>
      <c r="V35" s="57">
        <f t="shared" si="1"/>
        <v>7.8E-2</v>
      </c>
      <c r="W35" s="57">
        <f t="shared" si="2"/>
        <v>4.6799999999999994E-2</v>
      </c>
      <c r="X35" s="57">
        <f t="shared" si="3"/>
        <v>3.1200000000000002E-2</v>
      </c>
      <c r="Y35" s="57">
        <f t="shared" si="4"/>
        <v>1.5600000000000001E-2</v>
      </c>
      <c r="AA35" s="246"/>
      <c r="AB35" s="58">
        <v>24</v>
      </c>
      <c r="AC35" s="246"/>
      <c r="AD35" s="59">
        <f t="shared" si="16"/>
        <v>7.8</v>
      </c>
      <c r="AE35" s="246"/>
      <c r="AF35" s="59">
        <f t="shared" si="13"/>
        <v>4.68</v>
      </c>
      <c r="AG35" s="246"/>
      <c r="AH35" s="59">
        <f t="shared" si="14"/>
        <v>3.12</v>
      </c>
      <c r="AI35" s="246"/>
      <c r="AJ35" s="59">
        <f t="shared" si="15"/>
        <v>1.56</v>
      </c>
      <c r="AM35" s="60"/>
      <c r="AN35" s="60"/>
      <c r="AO35" s="60"/>
      <c r="AP35" s="60"/>
    </row>
    <row r="36" spans="1:42" ht="20.100000000000001" customHeight="1" x14ac:dyDescent="0.25">
      <c r="A36" s="53"/>
      <c r="B36" s="53"/>
      <c r="C36" s="53"/>
      <c r="D36" s="53"/>
      <c r="E36" s="53"/>
      <c r="F36" s="53"/>
      <c r="G36" s="53"/>
      <c r="H36" s="53"/>
      <c r="I36" s="53"/>
      <c r="J36" s="53"/>
      <c r="K36" s="53"/>
      <c r="L36" s="53"/>
      <c r="M36" s="53"/>
      <c r="N36" s="53"/>
      <c r="O36" s="53"/>
      <c r="P36" s="53"/>
      <c r="Q36" s="53"/>
      <c r="R36" s="53"/>
      <c r="U36" s="56">
        <f t="shared" si="0"/>
        <v>25</v>
      </c>
      <c r="V36" s="57">
        <f t="shared" si="1"/>
        <v>6.5000000000000002E-2</v>
      </c>
      <c r="W36" s="57">
        <f t="shared" si="2"/>
        <v>3.9E-2</v>
      </c>
      <c r="X36" s="57">
        <f t="shared" si="3"/>
        <v>2.6000000000000002E-2</v>
      </c>
      <c r="Y36" s="57">
        <f t="shared" si="4"/>
        <v>1.3000000000000001E-2</v>
      </c>
      <c r="AA36" s="246"/>
      <c r="AB36" s="58">
        <v>25</v>
      </c>
      <c r="AC36" s="246"/>
      <c r="AD36" s="59">
        <f t="shared" si="16"/>
        <v>6.5</v>
      </c>
      <c r="AE36" s="246"/>
      <c r="AF36" s="59">
        <f t="shared" si="13"/>
        <v>3.9</v>
      </c>
      <c r="AG36" s="246"/>
      <c r="AH36" s="59">
        <f t="shared" si="14"/>
        <v>2.6</v>
      </c>
      <c r="AI36" s="246"/>
      <c r="AJ36" s="59">
        <f t="shared" si="15"/>
        <v>1.3</v>
      </c>
      <c r="AM36" s="60"/>
      <c r="AN36" s="60"/>
      <c r="AO36" s="60"/>
      <c r="AP36" s="60"/>
    </row>
    <row r="37" spans="1:42" ht="20.100000000000001" customHeight="1" x14ac:dyDescent="0.25">
      <c r="A37" s="53"/>
      <c r="B37" s="53"/>
      <c r="C37" s="53"/>
      <c r="D37" s="53"/>
      <c r="E37" s="53"/>
      <c r="F37" s="53"/>
      <c r="G37" s="53"/>
      <c r="H37" s="53"/>
      <c r="I37" s="53"/>
      <c r="J37" s="53"/>
      <c r="K37" s="53"/>
      <c r="L37" s="53"/>
      <c r="M37" s="53"/>
      <c r="N37" s="53"/>
      <c r="O37" s="53"/>
      <c r="P37" s="53"/>
      <c r="Q37" s="53"/>
      <c r="R37" s="53"/>
      <c r="U37" s="56">
        <f t="shared" si="0"/>
        <v>26</v>
      </c>
      <c r="V37" s="57">
        <f t="shared" si="1"/>
        <v>5.1999999999999991E-2</v>
      </c>
      <c r="W37" s="57">
        <f t="shared" si="2"/>
        <v>3.1200000000000002E-2</v>
      </c>
      <c r="X37" s="57">
        <f t="shared" si="3"/>
        <v>2.0799999999999999E-2</v>
      </c>
      <c r="Y37" s="57">
        <f t="shared" si="4"/>
        <v>1.04E-2</v>
      </c>
      <c r="AA37" s="246"/>
      <c r="AB37" s="58">
        <v>26</v>
      </c>
      <c r="AC37" s="246"/>
      <c r="AD37" s="59">
        <f t="shared" si="16"/>
        <v>5.1999999999999993</v>
      </c>
      <c r="AE37" s="246"/>
      <c r="AF37" s="59">
        <f t="shared" si="13"/>
        <v>3.12</v>
      </c>
      <c r="AG37" s="246"/>
      <c r="AH37" s="59">
        <f t="shared" si="14"/>
        <v>2.08</v>
      </c>
      <c r="AI37" s="246"/>
      <c r="AJ37" s="59">
        <f t="shared" si="15"/>
        <v>1.04</v>
      </c>
      <c r="AM37" s="60"/>
      <c r="AN37" s="60"/>
      <c r="AO37" s="60"/>
      <c r="AP37" s="60"/>
    </row>
    <row r="38" spans="1:42" ht="20.100000000000001" customHeight="1" x14ac:dyDescent="0.25">
      <c r="A38" s="53"/>
      <c r="B38" s="53"/>
      <c r="C38" s="53"/>
      <c r="D38" s="53"/>
      <c r="E38" s="53"/>
      <c r="F38" s="53"/>
      <c r="G38" s="53"/>
      <c r="H38" s="53"/>
      <c r="I38" s="53"/>
      <c r="J38" s="53"/>
      <c r="K38" s="53"/>
      <c r="L38" s="53"/>
      <c r="M38" s="53"/>
      <c r="N38" s="53"/>
      <c r="O38" s="53"/>
      <c r="P38" s="53"/>
      <c r="Q38" s="53"/>
      <c r="R38" s="53"/>
      <c r="U38" s="56">
        <f t="shared" si="0"/>
        <v>27</v>
      </c>
      <c r="V38" s="57">
        <f t="shared" si="1"/>
        <v>3.9000000000000007E-2</v>
      </c>
      <c r="W38" s="57">
        <f t="shared" si="2"/>
        <v>2.3399999999999997E-2</v>
      </c>
      <c r="X38" s="57">
        <f t="shared" si="3"/>
        <v>1.5600000000000004E-2</v>
      </c>
      <c r="Y38" s="57">
        <f t="shared" si="4"/>
        <v>7.8000000000000022E-3</v>
      </c>
      <c r="AA38" s="246"/>
      <c r="AB38" s="58">
        <v>27</v>
      </c>
      <c r="AC38" s="246"/>
      <c r="AD38" s="59">
        <f t="shared" si="16"/>
        <v>3.9000000000000004</v>
      </c>
      <c r="AE38" s="246"/>
      <c r="AF38" s="59">
        <f t="shared" si="13"/>
        <v>2.34</v>
      </c>
      <c r="AG38" s="246"/>
      <c r="AH38" s="59">
        <f t="shared" si="14"/>
        <v>1.5600000000000005</v>
      </c>
      <c r="AI38" s="246"/>
      <c r="AJ38" s="59">
        <f t="shared" si="15"/>
        <v>0.78000000000000025</v>
      </c>
      <c r="AM38" s="60"/>
      <c r="AN38" s="60"/>
      <c r="AO38" s="60"/>
      <c r="AP38" s="60"/>
    </row>
    <row r="39" spans="1:42" ht="20.100000000000001" customHeight="1" x14ac:dyDescent="0.25">
      <c r="A39" s="53"/>
      <c r="B39" s="53"/>
      <c r="C39" s="53"/>
      <c r="D39" s="53"/>
      <c r="E39" s="53"/>
      <c r="F39" s="53"/>
      <c r="G39" s="53"/>
      <c r="H39" s="53"/>
      <c r="I39" s="53"/>
      <c r="J39" s="53"/>
      <c r="K39" s="53"/>
      <c r="L39" s="53"/>
      <c r="M39" s="53"/>
      <c r="N39" s="53"/>
      <c r="O39" s="53"/>
      <c r="P39" s="53"/>
      <c r="Q39" s="53"/>
      <c r="R39" s="53"/>
      <c r="U39" s="56">
        <f t="shared" si="0"/>
        <v>28</v>
      </c>
      <c r="V39" s="57">
        <f t="shared" si="1"/>
        <v>2.5999999999999995E-2</v>
      </c>
      <c r="W39" s="57">
        <f t="shared" si="2"/>
        <v>1.5599999999999996E-2</v>
      </c>
      <c r="X39" s="57">
        <f t="shared" si="3"/>
        <v>1.04E-2</v>
      </c>
      <c r="Y39" s="57">
        <f t="shared" si="4"/>
        <v>5.1999999999999998E-3</v>
      </c>
      <c r="AA39" s="246"/>
      <c r="AB39" s="58">
        <v>28</v>
      </c>
      <c r="AC39" s="246"/>
      <c r="AD39" s="59">
        <f t="shared" si="16"/>
        <v>2.5999999999999996</v>
      </c>
      <c r="AE39" s="246"/>
      <c r="AF39" s="59">
        <f t="shared" si="13"/>
        <v>1.5599999999999996</v>
      </c>
      <c r="AG39" s="246"/>
      <c r="AH39" s="59">
        <f t="shared" si="14"/>
        <v>1.04</v>
      </c>
      <c r="AI39" s="246"/>
      <c r="AJ39" s="59">
        <f t="shared" si="15"/>
        <v>0.52</v>
      </c>
      <c r="AM39" s="60"/>
      <c r="AN39" s="60"/>
      <c r="AO39" s="60"/>
      <c r="AP39" s="60"/>
    </row>
    <row r="40" spans="1:42" ht="20.100000000000001" customHeight="1" x14ac:dyDescent="0.25">
      <c r="A40" s="53"/>
      <c r="B40" s="53"/>
      <c r="C40" s="53"/>
      <c r="D40" s="53"/>
      <c r="E40" s="53"/>
      <c r="F40" s="53"/>
      <c r="G40" s="53"/>
      <c r="H40" s="53"/>
      <c r="I40" s="53"/>
      <c r="J40" s="53"/>
      <c r="K40" s="53"/>
      <c r="L40" s="53"/>
      <c r="M40" s="53"/>
      <c r="N40" s="53"/>
      <c r="O40" s="53"/>
      <c r="P40" s="53"/>
      <c r="Q40" s="53"/>
      <c r="R40" s="53"/>
      <c r="U40" s="56">
        <f t="shared" si="0"/>
        <v>29</v>
      </c>
      <c r="V40" s="57">
        <f t="shared" si="1"/>
        <v>1.2999999999999989E-2</v>
      </c>
      <c r="W40" s="57">
        <f t="shared" si="2"/>
        <v>7.7999999999999936E-3</v>
      </c>
      <c r="X40" s="57">
        <f t="shared" si="3"/>
        <v>5.1999999999999954E-3</v>
      </c>
      <c r="Y40" s="57">
        <f t="shared" si="4"/>
        <v>2.5999999999999977E-3</v>
      </c>
      <c r="AA40" s="246"/>
      <c r="AB40" s="58">
        <v>29</v>
      </c>
      <c r="AC40" s="246"/>
      <c r="AD40" s="59">
        <f t="shared" si="16"/>
        <v>1.2999999999999989</v>
      </c>
      <c r="AE40" s="246"/>
      <c r="AF40" s="59">
        <f t="shared" si="13"/>
        <v>0.77999999999999936</v>
      </c>
      <c r="AG40" s="246"/>
      <c r="AH40" s="59">
        <f t="shared" si="14"/>
        <v>0.51999999999999957</v>
      </c>
      <c r="AI40" s="246"/>
      <c r="AJ40" s="59">
        <f t="shared" si="15"/>
        <v>0.25999999999999979</v>
      </c>
      <c r="AM40" s="60"/>
      <c r="AN40" s="60"/>
      <c r="AO40" s="60"/>
      <c r="AP40" s="60"/>
    </row>
    <row r="41" spans="1:42" ht="20.100000000000001" customHeight="1" x14ac:dyDescent="0.25">
      <c r="A41" s="53"/>
      <c r="B41" s="53"/>
      <c r="C41" s="53"/>
      <c r="D41" s="53"/>
      <c r="E41" s="53"/>
      <c r="F41" s="53"/>
      <c r="G41" s="53"/>
      <c r="H41" s="53"/>
      <c r="I41" s="53"/>
      <c r="J41" s="53"/>
      <c r="K41" s="53"/>
      <c r="L41" s="53"/>
      <c r="M41" s="53"/>
      <c r="N41" s="53"/>
      <c r="O41" s="53"/>
      <c r="P41" s="53"/>
      <c r="Q41" s="53"/>
      <c r="R41" s="53"/>
      <c r="U41" s="56">
        <f t="shared" si="0"/>
        <v>30</v>
      </c>
      <c r="V41" s="57">
        <f t="shared" si="1"/>
        <v>0</v>
      </c>
      <c r="W41" s="57">
        <f t="shared" si="2"/>
        <v>0</v>
      </c>
      <c r="X41" s="57">
        <f t="shared" si="3"/>
        <v>0</v>
      </c>
      <c r="Y41" s="57">
        <f t="shared" si="4"/>
        <v>0</v>
      </c>
      <c r="AA41" s="246"/>
      <c r="AB41" s="58">
        <v>30</v>
      </c>
      <c r="AC41" s="246"/>
      <c r="AD41" s="59">
        <f t="shared" si="16"/>
        <v>0</v>
      </c>
      <c r="AE41" s="246"/>
      <c r="AF41" s="59">
        <f t="shared" si="13"/>
        <v>0</v>
      </c>
      <c r="AG41" s="246"/>
      <c r="AH41" s="59">
        <f t="shared" si="14"/>
        <v>0</v>
      </c>
      <c r="AI41" s="246"/>
      <c r="AJ41" s="59">
        <f t="shared" si="15"/>
        <v>0</v>
      </c>
      <c r="AM41" s="60"/>
      <c r="AN41" s="60"/>
      <c r="AO41" s="60"/>
      <c r="AP41" s="60"/>
    </row>
    <row r="42" spans="1:42" ht="20.100000000000001" customHeight="1" x14ac:dyDescent="0.25">
      <c r="A42" s="53"/>
      <c r="B42" s="53"/>
      <c r="C42" s="53"/>
      <c r="D42" s="53"/>
      <c r="E42" s="53"/>
      <c r="F42" s="53"/>
      <c r="G42" s="53"/>
      <c r="H42" s="53"/>
      <c r="I42" s="53"/>
      <c r="J42" s="53"/>
      <c r="K42" s="53"/>
      <c r="L42" s="53"/>
      <c r="M42" s="53"/>
      <c r="N42" s="53"/>
      <c r="O42" s="53"/>
      <c r="P42" s="53"/>
      <c r="Q42" s="53"/>
      <c r="R42" s="53"/>
      <c r="U42" s="56">
        <f t="shared" ref="U42:U81" si="17">U41+1</f>
        <v>31</v>
      </c>
      <c r="V42" s="57">
        <f t="shared" ref="V42:V81" si="18">$V$41</f>
        <v>0</v>
      </c>
      <c r="W42" s="57">
        <f t="shared" ref="W42:W81" si="19">$W$41</f>
        <v>0</v>
      </c>
      <c r="X42" s="57">
        <f t="shared" ref="X42:X81" si="20">$X$41</f>
        <v>0</v>
      </c>
      <c r="Y42" s="57">
        <f t="shared" ref="Y42:Y81" si="21">$Y$41</f>
        <v>0</v>
      </c>
    </row>
    <row r="43" spans="1:42" ht="20.100000000000001" customHeight="1" x14ac:dyDescent="0.25">
      <c r="A43" s="53"/>
      <c r="B43" s="53"/>
      <c r="C43" s="53"/>
      <c r="D43" s="53"/>
      <c r="E43" s="53"/>
      <c r="F43" s="53"/>
      <c r="G43" s="53"/>
      <c r="H43" s="53"/>
      <c r="I43" s="53"/>
      <c r="J43" s="53"/>
      <c r="K43" s="53"/>
      <c r="L43" s="53"/>
      <c r="M43" s="53"/>
      <c r="N43" s="53"/>
      <c r="O43" s="53"/>
      <c r="P43" s="53"/>
      <c r="Q43" s="53"/>
      <c r="R43" s="53"/>
      <c r="U43" s="56">
        <f t="shared" si="17"/>
        <v>32</v>
      </c>
      <c r="V43" s="57">
        <f t="shared" si="18"/>
        <v>0</v>
      </c>
      <c r="W43" s="57">
        <f t="shared" si="19"/>
        <v>0</v>
      </c>
      <c r="X43" s="57">
        <f t="shared" si="20"/>
        <v>0</v>
      </c>
      <c r="Y43" s="57">
        <f t="shared" si="21"/>
        <v>0</v>
      </c>
    </row>
    <row r="44" spans="1:42" ht="20.100000000000001" customHeight="1" x14ac:dyDescent="0.25">
      <c r="A44" s="53"/>
      <c r="B44" s="53"/>
      <c r="C44" s="53"/>
      <c r="D44" s="53"/>
      <c r="E44" s="53"/>
      <c r="F44" s="53"/>
      <c r="G44" s="53"/>
      <c r="H44" s="53"/>
      <c r="I44" s="53"/>
      <c r="J44" s="53"/>
      <c r="K44" s="53"/>
      <c r="L44" s="53"/>
      <c r="M44" s="53"/>
      <c r="N44" s="53"/>
      <c r="O44" s="53"/>
      <c r="P44" s="53"/>
      <c r="Q44" s="53"/>
      <c r="R44" s="53"/>
      <c r="U44" s="56">
        <f t="shared" si="17"/>
        <v>33</v>
      </c>
      <c r="V44" s="57">
        <f t="shared" si="18"/>
        <v>0</v>
      </c>
      <c r="W44" s="57">
        <f t="shared" si="19"/>
        <v>0</v>
      </c>
      <c r="X44" s="57">
        <f t="shared" si="20"/>
        <v>0</v>
      </c>
      <c r="Y44" s="57">
        <f t="shared" si="21"/>
        <v>0</v>
      </c>
    </row>
    <row r="45" spans="1:42" ht="20.100000000000001" customHeight="1" x14ac:dyDescent="0.25">
      <c r="U45" s="56">
        <f t="shared" si="17"/>
        <v>34</v>
      </c>
      <c r="V45" s="57">
        <f t="shared" si="18"/>
        <v>0</v>
      </c>
      <c r="W45" s="57">
        <f t="shared" si="19"/>
        <v>0</v>
      </c>
      <c r="X45" s="57">
        <f t="shared" si="20"/>
        <v>0</v>
      </c>
      <c r="Y45" s="57">
        <f t="shared" si="21"/>
        <v>0</v>
      </c>
    </row>
    <row r="46" spans="1:42" ht="20.100000000000001" customHeight="1" x14ac:dyDescent="0.25">
      <c r="U46" s="56">
        <f t="shared" si="17"/>
        <v>35</v>
      </c>
      <c r="V46" s="57">
        <f t="shared" si="18"/>
        <v>0</v>
      </c>
      <c r="W46" s="57">
        <f t="shared" si="19"/>
        <v>0</v>
      </c>
      <c r="X46" s="57">
        <f t="shared" si="20"/>
        <v>0</v>
      </c>
      <c r="Y46" s="57">
        <f t="shared" si="21"/>
        <v>0</v>
      </c>
    </row>
    <row r="47" spans="1:42" ht="20.100000000000001" customHeight="1" x14ac:dyDescent="0.25">
      <c r="U47" s="56">
        <f t="shared" si="17"/>
        <v>36</v>
      </c>
      <c r="V47" s="57">
        <f t="shared" si="18"/>
        <v>0</v>
      </c>
      <c r="W47" s="57">
        <f t="shared" si="19"/>
        <v>0</v>
      </c>
      <c r="X47" s="57">
        <f t="shared" si="20"/>
        <v>0</v>
      </c>
      <c r="Y47" s="57">
        <f t="shared" si="21"/>
        <v>0</v>
      </c>
    </row>
    <row r="48" spans="1:42" ht="20.100000000000001" customHeight="1" x14ac:dyDescent="0.25">
      <c r="U48" s="56">
        <f t="shared" si="17"/>
        <v>37</v>
      </c>
      <c r="V48" s="57">
        <f t="shared" si="18"/>
        <v>0</v>
      </c>
      <c r="W48" s="57">
        <f t="shared" si="19"/>
        <v>0</v>
      </c>
      <c r="X48" s="57">
        <f t="shared" si="20"/>
        <v>0</v>
      </c>
      <c r="Y48" s="57">
        <f t="shared" si="21"/>
        <v>0</v>
      </c>
    </row>
    <row r="49" spans="21:25" ht="20.100000000000001" customHeight="1" x14ac:dyDescent="0.25">
      <c r="U49" s="56">
        <f t="shared" si="17"/>
        <v>38</v>
      </c>
      <c r="V49" s="57">
        <f t="shared" si="18"/>
        <v>0</v>
      </c>
      <c r="W49" s="57">
        <f t="shared" si="19"/>
        <v>0</v>
      </c>
      <c r="X49" s="57">
        <f t="shared" si="20"/>
        <v>0</v>
      </c>
      <c r="Y49" s="57">
        <f t="shared" si="21"/>
        <v>0</v>
      </c>
    </row>
    <row r="50" spans="21:25" ht="20.100000000000001" customHeight="1" x14ac:dyDescent="0.25">
      <c r="U50" s="56">
        <f t="shared" si="17"/>
        <v>39</v>
      </c>
      <c r="V50" s="57">
        <f t="shared" si="18"/>
        <v>0</v>
      </c>
      <c r="W50" s="57">
        <f t="shared" si="19"/>
        <v>0</v>
      </c>
      <c r="X50" s="57">
        <f t="shared" si="20"/>
        <v>0</v>
      </c>
      <c r="Y50" s="57">
        <f t="shared" si="21"/>
        <v>0</v>
      </c>
    </row>
    <row r="51" spans="21:25" ht="20.100000000000001" customHeight="1" x14ac:dyDescent="0.25">
      <c r="U51" s="56">
        <f t="shared" si="17"/>
        <v>40</v>
      </c>
      <c r="V51" s="57">
        <f t="shared" si="18"/>
        <v>0</v>
      </c>
      <c r="W51" s="57">
        <f t="shared" si="19"/>
        <v>0</v>
      </c>
      <c r="X51" s="57">
        <f t="shared" si="20"/>
        <v>0</v>
      </c>
      <c r="Y51" s="57">
        <f t="shared" si="21"/>
        <v>0</v>
      </c>
    </row>
    <row r="52" spans="21:25" ht="20.100000000000001" customHeight="1" x14ac:dyDescent="0.25">
      <c r="U52" s="56">
        <f t="shared" si="17"/>
        <v>41</v>
      </c>
      <c r="V52" s="57">
        <f t="shared" si="18"/>
        <v>0</v>
      </c>
      <c r="W52" s="57">
        <f t="shared" si="19"/>
        <v>0</v>
      </c>
      <c r="X52" s="57">
        <f t="shared" si="20"/>
        <v>0</v>
      </c>
      <c r="Y52" s="57">
        <f t="shared" si="21"/>
        <v>0</v>
      </c>
    </row>
    <row r="53" spans="21:25" ht="20.100000000000001" customHeight="1" x14ac:dyDescent="0.25">
      <c r="U53" s="56">
        <f t="shared" si="17"/>
        <v>42</v>
      </c>
      <c r="V53" s="57">
        <f t="shared" si="18"/>
        <v>0</v>
      </c>
      <c r="W53" s="57">
        <f t="shared" si="19"/>
        <v>0</v>
      </c>
      <c r="X53" s="57">
        <f t="shared" si="20"/>
        <v>0</v>
      </c>
      <c r="Y53" s="57">
        <f t="shared" si="21"/>
        <v>0</v>
      </c>
    </row>
    <row r="54" spans="21:25" ht="20.100000000000001" customHeight="1" x14ac:dyDescent="0.25">
      <c r="U54" s="56">
        <f t="shared" si="17"/>
        <v>43</v>
      </c>
      <c r="V54" s="57">
        <f t="shared" si="18"/>
        <v>0</v>
      </c>
      <c r="W54" s="57">
        <f t="shared" si="19"/>
        <v>0</v>
      </c>
      <c r="X54" s="57">
        <f t="shared" si="20"/>
        <v>0</v>
      </c>
      <c r="Y54" s="57">
        <f t="shared" si="21"/>
        <v>0</v>
      </c>
    </row>
    <row r="55" spans="21:25" ht="20.100000000000001" customHeight="1" x14ac:dyDescent="0.25">
      <c r="U55" s="56">
        <f t="shared" si="17"/>
        <v>44</v>
      </c>
      <c r="V55" s="57">
        <f t="shared" si="18"/>
        <v>0</v>
      </c>
      <c r="W55" s="57">
        <f t="shared" si="19"/>
        <v>0</v>
      </c>
      <c r="X55" s="57">
        <f t="shared" si="20"/>
        <v>0</v>
      </c>
      <c r="Y55" s="57">
        <f t="shared" si="21"/>
        <v>0</v>
      </c>
    </row>
    <row r="56" spans="21:25" ht="20.100000000000001" customHeight="1" x14ac:dyDescent="0.25">
      <c r="U56" s="56">
        <f t="shared" si="17"/>
        <v>45</v>
      </c>
      <c r="V56" s="57">
        <f t="shared" si="18"/>
        <v>0</v>
      </c>
      <c r="W56" s="57">
        <f t="shared" si="19"/>
        <v>0</v>
      </c>
      <c r="X56" s="57">
        <f t="shared" si="20"/>
        <v>0</v>
      </c>
      <c r="Y56" s="57">
        <f t="shared" si="21"/>
        <v>0</v>
      </c>
    </row>
    <row r="57" spans="21:25" ht="20.100000000000001" customHeight="1" x14ac:dyDescent="0.25">
      <c r="U57" s="56">
        <f t="shared" si="17"/>
        <v>46</v>
      </c>
      <c r="V57" s="57">
        <f t="shared" si="18"/>
        <v>0</v>
      </c>
      <c r="W57" s="57">
        <f t="shared" si="19"/>
        <v>0</v>
      </c>
      <c r="X57" s="57">
        <f t="shared" si="20"/>
        <v>0</v>
      </c>
      <c r="Y57" s="57">
        <f t="shared" si="21"/>
        <v>0</v>
      </c>
    </row>
    <row r="58" spans="21:25" ht="20.100000000000001" customHeight="1" x14ac:dyDescent="0.25">
      <c r="U58" s="56">
        <f t="shared" si="17"/>
        <v>47</v>
      </c>
      <c r="V58" s="57">
        <f t="shared" si="18"/>
        <v>0</v>
      </c>
      <c r="W58" s="57">
        <f t="shared" si="19"/>
        <v>0</v>
      </c>
      <c r="X58" s="57">
        <f t="shared" si="20"/>
        <v>0</v>
      </c>
      <c r="Y58" s="57">
        <f t="shared" si="21"/>
        <v>0</v>
      </c>
    </row>
    <row r="59" spans="21:25" ht="20.100000000000001" customHeight="1" x14ac:dyDescent="0.25">
      <c r="U59" s="56">
        <f t="shared" si="17"/>
        <v>48</v>
      </c>
      <c r="V59" s="57">
        <f t="shared" si="18"/>
        <v>0</v>
      </c>
      <c r="W59" s="57">
        <f t="shared" si="19"/>
        <v>0</v>
      </c>
      <c r="X59" s="57">
        <f t="shared" si="20"/>
        <v>0</v>
      </c>
      <c r="Y59" s="57">
        <f t="shared" si="21"/>
        <v>0</v>
      </c>
    </row>
    <row r="60" spans="21:25" ht="20.100000000000001" customHeight="1" x14ac:dyDescent="0.25">
      <c r="U60" s="56">
        <f t="shared" si="17"/>
        <v>49</v>
      </c>
      <c r="V60" s="57">
        <f t="shared" si="18"/>
        <v>0</v>
      </c>
      <c r="W60" s="57">
        <f t="shared" si="19"/>
        <v>0</v>
      </c>
      <c r="X60" s="57">
        <f t="shared" si="20"/>
        <v>0</v>
      </c>
      <c r="Y60" s="57">
        <f t="shared" si="21"/>
        <v>0</v>
      </c>
    </row>
    <row r="61" spans="21:25" ht="20.100000000000001" customHeight="1" x14ac:dyDescent="0.25">
      <c r="U61" s="56">
        <f t="shared" si="17"/>
        <v>50</v>
      </c>
      <c r="V61" s="57">
        <f t="shared" si="18"/>
        <v>0</v>
      </c>
      <c r="W61" s="57">
        <f t="shared" si="19"/>
        <v>0</v>
      </c>
      <c r="X61" s="57">
        <f t="shared" si="20"/>
        <v>0</v>
      </c>
      <c r="Y61" s="57">
        <f t="shared" si="21"/>
        <v>0</v>
      </c>
    </row>
    <row r="62" spans="21:25" ht="20.100000000000001" customHeight="1" x14ac:dyDescent="0.25">
      <c r="U62" s="56">
        <f t="shared" si="17"/>
        <v>51</v>
      </c>
      <c r="V62" s="57">
        <f t="shared" si="18"/>
        <v>0</v>
      </c>
      <c r="W62" s="57">
        <f t="shared" si="19"/>
        <v>0</v>
      </c>
      <c r="X62" s="57">
        <f t="shared" si="20"/>
        <v>0</v>
      </c>
      <c r="Y62" s="57">
        <f t="shared" si="21"/>
        <v>0</v>
      </c>
    </row>
    <row r="63" spans="21:25" ht="20.100000000000001" customHeight="1" x14ac:dyDescent="0.25">
      <c r="U63" s="56">
        <f t="shared" si="17"/>
        <v>52</v>
      </c>
      <c r="V63" s="57">
        <f t="shared" si="18"/>
        <v>0</v>
      </c>
      <c r="W63" s="57">
        <f t="shared" si="19"/>
        <v>0</v>
      </c>
      <c r="X63" s="57">
        <f t="shared" si="20"/>
        <v>0</v>
      </c>
      <c r="Y63" s="57">
        <f t="shared" si="21"/>
        <v>0</v>
      </c>
    </row>
    <row r="64" spans="21:25" ht="20.100000000000001" customHeight="1" x14ac:dyDescent="0.25">
      <c r="U64" s="56">
        <f t="shared" si="17"/>
        <v>53</v>
      </c>
      <c r="V64" s="57">
        <f t="shared" si="18"/>
        <v>0</v>
      </c>
      <c r="W64" s="57">
        <f t="shared" si="19"/>
        <v>0</v>
      </c>
      <c r="X64" s="57">
        <f t="shared" si="20"/>
        <v>0</v>
      </c>
      <c r="Y64" s="57">
        <f t="shared" si="21"/>
        <v>0</v>
      </c>
    </row>
    <row r="65" spans="21:25" ht="20.100000000000001" customHeight="1" x14ac:dyDescent="0.25">
      <c r="U65" s="56">
        <f t="shared" si="17"/>
        <v>54</v>
      </c>
      <c r="V65" s="57">
        <f t="shared" si="18"/>
        <v>0</v>
      </c>
      <c r="W65" s="57">
        <f t="shared" si="19"/>
        <v>0</v>
      </c>
      <c r="X65" s="57">
        <f t="shared" si="20"/>
        <v>0</v>
      </c>
      <c r="Y65" s="57">
        <f t="shared" si="21"/>
        <v>0</v>
      </c>
    </row>
    <row r="66" spans="21:25" ht="20.100000000000001" customHeight="1" x14ac:dyDescent="0.25">
      <c r="U66" s="56">
        <f t="shared" si="17"/>
        <v>55</v>
      </c>
      <c r="V66" s="57">
        <f t="shared" si="18"/>
        <v>0</v>
      </c>
      <c r="W66" s="57">
        <f t="shared" si="19"/>
        <v>0</v>
      </c>
      <c r="X66" s="57">
        <f t="shared" si="20"/>
        <v>0</v>
      </c>
      <c r="Y66" s="57">
        <f t="shared" si="21"/>
        <v>0</v>
      </c>
    </row>
    <row r="67" spans="21:25" ht="20.100000000000001" customHeight="1" x14ac:dyDescent="0.25">
      <c r="U67" s="56">
        <f t="shared" si="17"/>
        <v>56</v>
      </c>
      <c r="V67" s="57">
        <f t="shared" si="18"/>
        <v>0</v>
      </c>
      <c r="W67" s="57">
        <f t="shared" si="19"/>
        <v>0</v>
      </c>
      <c r="X67" s="57">
        <f t="shared" si="20"/>
        <v>0</v>
      </c>
      <c r="Y67" s="57">
        <f t="shared" si="21"/>
        <v>0</v>
      </c>
    </row>
    <row r="68" spans="21:25" ht="20.100000000000001" customHeight="1" x14ac:dyDescent="0.25">
      <c r="U68" s="56">
        <f t="shared" si="17"/>
        <v>57</v>
      </c>
      <c r="V68" s="57">
        <f t="shared" si="18"/>
        <v>0</v>
      </c>
      <c r="W68" s="57">
        <f t="shared" si="19"/>
        <v>0</v>
      </c>
      <c r="X68" s="57">
        <f t="shared" si="20"/>
        <v>0</v>
      </c>
      <c r="Y68" s="57">
        <f t="shared" si="21"/>
        <v>0</v>
      </c>
    </row>
    <row r="69" spans="21:25" ht="20.100000000000001" customHeight="1" x14ac:dyDescent="0.25">
      <c r="U69" s="56">
        <f t="shared" si="17"/>
        <v>58</v>
      </c>
      <c r="V69" s="57">
        <f t="shared" si="18"/>
        <v>0</v>
      </c>
      <c r="W69" s="57">
        <f t="shared" si="19"/>
        <v>0</v>
      </c>
      <c r="X69" s="57">
        <f t="shared" si="20"/>
        <v>0</v>
      </c>
      <c r="Y69" s="57">
        <f t="shared" si="21"/>
        <v>0</v>
      </c>
    </row>
    <row r="70" spans="21:25" ht="20.100000000000001" customHeight="1" x14ac:dyDescent="0.25">
      <c r="U70" s="56">
        <f t="shared" si="17"/>
        <v>59</v>
      </c>
      <c r="V70" s="57">
        <f t="shared" si="18"/>
        <v>0</v>
      </c>
      <c r="W70" s="57">
        <f t="shared" si="19"/>
        <v>0</v>
      </c>
      <c r="X70" s="57">
        <f t="shared" si="20"/>
        <v>0</v>
      </c>
      <c r="Y70" s="57">
        <f t="shared" si="21"/>
        <v>0</v>
      </c>
    </row>
    <row r="71" spans="21:25" ht="20.100000000000001" customHeight="1" x14ac:dyDescent="0.25">
      <c r="U71" s="56">
        <f t="shared" si="17"/>
        <v>60</v>
      </c>
      <c r="V71" s="57">
        <f t="shared" si="18"/>
        <v>0</v>
      </c>
      <c r="W71" s="57">
        <f t="shared" si="19"/>
        <v>0</v>
      </c>
      <c r="X71" s="57">
        <f t="shared" si="20"/>
        <v>0</v>
      </c>
      <c r="Y71" s="57">
        <f t="shared" si="21"/>
        <v>0</v>
      </c>
    </row>
    <row r="72" spans="21:25" ht="20.100000000000001" customHeight="1" x14ac:dyDescent="0.25">
      <c r="U72" s="56">
        <f t="shared" si="17"/>
        <v>61</v>
      </c>
      <c r="V72" s="57">
        <f t="shared" si="18"/>
        <v>0</v>
      </c>
      <c r="W72" s="57">
        <f t="shared" si="19"/>
        <v>0</v>
      </c>
      <c r="X72" s="57">
        <f t="shared" si="20"/>
        <v>0</v>
      </c>
      <c r="Y72" s="57">
        <f t="shared" si="21"/>
        <v>0</v>
      </c>
    </row>
    <row r="73" spans="21:25" ht="20.100000000000001" customHeight="1" x14ac:dyDescent="0.25">
      <c r="U73" s="56">
        <f t="shared" si="17"/>
        <v>62</v>
      </c>
      <c r="V73" s="57">
        <f t="shared" si="18"/>
        <v>0</v>
      </c>
      <c r="W73" s="57">
        <f t="shared" si="19"/>
        <v>0</v>
      </c>
      <c r="X73" s="57">
        <f t="shared" si="20"/>
        <v>0</v>
      </c>
      <c r="Y73" s="57">
        <f t="shared" si="21"/>
        <v>0</v>
      </c>
    </row>
    <row r="74" spans="21:25" ht="20.100000000000001" customHeight="1" x14ac:dyDescent="0.25">
      <c r="U74" s="56">
        <f t="shared" si="17"/>
        <v>63</v>
      </c>
      <c r="V74" s="57">
        <f t="shared" si="18"/>
        <v>0</v>
      </c>
      <c r="W74" s="57">
        <f t="shared" si="19"/>
        <v>0</v>
      </c>
      <c r="X74" s="57">
        <f t="shared" si="20"/>
        <v>0</v>
      </c>
      <c r="Y74" s="57">
        <f t="shared" si="21"/>
        <v>0</v>
      </c>
    </row>
    <row r="75" spans="21:25" ht="20.100000000000001" customHeight="1" x14ac:dyDescent="0.25">
      <c r="U75" s="56">
        <f t="shared" si="17"/>
        <v>64</v>
      </c>
      <c r="V75" s="57">
        <f t="shared" si="18"/>
        <v>0</v>
      </c>
      <c r="W75" s="57">
        <f t="shared" si="19"/>
        <v>0</v>
      </c>
      <c r="X75" s="57">
        <f t="shared" si="20"/>
        <v>0</v>
      </c>
      <c r="Y75" s="57">
        <f t="shared" si="21"/>
        <v>0</v>
      </c>
    </row>
    <row r="76" spans="21:25" ht="20.100000000000001" customHeight="1" x14ac:dyDescent="0.25">
      <c r="U76" s="56">
        <f t="shared" si="17"/>
        <v>65</v>
      </c>
      <c r="V76" s="57">
        <f t="shared" si="18"/>
        <v>0</v>
      </c>
      <c r="W76" s="57">
        <f t="shared" si="19"/>
        <v>0</v>
      </c>
      <c r="X76" s="57">
        <f t="shared" si="20"/>
        <v>0</v>
      </c>
      <c r="Y76" s="57">
        <f t="shared" si="21"/>
        <v>0</v>
      </c>
    </row>
    <row r="77" spans="21:25" ht="20.100000000000001" customHeight="1" x14ac:dyDescent="0.25">
      <c r="U77" s="56">
        <f t="shared" si="17"/>
        <v>66</v>
      </c>
      <c r="V77" s="57">
        <f t="shared" si="18"/>
        <v>0</v>
      </c>
      <c r="W77" s="57">
        <f t="shared" si="19"/>
        <v>0</v>
      </c>
      <c r="X77" s="57">
        <f t="shared" si="20"/>
        <v>0</v>
      </c>
      <c r="Y77" s="57">
        <f t="shared" si="21"/>
        <v>0</v>
      </c>
    </row>
    <row r="78" spans="21:25" ht="20.100000000000001" customHeight="1" x14ac:dyDescent="0.25">
      <c r="U78" s="56">
        <f t="shared" si="17"/>
        <v>67</v>
      </c>
      <c r="V78" s="57">
        <f t="shared" si="18"/>
        <v>0</v>
      </c>
      <c r="W78" s="57">
        <f t="shared" si="19"/>
        <v>0</v>
      </c>
      <c r="X78" s="57">
        <f t="shared" si="20"/>
        <v>0</v>
      </c>
      <c r="Y78" s="57">
        <f t="shared" si="21"/>
        <v>0</v>
      </c>
    </row>
    <row r="79" spans="21:25" ht="20.100000000000001" customHeight="1" x14ac:dyDescent="0.25">
      <c r="U79" s="56">
        <f t="shared" si="17"/>
        <v>68</v>
      </c>
      <c r="V79" s="57">
        <f t="shared" si="18"/>
        <v>0</v>
      </c>
      <c r="W79" s="57">
        <f t="shared" si="19"/>
        <v>0</v>
      </c>
      <c r="X79" s="57">
        <f t="shared" si="20"/>
        <v>0</v>
      </c>
      <c r="Y79" s="57">
        <f t="shared" si="21"/>
        <v>0</v>
      </c>
    </row>
    <row r="80" spans="21:25" ht="20.100000000000001" customHeight="1" x14ac:dyDescent="0.25">
      <c r="U80" s="56">
        <f t="shared" si="17"/>
        <v>69</v>
      </c>
      <c r="V80" s="57">
        <f t="shared" si="18"/>
        <v>0</v>
      </c>
      <c r="W80" s="57">
        <f t="shared" si="19"/>
        <v>0</v>
      </c>
      <c r="X80" s="57">
        <f t="shared" si="20"/>
        <v>0</v>
      </c>
      <c r="Y80" s="57">
        <f t="shared" si="21"/>
        <v>0</v>
      </c>
    </row>
    <row r="81" spans="21:25" ht="20.100000000000001" customHeight="1" x14ac:dyDescent="0.25">
      <c r="U81" s="56">
        <f t="shared" si="17"/>
        <v>70</v>
      </c>
      <c r="V81" s="57">
        <f t="shared" si="18"/>
        <v>0</v>
      </c>
      <c r="W81" s="57">
        <f t="shared" si="19"/>
        <v>0</v>
      </c>
      <c r="X81" s="57">
        <f t="shared" si="20"/>
        <v>0</v>
      </c>
      <c r="Y81" s="57">
        <f t="shared" si="21"/>
        <v>0</v>
      </c>
    </row>
  </sheetData>
  <mergeCells count="53">
    <mergeCell ref="A1:R1"/>
    <mergeCell ref="A3:R4"/>
    <mergeCell ref="A5:R5"/>
    <mergeCell ref="A6:D6"/>
    <mergeCell ref="E6:F6"/>
    <mergeCell ref="G6:J6"/>
    <mergeCell ref="K6:N6"/>
    <mergeCell ref="O6:R6"/>
    <mergeCell ref="O7:P8"/>
    <mergeCell ref="Q7:R8"/>
    <mergeCell ref="U8:V8"/>
    <mergeCell ref="A9:D10"/>
    <mergeCell ref="E9:F10"/>
    <mergeCell ref="G9:H10"/>
    <mergeCell ref="I9:J10"/>
    <mergeCell ref="K9:L10"/>
    <mergeCell ref="M9:N10"/>
    <mergeCell ref="O9:P10"/>
    <mergeCell ref="A7:D8"/>
    <mergeCell ref="E7:F8"/>
    <mergeCell ref="G7:H8"/>
    <mergeCell ref="I7:J8"/>
    <mergeCell ref="K7:L8"/>
    <mergeCell ref="M7:N8"/>
    <mergeCell ref="Q9:R10"/>
    <mergeCell ref="U9:V9"/>
    <mergeCell ref="A11:D12"/>
    <mergeCell ref="E11:F12"/>
    <mergeCell ref="G11:H12"/>
    <mergeCell ref="I11:J12"/>
    <mergeCell ref="K11:L12"/>
    <mergeCell ref="M11:N12"/>
    <mergeCell ref="O11:P12"/>
    <mergeCell ref="Q11:R12"/>
    <mergeCell ref="AA11:AJ11"/>
    <mergeCell ref="AA12:AA41"/>
    <mergeCell ref="AC12:AC41"/>
    <mergeCell ref="AE12:AE41"/>
    <mergeCell ref="AG12:AG41"/>
    <mergeCell ref="AI12:AI41"/>
    <mergeCell ref="A18:R20"/>
    <mergeCell ref="O13:P14"/>
    <mergeCell ref="Q13:R14"/>
    <mergeCell ref="A15:R15"/>
    <mergeCell ref="A16:R16"/>
    <mergeCell ref="A17:C17"/>
    <mergeCell ref="D17:R17"/>
    <mergeCell ref="A13:D14"/>
    <mergeCell ref="E13:F14"/>
    <mergeCell ref="G13:H14"/>
    <mergeCell ref="I13:J14"/>
    <mergeCell ref="K13:L14"/>
    <mergeCell ref="M13:N14"/>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4499-2B16-4291-9893-02AFA097A9F6}">
  <dimension ref="A1:U341"/>
  <sheetViews>
    <sheetView zoomScaleNormal="100" workbookViewId="0">
      <selection sqref="A1:J1"/>
    </sheetView>
  </sheetViews>
  <sheetFormatPr defaultRowHeight="20.100000000000001" customHeight="1" x14ac:dyDescent="0.25"/>
  <cols>
    <col min="1" max="10" width="10.625" style="63" customWidth="1"/>
    <col min="11" max="16384" width="9" style="62"/>
  </cols>
  <sheetData>
    <row r="1" spans="1:10" ht="20.100000000000001" customHeight="1" thickBot="1" x14ac:dyDescent="0.3">
      <c r="A1" s="277" t="s">
        <v>276</v>
      </c>
      <c r="B1" s="277"/>
      <c r="C1" s="277"/>
      <c r="D1" s="277"/>
      <c r="E1" s="277"/>
      <c r="F1" s="277"/>
      <c r="G1" s="277"/>
      <c r="H1" s="277"/>
      <c r="I1" s="277"/>
      <c r="J1" s="277"/>
    </row>
    <row r="2" spans="1:10" ht="20.100000000000001" customHeight="1" x14ac:dyDescent="0.25">
      <c r="A2" s="5"/>
      <c r="B2" s="1"/>
      <c r="C2" s="1"/>
      <c r="D2" s="1"/>
      <c r="E2" s="1"/>
      <c r="F2" s="1"/>
      <c r="G2" s="1"/>
      <c r="H2" s="1"/>
      <c r="I2" s="1"/>
      <c r="J2" s="1"/>
    </row>
    <row r="3" spans="1:10" ht="20.100000000000001" customHeight="1" x14ac:dyDescent="0.25">
      <c r="A3" s="273" t="s">
        <v>277</v>
      </c>
      <c r="B3" s="273" t="s">
        <v>278</v>
      </c>
      <c r="C3" s="273"/>
      <c r="D3" s="273" t="s">
        <v>279</v>
      </c>
      <c r="E3" s="273"/>
      <c r="F3" s="273"/>
      <c r="G3" s="278" t="s">
        <v>280</v>
      </c>
      <c r="H3" s="279"/>
      <c r="I3" s="273" t="s">
        <v>281</v>
      </c>
      <c r="J3" s="273"/>
    </row>
    <row r="4" spans="1:10" ht="20.100000000000001" customHeight="1" x14ac:dyDescent="0.25">
      <c r="A4" s="273"/>
      <c r="B4" s="273"/>
      <c r="C4" s="273"/>
      <c r="D4" s="273"/>
      <c r="E4" s="273"/>
      <c r="F4" s="273"/>
      <c r="G4" s="280"/>
      <c r="H4" s="281"/>
      <c r="I4" s="273"/>
      <c r="J4" s="273"/>
    </row>
    <row r="5" spans="1:10" ht="20.100000000000001" customHeight="1" x14ac:dyDescent="0.25">
      <c r="A5" s="273"/>
      <c r="B5" s="273"/>
      <c r="C5" s="273"/>
      <c r="D5" s="273"/>
      <c r="E5" s="273"/>
      <c r="F5" s="273"/>
      <c r="G5" s="273" t="s">
        <v>282</v>
      </c>
      <c r="H5" s="273"/>
      <c r="I5" s="273"/>
      <c r="J5" s="273"/>
    </row>
    <row r="6" spans="1:10" ht="20.100000000000001" customHeight="1" x14ac:dyDescent="0.25">
      <c r="A6" s="276" t="s">
        <v>283</v>
      </c>
      <c r="B6" s="273" t="s">
        <v>284</v>
      </c>
      <c r="C6" s="273"/>
      <c r="D6" s="266" t="s">
        <v>285</v>
      </c>
      <c r="E6" s="266"/>
      <c r="F6" s="266"/>
      <c r="G6" s="274">
        <v>5</v>
      </c>
      <c r="H6" s="274"/>
      <c r="I6" s="275">
        <v>0</v>
      </c>
      <c r="J6" s="275"/>
    </row>
    <row r="7" spans="1:10" ht="20.100000000000001" customHeight="1" x14ac:dyDescent="0.25">
      <c r="A7" s="276"/>
      <c r="B7" s="273"/>
      <c r="C7" s="273"/>
      <c r="D7" s="266" t="s">
        <v>286</v>
      </c>
      <c r="E7" s="266"/>
      <c r="F7" s="266"/>
      <c r="G7" s="274">
        <v>10</v>
      </c>
      <c r="H7" s="274"/>
      <c r="I7" s="275">
        <v>0</v>
      </c>
      <c r="J7" s="275"/>
    </row>
    <row r="8" spans="1:10" ht="20.100000000000001" customHeight="1" x14ac:dyDescent="0.25">
      <c r="A8" s="276"/>
      <c r="B8" s="273" t="s">
        <v>287</v>
      </c>
      <c r="C8" s="273"/>
      <c r="D8" s="266" t="s">
        <v>285</v>
      </c>
      <c r="E8" s="266"/>
      <c r="F8" s="266"/>
      <c r="G8" s="274">
        <v>60</v>
      </c>
      <c r="H8" s="274"/>
      <c r="I8" s="275">
        <v>0.2</v>
      </c>
      <c r="J8" s="275"/>
    </row>
    <row r="9" spans="1:10" ht="20.100000000000001" customHeight="1" x14ac:dyDescent="0.25">
      <c r="A9" s="276"/>
      <c r="B9" s="273"/>
      <c r="C9" s="273"/>
      <c r="D9" s="266" t="s">
        <v>288</v>
      </c>
      <c r="E9" s="266"/>
      <c r="F9" s="266"/>
      <c r="G9" s="274">
        <v>60</v>
      </c>
      <c r="H9" s="274"/>
      <c r="I9" s="275">
        <v>0.2</v>
      </c>
      <c r="J9" s="275"/>
    </row>
    <row r="10" spans="1:10" ht="20.100000000000001" customHeight="1" x14ac:dyDescent="0.25">
      <c r="A10" s="276"/>
      <c r="B10" s="273"/>
      <c r="C10" s="273"/>
      <c r="D10" s="266" t="s">
        <v>289</v>
      </c>
      <c r="E10" s="266"/>
      <c r="F10" s="266"/>
      <c r="G10" s="274">
        <v>70</v>
      </c>
      <c r="H10" s="274"/>
      <c r="I10" s="275">
        <v>0.2</v>
      </c>
      <c r="J10" s="275"/>
    </row>
    <row r="11" spans="1:10" ht="20.100000000000001" customHeight="1" x14ac:dyDescent="0.25">
      <c r="A11" s="276"/>
      <c r="B11" s="273"/>
      <c r="C11" s="273"/>
      <c r="D11" s="266" t="s">
        <v>286</v>
      </c>
      <c r="E11" s="266"/>
      <c r="F11" s="266"/>
      <c r="G11" s="274">
        <v>70</v>
      </c>
      <c r="H11" s="274"/>
      <c r="I11" s="275">
        <v>0.2</v>
      </c>
      <c r="J11" s="275"/>
    </row>
    <row r="12" spans="1:10" ht="20.100000000000001" customHeight="1" x14ac:dyDescent="0.25">
      <c r="A12" s="276"/>
      <c r="B12" s="273"/>
      <c r="C12" s="273"/>
      <c r="D12" s="266" t="s">
        <v>290</v>
      </c>
      <c r="E12" s="266"/>
      <c r="F12" s="266"/>
      <c r="G12" s="274">
        <v>70</v>
      </c>
      <c r="H12" s="274"/>
      <c r="I12" s="275">
        <v>0.2</v>
      </c>
      <c r="J12" s="275"/>
    </row>
    <row r="13" spans="1:10" ht="20.100000000000001" customHeight="1" x14ac:dyDescent="0.25">
      <c r="A13" s="276"/>
      <c r="B13" s="273"/>
      <c r="C13" s="273"/>
      <c r="D13" s="266" t="s">
        <v>291</v>
      </c>
      <c r="E13" s="266"/>
      <c r="F13" s="266"/>
      <c r="G13" s="274">
        <v>70</v>
      </c>
      <c r="H13" s="274"/>
      <c r="I13" s="275">
        <v>0.2</v>
      </c>
      <c r="J13" s="275"/>
    </row>
    <row r="14" spans="1:10" ht="20.100000000000001" customHeight="1" x14ac:dyDescent="0.25">
      <c r="A14" s="276"/>
      <c r="B14" s="273"/>
      <c r="C14" s="273"/>
      <c r="D14" s="266" t="s">
        <v>292</v>
      </c>
      <c r="E14" s="266"/>
      <c r="F14" s="266"/>
      <c r="G14" s="274">
        <v>60</v>
      </c>
      <c r="H14" s="274"/>
      <c r="I14" s="275">
        <v>0.2</v>
      </c>
      <c r="J14" s="275"/>
    </row>
    <row r="15" spans="1:10" ht="20.100000000000001" customHeight="1" x14ac:dyDescent="0.25">
      <c r="A15" s="276"/>
      <c r="B15" s="273"/>
      <c r="C15" s="273"/>
      <c r="D15" s="266" t="s">
        <v>293</v>
      </c>
      <c r="E15" s="266"/>
      <c r="F15" s="266"/>
      <c r="G15" s="274">
        <v>60</v>
      </c>
      <c r="H15" s="274"/>
      <c r="I15" s="275">
        <v>0.2</v>
      </c>
      <c r="J15" s="275"/>
    </row>
    <row r="16" spans="1:10" ht="20.100000000000001" customHeight="1" x14ac:dyDescent="0.25">
      <c r="A16" s="276"/>
      <c r="B16" s="273" t="s">
        <v>294</v>
      </c>
      <c r="C16" s="273"/>
      <c r="D16" s="266" t="s">
        <v>289</v>
      </c>
      <c r="E16" s="266"/>
      <c r="F16" s="266"/>
      <c r="G16" s="274">
        <v>60</v>
      </c>
      <c r="H16" s="274"/>
      <c r="I16" s="275">
        <v>0.2</v>
      </c>
      <c r="J16" s="275"/>
    </row>
    <row r="17" spans="1:10" ht="20.100000000000001" customHeight="1" x14ac:dyDescent="0.25">
      <c r="A17" s="276"/>
      <c r="B17" s="273"/>
      <c r="C17" s="273"/>
      <c r="D17" s="266" t="s">
        <v>286</v>
      </c>
      <c r="E17" s="266"/>
      <c r="F17" s="266"/>
      <c r="G17" s="274">
        <v>60</v>
      </c>
      <c r="H17" s="274"/>
      <c r="I17" s="275">
        <v>0.2</v>
      </c>
      <c r="J17" s="275"/>
    </row>
    <row r="18" spans="1:10" ht="20.100000000000001" customHeight="1" x14ac:dyDescent="0.25">
      <c r="A18" s="276"/>
      <c r="B18" s="273"/>
      <c r="C18" s="273"/>
      <c r="D18" s="266" t="s">
        <v>290</v>
      </c>
      <c r="E18" s="266"/>
      <c r="F18" s="266"/>
      <c r="G18" s="274">
        <v>60</v>
      </c>
      <c r="H18" s="274"/>
      <c r="I18" s="275">
        <v>0.2</v>
      </c>
      <c r="J18" s="275"/>
    </row>
    <row r="19" spans="1:10" ht="20.100000000000001" customHeight="1" x14ac:dyDescent="0.25">
      <c r="A19" s="276"/>
      <c r="B19" s="273"/>
      <c r="C19" s="273"/>
      <c r="D19" s="266" t="s">
        <v>291</v>
      </c>
      <c r="E19" s="266"/>
      <c r="F19" s="266"/>
      <c r="G19" s="274">
        <v>60</v>
      </c>
      <c r="H19" s="274"/>
      <c r="I19" s="275">
        <v>0.2</v>
      </c>
      <c r="J19" s="275"/>
    </row>
    <row r="20" spans="1:10" ht="20.100000000000001" customHeight="1" x14ac:dyDescent="0.25">
      <c r="A20" s="276"/>
      <c r="B20" s="273"/>
      <c r="C20" s="273"/>
      <c r="D20" s="266" t="s">
        <v>292</v>
      </c>
      <c r="E20" s="266"/>
      <c r="F20" s="266"/>
      <c r="G20" s="274">
        <v>50</v>
      </c>
      <c r="H20" s="274"/>
      <c r="I20" s="275">
        <v>0.2</v>
      </c>
      <c r="J20" s="275"/>
    </row>
    <row r="21" spans="1:10" ht="20.100000000000001" customHeight="1" x14ac:dyDescent="0.25">
      <c r="A21" s="276"/>
      <c r="B21" s="273"/>
      <c r="C21" s="273"/>
      <c r="D21" s="266" t="s">
        <v>293</v>
      </c>
      <c r="E21" s="266"/>
      <c r="F21" s="266"/>
      <c r="G21" s="274">
        <v>50</v>
      </c>
      <c r="H21" s="274"/>
      <c r="I21" s="275">
        <v>0.2</v>
      </c>
      <c r="J21" s="275"/>
    </row>
    <row r="22" spans="1:10" ht="20.100000000000001" customHeight="1" x14ac:dyDescent="0.25">
      <c r="A22" s="276" t="s">
        <v>295</v>
      </c>
      <c r="B22" s="273" t="s">
        <v>296</v>
      </c>
      <c r="C22" s="273"/>
      <c r="D22" s="266" t="s">
        <v>289</v>
      </c>
      <c r="E22" s="266"/>
      <c r="F22" s="266"/>
      <c r="G22" s="274">
        <v>70</v>
      </c>
      <c r="H22" s="274"/>
      <c r="I22" s="275">
        <v>0.2</v>
      </c>
      <c r="J22" s="275"/>
    </row>
    <row r="23" spans="1:10" ht="20.100000000000001" customHeight="1" x14ac:dyDescent="0.25">
      <c r="A23" s="276"/>
      <c r="B23" s="273"/>
      <c r="C23" s="273"/>
      <c r="D23" s="266" t="s">
        <v>286</v>
      </c>
      <c r="E23" s="266"/>
      <c r="F23" s="266"/>
      <c r="G23" s="274">
        <v>70</v>
      </c>
      <c r="H23" s="274"/>
      <c r="I23" s="275">
        <v>0.2</v>
      </c>
      <c r="J23" s="275"/>
    </row>
    <row r="24" spans="1:10" ht="20.100000000000001" customHeight="1" x14ac:dyDescent="0.25">
      <c r="A24" s="276"/>
      <c r="B24" s="273"/>
      <c r="C24" s="273"/>
      <c r="D24" s="266" t="s">
        <v>290</v>
      </c>
      <c r="E24" s="266"/>
      <c r="F24" s="266"/>
      <c r="G24" s="274">
        <v>60</v>
      </c>
      <c r="H24" s="274"/>
      <c r="I24" s="275">
        <v>0.2</v>
      </c>
      <c r="J24" s="275"/>
    </row>
    <row r="25" spans="1:10" ht="20.100000000000001" customHeight="1" x14ac:dyDescent="0.25">
      <c r="A25" s="276"/>
      <c r="B25" s="273"/>
      <c r="C25" s="273"/>
      <c r="D25" s="266" t="s">
        <v>291</v>
      </c>
      <c r="E25" s="266"/>
      <c r="F25" s="266"/>
      <c r="G25" s="274">
        <v>60</v>
      </c>
      <c r="H25" s="274"/>
      <c r="I25" s="275">
        <v>0.2</v>
      </c>
      <c r="J25" s="275"/>
    </row>
    <row r="26" spans="1:10" ht="20.100000000000001" customHeight="1" x14ac:dyDescent="0.25">
      <c r="A26" s="276"/>
      <c r="B26" s="273"/>
      <c r="C26" s="273"/>
      <c r="D26" s="266" t="s">
        <v>292</v>
      </c>
      <c r="E26" s="266"/>
      <c r="F26" s="266"/>
      <c r="G26" s="274">
        <v>50</v>
      </c>
      <c r="H26" s="274"/>
      <c r="I26" s="275">
        <v>0.2</v>
      </c>
      <c r="J26" s="275"/>
    </row>
    <row r="27" spans="1:10" ht="20.100000000000001" customHeight="1" x14ac:dyDescent="0.25">
      <c r="A27" s="276"/>
      <c r="B27" s="273"/>
      <c r="C27" s="273"/>
      <c r="D27" s="266" t="s">
        <v>293</v>
      </c>
      <c r="E27" s="266"/>
      <c r="F27" s="266"/>
      <c r="G27" s="274">
        <v>50</v>
      </c>
      <c r="H27" s="274"/>
      <c r="I27" s="275">
        <v>0.2</v>
      </c>
      <c r="J27" s="275"/>
    </row>
    <row r="28" spans="1:10" ht="20.100000000000001" customHeight="1" x14ac:dyDescent="0.25">
      <c r="A28" s="276"/>
      <c r="B28" s="273" t="s">
        <v>297</v>
      </c>
      <c r="C28" s="273"/>
      <c r="D28" s="266" t="s">
        <v>285</v>
      </c>
      <c r="E28" s="266"/>
      <c r="F28" s="266"/>
      <c r="G28" s="274">
        <v>60</v>
      </c>
      <c r="H28" s="274"/>
      <c r="I28" s="275">
        <v>0.2</v>
      </c>
      <c r="J28" s="275"/>
    </row>
    <row r="29" spans="1:10" ht="20.100000000000001" customHeight="1" x14ac:dyDescent="0.25">
      <c r="A29" s="276"/>
      <c r="B29" s="273"/>
      <c r="C29" s="273"/>
      <c r="D29" s="266" t="s">
        <v>286</v>
      </c>
      <c r="E29" s="266"/>
      <c r="F29" s="266"/>
      <c r="G29" s="274">
        <v>60</v>
      </c>
      <c r="H29" s="274"/>
      <c r="I29" s="275">
        <v>0.2</v>
      </c>
      <c r="J29" s="275"/>
    </row>
    <row r="30" spans="1:10" ht="20.100000000000001" customHeight="1" x14ac:dyDescent="0.25">
      <c r="A30" s="276"/>
      <c r="B30" s="273"/>
      <c r="C30" s="273"/>
      <c r="D30" s="266" t="s">
        <v>290</v>
      </c>
      <c r="E30" s="266"/>
      <c r="F30" s="266"/>
      <c r="G30" s="274">
        <v>80</v>
      </c>
      <c r="H30" s="274"/>
      <c r="I30" s="275">
        <v>0.2</v>
      </c>
      <c r="J30" s="275"/>
    </row>
    <row r="31" spans="1:10" ht="20.100000000000001" customHeight="1" x14ac:dyDescent="0.25">
      <c r="A31" s="276"/>
      <c r="B31" s="273"/>
      <c r="C31" s="273"/>
      <c r="D31" s="266" t="s">
        <v>291</v>
      </c>
      <c r="E31" s="266"/>
      <c r="F31" s="266"/>
      <c r="G31" s="274">
        <v>80</v>
      </c>
      <c r="H31" s="274"/>
      <c r="I31" s="275">
        <v>0.2</v>
      </c>
      <c r="J31" s="275"/>
    </row>
    <row r="32" spans="1:10" ht="20.100000000000001" customHeight="1" x14ac:dyDescent="0.25">
      <c r="A32" s="276"/>
      <c r="B32" s="273" t="s">
        <v>298</v>
      </c>
      <c r="C32" s="273"/>
      <c r="D32" s="266" t="s">
        <v>285</v>
      </c>
      <c r="E32" s="266"/>
      <c r="F32" s="266"/>
      <c r="G32" s="274">
        <v>20</v>
      </c>
      <c r="H32" s="274"/>
      <c r="I32" s="275">
        <v>0.1</v>
      </c>
      <c r="J32" s="275"/>
    </row>
    <row r="33" spans="1:10" ht="20.100000000000001" customHeight="1" x14ac:dyDescent="0.25">
      <c r="A33" s="276"/>
      <c r="B33" s="273"/>
      <c r="C33" s="273"/>
      <c r="D33" s="266" t="s">
        <v>286</v>
      </c>
      <c r="E33" s="266"/>
      <c r="F33" s="266"/>
      <c r="G33" s="274">
        <v>20</v>
      </c>
      <c r="H33" s="274"/>
      <c r="I33" s="275">
        <v>0.1</v>
      </c>
      <c r="J33" s="275"/>
    </row>
    <row r="34" spans="1:10" ht="20.100000000000001" customHeight="1" x14ac:dyDescent="0.25">
      <c r="A34" s="276"/>
      <c r="B34" s="273"/>
      <c r="C34" s="273"/>
      <c r="D34" s="266" t="s">
        <v>291</v>
      </c>
      <c r="E34" s="266"/>
      <c r="F34" s="266"/>
      <c r="G34" s="274">
        <v>30</v>
      </c>
      <c r="H34" s="274"/>
      <c r="I34" s="275">
        <v>0.1</v>
      </c>
      <c r="J34" s="275"/>
    </row>
    <row r="35" spans="1:10" ht="20.100000000000001" customHeight="1" x14ac:dyDescent="0.25">
      <c r="A35" s="1"/>
      <c r="B35" s="1"/>
      <c r="C35" s="1"/>
      <c r="D35" s="1"/>
      <c r="E35" s="1"/>
      <c r="F35" s="1"/>
      <c r="G35" s="1"/>
      <c r="H35" s="1"/>
      <c r="I35" s="1"/>
      <c r="J35" s="1"/>
    </row>
    <row r="36" spans="1:10" ht="20.100000000000001" customHeight="1" x14ac:dyDescent="0.25">
      <c r="A36" s="147" t="s">
        <v>80</v>
      </c>
      <c r="B36" s="147"/>
      <c r="C36" s="147"/>
      <c r="D36" s="147"/>
      <c r="E36" s="147"/>
      <c r="F36" s="147"/>
      <c r="G36" s="147"/>
      <c r="H36" s="147"/>
      <c r="I36" s="147"/>
      <c r="J36" s="147"/>
    </row>
    <row r="37" spans="1:10" ht="20.100000000000001" customHeight="1" x14ac:dyDescent="0.25">
      <c r="A37" s="147" t="s">
        <v>299</v>
      </c>
      <c r="B37" s="147"/>
      <c r="C37" s="147"/>
      <c r="D37" s="147"/>
      <c r="E37" s="147"/>
      <c r="F37" s="147"/>
      <c r="G37" s="147"/>
      <c r="H37" s="147"/>
      <c r="I37" s="147"/>
      <c r="J37" s="147"/>
    </row>
    <row r="38" spans="1:10" ht="20.100000000000001" customHeight="1" x14ac:dyDescent="0.25">
      <c r="A38" s="147" t="s">
        <v>300</v>
      </c>
      <c r="B38" s="147"/>
      <c r="C38" s="147"/>
      <c r="D38" s="147"/>
      <c r="E38" s="147"/>
      <c r="F38" s="147"/>
      <c r="G38" s="147"/>
      <c r="H38" s="147"/>
      <c r="I38" s="147"/>
      <c r="J38" s="147"/>
    </row>
    <row r="39" spans="1:10" ht="20.100000000000001" customHeight="1" x14ac:dyDescent="0.25">
      <c r="A39" s="147"/>
      <c r="B39" s="147"/>
      <c r="C39" s="147"/>
      <c r="D39" s="147"/>
      <c r="E39" s="147"/>
      <c r="F39" s="147"/>
      <c r="G39" s="147"/>
      <c r="H39" s="147"/>
      <c r="I39" s="147"/>
      <c r="J39" s="147"/>
    </row>
    <row r="40" spans="1:10" ht="20.100000000000001" customHeight="1" x14ac:dyDescent="0.25">
      <c r="A40" s="1"/>
      <c r="B40" s="1"/>
      <c r="C40" s="1"/>
      <c r="D40" s="1"/>
      <c r="E40" s="1"/>
      <c r="F40" s="1"/>
      <c r="G40" s="1"/>
      <c r="H40" s="1"/>
      <c r="I40" s="1"/>
      <c r="J40" s="1"/>
    </row>
    <row r="41" spans="1:10" ht="20.100000000000001" customHeight="1" x14ac:dyDescent="0.25">
      <c r="A41" s="1"/>
      <c r="B41" s="1"/>
      <c r="C41" s="1"/>
      <c r="D41" s="1"/>
      <c r="E41" s="1"/>
      <c r="F41" s="1"/>
      <c r="G41" s="1"/>
      <c r="H41" s="1"/>
      <c r="I41" s="1"/>
      <c r="J41" s="1"/>
    </row>
    <row r="42" spans="1:10" ht="20.100000000000001" customHeight="1" x14ac:dyDescent="0.25">
      <c r="A42" s="270" t="s">
        <v>301</v>
      </c>
      <c r="B42" s="270"/>
      <c r="C42" s="270"/>
      <c r="D42" s="270"/>
      <c r="E42" s="270"/>
      <c r="F42" s="270"/>
      <c r="G42" s="270"/>
      <c r="H42" s="270"/>
      <c r="I42" s="270"/>
      <c r="J42" s="270"/>
    </row>
    <row r="43" spans="1:10" ht="20.100000000000001" customHeight="1" thickBot="1" x14ac:dyDescent="0.3">
      <c r="A43" s="271"/>
      <c r="B43" s="271"/>
      <c r="C43" s="271"/>
      <c r="D43" s="271"/>
      <c r="E43" s="271"/>
      <c r="F43" s="271"/>
      <c r="G43" s="271"/>
      <c r="H43" s="271"/>
      <c r="I43" s="271"/>
      <c r="J43" s="271"/>
    </row>
    <row r="44" spans="1:10" ht="20.100000000000001" customHeight="1" x14ac:dyDescent="0.25">
      <c r="A44" s="64"/>
      <c r="B44" s="65"/>
      <c r="C44" s="65"/>
      <c r="D44" s="65"/>
      <c r="E44" s="65"/>
      <c r="F44" s="66"/>
      <c r="G44" s="66"/>
      <c r="H44" s="67"/>
      <c r="I44" s="67"/>
      <c r="J44" s="67"/>
    </row>
    <row r="45" spans="1:10" ht="20.100000000000001" customHeight="1" x14ac:dyDescent="0.25">
      <c r="A45" s="272" t="s">
        <v>302</v>
      </c>
      <c r="B45" s="272" t="s">
        <v>303</v>
      </c>
      <c r="C45" s="272"/>
      <c r="D45" s="272"/>
      <c r="E45" s="272" t="s">
        <v>304</v>
      </c>
      <c r="F45" s="272" t="s">
        <v>305</v>
      </c>
      <c r="G45" s="272"/>
      <c r="H45" s="272"/>
      <c r="I45" s="272"/>
      <c r="J45" s="272"/>
    </row>
    <row r="46" spans="1:10" ht="20.100000000000001" customHeight="1" x14ac:dyDescent="0.25">
      <c r="A46" s="272"/>
      <c r="B46" s="272"/>
      <c r="C46" s="272"/>
      <c r="D46" s="272"/>
      <c r="E46" s="272"/>
      <c r="F46" s="272"/>
      <c r="G46" s="272"/>
      <c r="H46" s="272"/>
      <c r="I46" s="272"/>
      <c r="J46" s="272"/>
    </row>
    <row r="47" spans="1:10" ht="20.100000000000001" customHeight="1" x14ac:dyDescent="0.25">
      <c r="A47" s="265" t="s">
        <v>306</v>
      </c>
      <c r="B47" s="266" t="s">
        <v>261</v>
      </c>
      <c r="C47" s="266"/>
      <c r="D47" s="266"/>
      <c r="E47" s="269">
        <v>0</v>
      </c>
      <c r="F47" s="268" t="s">
        <v>307</v>
      </c>
      <c r="G47" s="268"/>
      <c r="H47" s="268"/>
      <c r="I47" s="268"/>
      <c r="J47" s="268"/>
    </row>
    <row r="48" spans="1:10" ht="20.100000000000001" customHeight="1" x14ac:dyDescent="0.25">
      <c r="A48" s="265"/>
      <c r="B48" s="266"/>
      <c r="C48" s="266"/>
      <c r="D48" s="266"/>
      <c r="E48" s="269"/>
      <c r="F48" s="268"/>
      <c r="G48" s="268"/>
      <c r="H48" s="268"/>
      <c r="I48" s="268"/>
      <c r="J48" s="268"/>
    </row>
    <row r="49" spans="1:10" ht="20.100000000000001" customHeight="1" x14ac:dyDescent="0.25">
      <c r="A49" s="265"/>
      <c r="B49" s="266"/>
      <c r="C49" s="266"/>
      <c r="D49" s="266"/>
      <c r="E49" s="269"/>
      <c r="F49" s="268"/>
      <c r="G49" s="268"/>
      <c r="H49" s="268"/>
      <c r="I49" s="268"/>
      <c r="J49" s="268"/>
    </row>
    <row r="50" spans="1:10" ht="20.100000000000001" customHeight="1" x14ac:dyDescent="0.25">
      <c r="A50" s="265" t="s">
        <v>308</v>
      </c>
      <c r="B50" s="266" t="s">
        <v>309</v>
      </c>
      <c r="C50" s="266"/>
      <c r="D50" s="266"/>
      <c r="E50" s="269">
        <v>0.32</v>
      </c>
      <c r="F50" s="268" t="s">
        <v>310</v>
      </c>
      <c r="G50" s="268"/>
      <c r="H50" s="268"/>
      <c r="I50" s="268"/>
      <c r="J50" s="268"/>
    </row>
    <row r="51" spans="1:10" ht="20.100000000000001" customHeight="1" x14ac:dyDescent="0.25">
      <c r="A51" s="265"/>
      <c r="B51" s="266"/>
      <c r="C51" s="266"/>
      <c r="D51" s="266"/>
      <c r="E51" s="269"/>
      <c r="F51" s="268"/>
      <c r="G51" s="268"/>
      <c r="H51" s="268"/>
      <c r="I51" s="268"/>
      <c r="J51" s="268"/>
    </row>
    <row r="52" spans="1:10" ht="20.100000000000001" customHeight="1" x14ac:dyDescent="0.25">
      <c r="A52" s="265"/>
      <c r="B52" s="266"/>
      <c r="C52" s="266"/>
      <c r="D52" s="266"/>
      <c r="E52" s="269"/>
      <c r="F52" s="268"/>
      <c r="G52" s="268"/>
      <c r="H52" s="268"/>
      <c r="I52" s="268"/>
      <c r="J52" s="268"/>
    </row>
    <row r="53" spans="1:10" ht="20.100000000000001" customHeight="1" x14ac:dyDescent="0.25">
      <c r="A53" s="265" t="s">
        <v>311</v>
      </c>
      <c r="B53" s="266" t="s">
        <v>7</v>
      </c>
      <c r="C53" s="266"/>
      <c r="D53" s="266"/>
      <c r="E53" s="269">
        <v>2.52</v>
      </c>
      <c r="F53" s="268" t="s">
        <v>312</v>
      </c>
      <c r="G53" s="268"/>
      <c r="H53" s="268"/>
      <c r="I53" s="268"/>
      <c r="J53" s="268"/>
    </row>
    <row r="54" spans="1:10" ht="20.100000000000001" customHeight="1" x14ac:dyDescent="0.25">
      <c r="A54" s="265"/>
      <c r="B54" s="266"/>
      <c r="C54" s="266"/>
      <c r="D54" s="266"/>
      <c r="E54" s="269"/>
      <c r="F54" s="268"/>
      <c r="G54" s="268"/>
      <c r="H54" s="268"/>
      <c r="I54" s="268"/>
      <c r="J54" s="268"/>
    </row>
    <row r="55" spans="1:10" ht="20.100000000000001" customHeight="1" x14ac:dyDescent="0.25">
      <c r="A55" s="265"/>
      <c r="B55" s="266"/>
      <c r="C55" s="266"/>
      <c r="D55" s="266"/>
      <c r="E55" s="269"/>
      <c r="F55" s="268"/>
      <c r="G55" s="268"/>
      <c r="H55" s="268"/>
      <c r="I55" s="268"/>
      <c r="J55" s="268"/>
    </row>
    <row r="56" spans="1:10" ht="20.100000000000001" customHeight="1" x14ac:dyDescent="0.25">
      <c r="A56" s="265" t="s">
        <v>313</v>
      </c>
      <c r="B56" s="266" t="s">
        <v>314</v>
      </c>
      <c r="C56" s="266"/>
      <c r="D56" s="266"/>
      <c r="E56" s="269">
        <v>8.09</v>
      </c>
      <c r="F56" s="268" t="s">
        <v>315</v>
      </c>
      <c r="G56" s="268"/>
      <c r="H56" s="268"/>
      <c r="I56" s="268"/>
      <c r="J56" s="268"/>
    </row>
    <row r="57" spans="1:10" ht="20.100000000000001" customHeight="1" x14ac:dyDescent="0.25">
      <c r="A57" s="265"/>
      <c r="B57" s="266"/>
      <c r="C57" s="266"/>
      <c r="D57" s="266"/>
      <c r="E57" s="269"/>
      <c r="F57" s="268"/>
      <c r="G57" s="268"/>
      <c r="H57" s="268"/>
      <c r="I57" s="268"/>
      <c r="J57" s="268"/>
    </row>
    <row r="58" spans="1:10" ht="20.100000000000001" customHeight="1" x14ac:dyDescent="0.25">
      <c r="A58" s="265"/>
      <c r="B58" s="266"/>
      <c r="C58" s="266"/>
      <c r="D58" s="266"/>
      <c r="E58" s="269"/>
      <c r="F58" s="268"/>
      <c r="G58" s="268"/>
      <c r="H58" s="268"/>
      <c r="I58" s="268"/>
      <c r="J58" s="268"/>
    </row>
    <row r="59" spans="1:10" ht="20.100000000000001" customHeight="1" x14ac:dyDescent="0.25">
      <c r="A59" s="265" t="s">
        <v>316</v>
      </c>
      <c r="B59" s="266" t="s">
        <v>317</v>
      </c>
      <c r="C59" s="266"/>
      <c r="D59" s="266"/>
      <c r="E59" s="267">
        <v>18.100000000000001</v>
      </c>
      <c r="F59" s="268" t="s">
        <v>318</v>
      </c>
      <c r="G59" s="268"/>
      <c r="H59" s="268"/>
      <c r="I59" s="268"/>
      <c r="J59" s="268"/>
    </row>
    <row r="60" spans="1:10" ht="20.100000000000001" customHeight="1" x14ac:dyDescent="0.25">
      <c r="A60" s="265"/>
      <c r="B60" s="266"/>
      <c r="C60" s="266"/>
      <c r="D60" s="266"/>
      <c r="E60" s="267"/>
      <c r="F60" s="268"/>
      <c r="G60" s="268"/>
      <c r="H60" s="268"/>
      <c r="I60" s="268"/>
      <c r="J60" s="268"/>
    </row>
    <row r="61" spans="1:10" ht="20.100000000000001" customHeight="1" x14ac:dyDescent="0.25">
      <c r="A61" s="265"/>
      <c r="B61" s="266"/>
      <c r="C61" s="266"/>
      <c r="D61" s="266"/>
      <c r="E61" s="267"/>
      <c r="F61" s="268"/>
      <c r="G61" s="268"/>
      <c r="H61" s="268"/>
      <c r="I61" s="268"/>
      <c r="J61" s="268"/>
    </row>
    <row r="62" spans="1:10" ht="20.100000000000001" customHeight="1" x14ac:dyDescent="0.25">
      <c r="A62" s="265"/>
      <c r="B62" s="266"/>
      <c r="C62" s="266"/>
      <c r="D62" s="266"/>
      <c r="E62" s="267"/>
      <c r="F62" s="268"/>
      <c r="G62" s="268"/>
      <c r="H62" s="268"/>
      <c r="I62" s="268"/>
      <c r="J62" s="268"/>
    </row>
    <row r="63" spans="1:10" ht="20.100000000000001" customHeight="1" x14ac:dyDescent="0.25">
      <c r="A63" s="265" t="s">
        <v>319</v>
      </c>
      <c r="B63" s="266" t="s">
        <v>320</v>
      </c>
      <c r="C63" s="266"/>
      <c r="D63" s="266"/>
      <c r="E63" s="267">
        <v>33.200000000000003</v>
      </c>
      <c r="F63" s="268" t="s">
        <v>321</v>
      </c>
      <c r="G63" s="268"/>
      <c r="H63" s="268"/>
      <c r="I63" s="268"/>
      <c r="J63" s="268"/>
    </row>
    <row r="64" spans="1:10" ht="20.100000000000001" customHeight="1" x14ac:dyDescent="0.25">
      <c r="A64" s="265"/>
      <c r="B64" s="266"/>
      <c r="C64" s="266"/>
      <c r="D64" s="266"/>
      <c r="E64" s="267"/>
      <c r="F64" s="268"/>
      <c r="G64" s="268"/>
      <c r="H64" s="268"/>
      <c r="I64" s="268"/>
      <c r="J64" s="268"/>
    </row>
    <row r="65" spans="1:10" ht="20.100000000000001" customHeight="1" x14ac:dyDescent="0.25">
      <c r="A65" s="265"/>
      <c r="B65" s="266"/>
      <c r="C65" s="266"/>
      <c r="D65" s="266"/>
      <c r="E65" s="267"/>
      <c r="F65" s="268"/>
      <c r="G65" s="268"/>
      <c r="H65" s="268"/>
      <c r="I65" s="268"/>
      <c r="J65" s="268"/>
    </row>
    <row r="66" spans="1:10" ht="20.100000000000001" customHeight="1" x14ac:dyDescent="0.25">
      <c r="A66" s="265"/>
      <c r="B66" s="266"/>
      <c r="C66" s="266"/>
      <c r="D66" s="266"/>
      <c r="E66" s="267"/>
      <c r="F66" s="268"/>
      <c r="G66" s="268"/>
      <c r="H66" s="268"/>
      <c r="I66" s="268"/>
      <c r="J66" s="268"/>
    </row>
    <row r="67" spans="1:10" ht="20.100000000000001" customHeight="1" x14ac:dyDescent="0.25">
      <c r="A67" s="265"/>
      <c r="B67" s="266"/>
      <c r="C67" s="266"/>
      <c r="D67" s="266"/>
      <c r="E67" s="267"/>
      <c r="F67" s="268"/>
      <c r="G67" s="268"/>
      <c r="H67" s="268"/>
      <c r="I67" s="268"/>
      <c r="J67" s="268"/>
    </row>
    <row r="68" spans="1:10" ht="20.100000000000001" customHeight="1" x14ac:dyDescent="0.25">
      <c r="A68" s="265"/>
      <c r="B68" s="266"/>
      <c r="C68" s="266"/>
      <c r="D68" s="266"/>
      <c r="E68" s="267"/>
      <c r="F68" s="268"/>
      <c r="G68" s="268"/>
      <c r="H68" s="268"/>
      <c r="I68" s="268"/>
      <c r="J68" s="268"/>
    </row>
    <row r="69" spans="1:10" ht="20.100000000000001" customHeight="1" x14ac:dyDescent="0.25">
      <c r="A69" s="265" t="s">
        <v>322</v>
      </c>
      <c r="B69" s="266" t="s">
        <v>323</v>
      </c>
      <c r="C69" s="266"/>
      <c r="D69" s="266"/>
      <c r="E69" s="267">
        <v>52.6</v>
      </c>
      <c r="F69" s="268" t="s">
        <v>324</v>
      </c>
      <c r="G69" s="268"/>
      <c r="H69" s="268"/>
      <c r="I69" s="268"/>
      <c r="J69" s="268"/>
    </row>
    <row r="70" spans="1:10" ht="20.100000000000001" customHeight="1" x14ac:dyDescent="0.25">
      <c r="A70" s="265"/>
      <c r="B70" s="266"/>
      <c r="C70" s="266"/>
      <c r="D70" s="266"/>
      <c r="E70" s="267"/>
      <c r="F70" s="268"/>
      <c r="G70" s="268"/>
      <c r="H70" s="268"/>
      <c r="I70" s="268"/>
      <c r="J70" s="268"/>
    </row>
    <row r="71" spans="1:10" ht="20.100000000000001" customHeight="1" x14ac:dyDescent="0.25">
      <c r="A71" s="265"/>
      <c r="B71" s="266"/>
      <c r="C71" s="266"/>
      <c r="D71" s="266"/>
      <c r="E71" s="267"/>
      <c r="F71" s="268"/>
      <c r="G71" s="268"/>
      <c r="H71" s="268"/>
      <c r="I71" s="268"/>
      <c r="J71" s="268"/>
    </row>
    <row r="72" spans="1:10" ht="20.100000000000001" customHeight="1" x14ac:dyDescent="0.25">
      <c r="A72" s="265"/>
      <c r="B72" s="266"/>
      <c r="C72" s="266"/>
      <c r="D72" s="266"/>
      <c r="E72" s="267"/>
      <c r="F72" s="268"/>
      <c r="G72" s="268"/>
      <c r="H72" s="268"/>
      <c r="I72" s="268"/>
      <c r="J72" s="268"/>
    </row>
    <row r="73" spans="1:10" ht="20.100000000000001" customHeight="1" x14ac:dyDescent="0.25">
      <c r="A73" s="265"/>
      <c r="B73" s="266"/>
      <c r="C73" s="266"/>
      <c r="D73" s="266"/>
      <c r="E73" s="267"/>
      <c r="F73" s="268"/>
      <c r="G73" s="268"/>
      <c r="H73" s="268"/>
      <c r="I73" s="268"/>
      <c r="J73" s="268"/>
    </row>
    <row r="74" spans="1:10" ht="20.100000000000001" customHeight="1" x14ac:dyDescent="0.25">
      <c r="A74" s="265"/>
      <c r="B74" s="266"/>
      <c r="C74" s="266"/>
      <c r="D74" s="266"/>
      <c r="E74" s="267"/>
      <c r="F74" s="268"/>
      <c r="G74" s="268"/>
      <c r="H74" s="268"/>
      <c r="I74" s="268"/>
      <c r="J74" s="268"/>
    </row>
    <row r="75" spans="1:10" ht="20.100000000000001" customHeight="1" x14ac:dyDescent="0.25">
      <c r="A75" s="265" t="s">
        <v>325</v>
      </c>
      <c r="B75" s="266" t="s">
        <v>326</v>
      </c>
      <c r="C75" s="266"/>
      <c r="D75" s="266"/>
      <c r="E75" s="267">
        <v>75.2</v>
      </c>
      <c r="F75" s="268" t="s">
        <v>327</v>
      </c>
      <c r="G75" s="268"/>
      <c r="H75" s="268"/>
      <c r="I75" s="268"/>
      <c r="J75" s="268"/>
    </row>
    <row r="76" spans="1:10" ht="20.100000000000001" customHeight="1" x14ac:dyDescent="0.25">
      <c r="A76" s="265"/>
      <c r="B76" s="266"/>
      <c r="C76" s="266"/>
      <c r="D76" s="266"/>
      <c r="E76" s="267"/>
      <c r="F76" s="268"/>
      <c r="G76" s="268"/>
      <c r="H76" s="268"/>
      <c r="I76" s="268"/>
      <c r="J76" s="268"/>
    </row>
    <row r="77" spans="1:10" ht="20.100000000000001" customHeight="1" x14ac:dyDescent="0.25">
      <c r="A77" s="265"/>
      <c r="B77" s="266"/>
      <c r="C77" s="266"/>
      <c r="D77" s="266"/>
      <c r="E77" s="267"/>
      <c r="F77" s="268"/>
      <c r="G77" s="268"/>
      <c r="H77" s="268"/>
      <c r="I77" s="268"/>
      <c r="J77" s="268"/>
    </row>
    <row r="78" spans="1:10" ht="20.100000000000001" customHeight="1" x14ac:dyDescent="0.25">
      <c r="A78" s="265"/>
      <c r="B78" s="266"/>
      <c r="C78" s="266"/>
      <c r="D78" s="266"/>
      <c r="E78" s="267"/>
      <c r="F78" s="268"/>
      <c r="G78" s="268"/>
      <c r="H78" s="268"/>
      <c r="I78" s="268"/>
      <c r="J78" s="268"/>
    </row>
    <row r="79" spans="1:10" ht="20.100000000000001" customHeight="1" thickBot="1" x14ac:dyDescent="0.3">
      <c r="A79" s="6" t="s">
        <v>82</v>
      </c>
      <c r="B79" s="263" t="s">
        <v>328</v>
      </c>
      <c r="C79" s="263"/>
      <c r="D79" s="263"/>
      <c r="E79" s="68">
        <v>100</v>
      </c>
      <c r="F79" s="264" t="s">
        <v>329</v>
      </c>
      <c r="G79" s="264"/>
      <c r="H79" s="264"/>
      <c r="I79" s="264"/>
      <c r="J79" s="264"/>
    </row>
    <row r="80" spans="1:10" ht="20.100000000000001" customHeight="1" x14ac:dyDescent="0.25">
      <c r="A80" s="1"/>
      <c r="B80" s="1"/>
      <c r="C80" s="1"/>
      <c r="D80" s="1"/>
      <c r="E80" s="1"/>
      <c r="F80" s="1"/>
      <c r="G80" s="1"/>
      <c r="H80" s="1"/>
      <c r="I80" s="1"/>
      <c r="J80" s="1"/>
    </row>
    <row r="81" spans="1:10" ht="20.100000000000001" customHeight="1" x14ac:dyDescent="0.25">
      <c r="A81" s="147" t="s">
        <v>80</v>
      </c>
      <c r="B81" s="147"/>
      <c r="C81" s="147"/>
      <c r="D81" s="147"/>
      <c r="E81" s="147"/>
      <c r="F81" s="147"/>
      <c r="G81" s="147"/>
      <c r="H81" s="147"/>
      <c r="I81" s="147"/>
      <c r="J81" s="147"/>
    </row>
    <row r="82" spans="1:10" ht="20.100000000000001" customHeight="1" x14ac:dyDescent="0.25">
      <c r="A82" s="147" t="s">
        <v>330</v>
      </c>
      <c r="B82" s="147"/>
      <c r="C82" s="147"/>
      <c r="D82" s="147"/>
      <c r="E82" s="147"/>
      <c r="F82" s="147"/>
      <c r="G82" s="147"/>
      <c r="H82" s="147"/>
      <c r="I82" s="147"/>
      <c r="J82" s="147"/>
    </row>
    <row r="83" spans="1:10" ht="20.100000000000001" customHeight="1" x14ac:dyDescent="0.25">
      <c r="A83" s="147" t="s">
        <v>331</v>
      </c>
      <c r="B83" s="147"/>
      <c r="C83" s="147"/>
      <c r="D83" s="147"/>
      <c r="E83" s="147"/>
      <c r="F83" s="147"/>
      <c r="G83" s="147"/>
      <c r="H83" s="147"/>
      <c r="I83" s="147"/>
      <c r="J83" s="147"/>
    </row>
    <row r="84" spans="1:10" ht="20.100000000000001" customHeight="1" x14ac:dyDescent="0.25">
      <c r="A84" s="147" t="s">
        <v>332</v>
      </c>
      <c r="B84" s="147"/>
      <c r="C84" s="147"/>
      <c r="D84" s="147"/>
      <c r="E84" s="147"/>
      <c r="F84" s="147"/>
      <c r="G84" s="147"/>
      <c r="H84" s="147"/>
      <c r="I84" s="147"/>
      <c r="J84" s="147"/>
    </row>
    <row r="85" spans="1:10" ht="20.100000000000001" customHeight="1" x14ac:dyDescent="0.25">
      <c r="A85" s="1"/>
      <c r="B85" s="1"/>
      <c r="C85" s="1"/>
      <c r="D85" s="1"/>
      <c r="E85" s="1"/>
      <c r="F85" s="1"/>
      <c r="G85" s="1"/>
      <c r="H85" s="1"/>
      <c r="I85" s="1"/>
      <c r="J85" s="1"/>
    </row>
    <row r="86" spans="1:10" ht="20.100000000000001" customHeight="1" x14ac:dyDescent="0.25">
      <c r="A86" s="147" t="s">
        <v>273</v>
      </c>
      <c r="B86" s="147"/>
      <c r="C86" s="147"/>
      <c r="D86" s="147"/>
      <c r="E86" s="147"/>
      <c r="F86" s="147"/>
      <c r="G86" s="147"/>
      <c r="H86" s="147"/>
      <c r="I86" s="147"/>
      <c r="J86" s="147"/>
    </row>
    <row r="87" spans="1:10" ht="20.100000000000001" customHeight="1" x14ac:dyDescent="0.25">
      <c r="A87" s="147" t="s">
        <v>333</v>
      </c>
      <c r="B87" s="147"/>
      <c r="C87" s="147"/>
      <c r="D87" s="147"/>
      <c r="E87" s="147"/>
      <c r="F87" s="147"/>
      <c r="G87" s="147"/>
      <c r="H87" s="147"/>
      <c r="I87" s="147"/>
      <c r="J87" s="147"/>
    </row>
    <row r="88" spans="1:10" ht="20.100000000000001" customHeight="1" x14ac:dyDescent="0.25">
      <c r="A88" s="147"/>
      <c r="B88" s="147"/>
      <c r="C88" s="147"/>
      <c r="D88" s="147"/>
      <c r="E88" s="147"/>
      <c r="F88" s="147"/>
      <c r="G88" s="147"/>
      <c r="H88" s="147"/>
      <c r="I88" s="147"/>
      <c r="J88" s="147"/>
    </row>
    <row r="89" spans="1:10" ht="20.100000000000001" customHeight="1" x14ac:dyDescent="0.25">
      <c r="A89" s="147"/>
      <c r="B89" s="147"/>
      <c r="C89" s="147"/>
      <c r="D89" s="147"/>
      <c r="E89" s="147"/>
      <c r="F89" s="147"/>
      <c r="G89" s="147"/>
      <c r="H89" s="147"/>
      <c r="I89" s="147"/>
      <c r="J89" s="147"/>
    </row>
    <row r="90" spans="1:10" ht="20.100000000000001" customHeight="1" x14ac:dyDescent="0.25">
      <c r="A90" s="1"/>
      <c r="B90" s="1"/>
      <c r="C90" s="1"/>
      <c r="D90" s="1"/>
      <c r="E90" s="1"/>
      <c r="F90" s="1"/>
      <c r="G90" s="1"/>
      <c r="H90" s="1"/>
      <c r="I90" s="1"/>
      <c r="J90" s="1"/>
    </row>
    <row r="91" spans="1:10" ht="20.100000000000001" customHeight="1" x14ac:dyDescent="0.25">
      <c r="A91" s="1"/>
      <c r="B91" s="1"/>
      <c r="C91" s="1"/>
      <c r="D91" s="1"/>
      <c r="E91" s="1"/>
      <c r="F91" s="1"/>
      <c r="G91" s="1"/>
      <c r="H91" s="1"/>
      <c r="I91" s="1"/>
      <c r="J91" s="1"/>
    </row>
    <row r="92" spans="1:10" ht="20.100000000000001" customHeight="1" x14ac:dyDescent="0.25">
      <c r="A92" s="262" t="s">
        <v>334</v>
      </c>
      <c r="B92" s="262"/>
      <c r="C92" s="262"/>
      <c r="D92" s="262"/>
      <c r="E92" s="262"/>
      <c r="F92" s="262"/>
      <c r="G92" s="262"/>
      <c r="H92" s="262"/>
      <c r="I92" s="262"/>
      <c r="J92" s="262"/>
    </row>
    <row r="93" spans="1:10" ht="20.100000000000001" customHeight="1" x14ac:dyDescent="0.25">
      <c r="A93" s="1"/>
      <c r="B93" s="1"/>
      <c r="C93" s="1"/>
      <c r="D93" s="1"/>
      <c r="E93" s="1"/>
      <c r="F93" s="1"/>
      <c r="G93" s="1"/>
      <c r="H93" s="1"/>
      <c r="I93" s="1"/>
      <c r="J93" s="1"/>
    </row>
    <row r="94" spans="1:10" ht="20.100000000000001" customHeight="1" x14ac:dyDescent="0.25">
      <c r="A94" s="147" t="s">
        <v>477</v>
      </c>
      <c r="B94" s="147"/>
      <c r="C94" s="147"/>
      <c r="D94" s="147"/>
      <c r="E94" s="147"/>
      <c r="F94" s="147"/>
      <c r="G94" s="147"/>
      <c r="H94" s="147"/>
      <c r="I94" s="147"/>
      <c r="J94" s="147"/>
    </row>
    <row r="95" spans="1:10" ht="20.100000000000001" customHeight="1" x14ac:dyDescent="0.25">
      <c r="A95" s="147"/>
      <c r="B95" s="147"/>
      <c r="C95" s="147"/>
      <c r="D95" s="147"/>
      <c r="E95" s="147"/>
      <c r="F95" s="147"/>
      <c r="G95" s="147"/>
      <c r="H95" s="147"/>
      <c r="I95" s="147"/>
      <c r="J95" s="147"/>
    </row>
    <row r="96" spans="1:10" ht="20.100000000000001" customHeight="1" x14ac:dyDescent="0.25">
      <c r="A96" s="147"/>
      <c r="B96" s="147"/>
      <c r="C96" s="147"/>
      <c r="D96" s="147"/>
      <c r="E96" s="147"/>
      <c r="F96" s="147"/>
      <c r="G96" s="147"/>
      <c r="H96" s="147"/>
      <c r="I96" s="147"/>
      <c r="J96" s="147"/>
    </row>
    <row r="97" spans="1:10" ht="20.100000000000001" customHeight="1" x14ac:dyDescent="0.25">
      <c r="A97" s="147"/>
      <c r="B97" s="147"/>
      <c r="C97" s="147"/>
      <c r="D97" s="147"/>
      <c r="E97" s="147"/>
      <c r="F97" s="147"/>
      <c r="G97" s="147"/>
      <c r="H97" s="147"/>
      <c r="I97" s="147"/>
      <c r="J97" s="147"/>
    </row>
    <row r="98" spans="1:10" ht="20.100000000000001" customHeight="1" x14ac:dyDescent="0.25">
      <c r="A98" s="147"/>
      <c r="B98" s="147"/>
      <c r="C98" s="147"/>
      <c r="D98" s="147"/>
      <c r="E98" s="147"/>
      <c r="F98" s="147"/>
      <c r="G98" s="147"/>
      <c r="H98" s="147"/>
      <c r="I98" s="147"/>
      <c r="J98" s="147"/>
    </row>
    <row r="99" spans="1:10" ht="20.100000000000001" customHeight="1" x14ac:dyDescent="0.25">
      <c r="A99" s="147"/>
      <c r="B99" s="147"/>
      <c r="C99" s="147"/>
      <c r="D99" s="147"/>
      <c r="E99" s="147"/>
      <c r="F99" s="147"/>
      <c r="G99" s="147"/>
      <c r="H99" s="147"/>
      <c r="I99" s="147"/>
      <c r="J99" s="147"/>
    </row>
    <row r="100" spans="1:10" ht="20.100000000000001" customHeight="1" x14ac:dyDescent="0.25">
      <c r="A100" s="1"/>
      <c r="B100" s="1"/>
      <c r="C100" s="1"/>
      <c r="D100" s="1"/>
      <c r="E100" s="1"/>
      <c r="F100" s="1"/>
      <c r="G100" s="1"/>
      <c r="H100" s="1"/>
      <c r="I100" s="1"/>
      <c r="J100" s="1"/>
    </row>
    <row r="101" spans="1:10" ht="20.100000000000001" customHeight="1" x14ac:dyDescent="0.25">
      <c r="A101" s="256" t="s">
        <v>335</v>
      </c>
      <c r="B101" s="256"/>
      <c r="C101" s="256"/>
      <c r="D101" s="256"/>
      <c r="E101" s="256"/>
      <c r="F101" s="256"/>
      <c r="G101" s="256"/>
      <c r="H101" s="256"/>
      <c r="I101" s="256"/>
      <c r="J101" s="256"/>
    </row>
    <row r="102" spans="1:10" ht="20.100000000000001" customHeight="1" x14ac:dyDescent="0.25">
      <c r="A102" s="256"/>
      <c r="B102" s="256"/>
      <c r="C102" s="256"/>
      <c r="D102" s="256"/>
      <c r="E102" s="256"/>
      <c r="F102" s="256"/>
      <c r="G102" s="256"/>
      <c r="H102" s="256"/>
      <c r="I102" s="256"/>
      <c r="J102" s="256"/>
    </row>
    <row r="103" spans="1:10" ht="20.100000000000001" customHeight="1" x14ac:dyDescent="0.25">
      <c r="A103" s="256"/>
      <c r="B103" s="256"/>
      <c r="C103" s="256"/>
      <c r="D103" s="256"/>
      <c r="E103" s="256"/>
      <c r="F103" s="256"/>
      <c r="G103" s="256"/>
      <c r="H103" s="256"/>
      <c r="I103" s="256"/>
      <c r="J103" s="256"/>
    </row>
    <row r="104" spans="1:10" ht="20.100000000000001" customHeight="1" x14ac:dyDescent="0.25">
      <c r="A104" s="256" t="s">
        <v>336</v>
      </c>
      <c r="B104" s="256"/>
      <c r="C104" s="256" t="s">
        <v>337</v>
      </c>
      <c r="D104" s="256"/>
      <c r="E104" s="256" t="s">
        <v>338</v>
      </c>
      <c r="F104" s="256"/>
      <c r="G104" s="256" t="s">
        <v>339</v>
      </c>
      <c r="H104" s="256"/>
      <c r="I104" s="256"/>
      <c r="J104" s="256"/>
    </row>
    <row r="105" spans="1:10" ht="20.100000000000001" customHeight="1" x14ac:dyDescent="0.25">
      <c r="A105" s="256"/>
      <c r="B105" s="256"/>
      <c r="C105" s="256"/>
      <c r="D105" s="256"/>
      <c r="E105" s="256"/>
      <c r="F105" s="256"/>
      <c r="G105" s="256"/>
      <c r="H105" s="256"/>
      <c r="I105" s="256"/>
      <c r="J105" s="256"/>
    </row>
    <row r="106" spans="1:10" ht="20.100000000000001" customHeight="1" x14ac:dyDescent="0.25">
      <c r="A106" s="256"/>
      <c r="B106" s="256"/>
      <c r="C106" s="256"/>
      <c r="D106" s="256"/>
      <c r="E106" s="256"/>
      <c r="F106" s="256"/>
      <c r="G106" s="256" t="s">
        <v>340</v>
      </c>
      <c r="H106" s="256"/>
      <c r="I106" s="256" t="s">
        <v>341</v>
      </c>
      <c r="J106" s="256"/>
    </row>
    <row r="107" spans="1:10" ht="20.100000000000001" customHeight="1" x14ac:dyDescent="0.25">
      <c r="A107" s="260">
        <v>0</v>
      </c>
      <c r="B107" s="260"/>
      <c r="C107" s="255" t="s">
        <v>306</v>
      </c>
      <c r="D107" s="255"/>
      <c r="E107" s="261">
        <v>1</v>
      </c>
      <c r="F107" s="261"/>
      <c r="G107" s="261" t="s">
        <v>342</v>
      </c>
      <c r="H107" s="261"/>
      <c r="I107" s="261" t="s">
        <v>343</v>
      </c>
      <c r="J107" s="261"/>
    </row>
    <row r="108" spans="1:10" ht="20.100000000000001" customHeight="1" x14ac:dyDescent="0.25">
      <c r="A108" s="260">
        <v>-3.2000000000000002E-3</v>
      </c>
      <c r="B108" s="260"/>
      <c r="C108" s="255" t="s">
        <v>308</v>
      </c>
      <c r="D108" s="255"/>
      <c r="E108" s="261">
        <v>1.5</v>
      </c>
      <c r="F108" s="261"/>
      <c r="G108" s="261" t="s">
        <v>344</v>
      </c>
      <c r="H108" s="261"/>
      <c r="I108" s="261" t="s">
        <v>345</v>
      </c>
      <c r="J108" s="261"/>
    </row>
    <row r="109" spans="1:10" ht="20.100000000000001" customHeight="1" x14ac:dyDescent="0.25">
      <c r="A109" s="260">
        <v>-2.52E-2</v>
      </c>
      <c r="B109" s="260"/>
      <c r="C109" s="255" t="s">
        <v>311</v>
      </c>
      <c r="D109" s="255"/>
      <c r="E109" s="261">
        <v>2</v>
      </c>
      <c r="F109" s="261"/>
      <c r="G109" s="261" t="s">
        <v>68</v>
      </c>
      <c r="H109" s="261"/>
      <c r="I109" s="261" t="s">
        <v>308</v>
      </c>
      <c r="J109" s="261"/>
    </row>
    <row r="110" spans="1:10" ht="20.100000000000001" customHeight="1" x14ac:dyDescent="0.25">
      <c r="A110" s="260">
        <v>-8.09E-2</v>
      </c>
      <c r="B110" s="260"/>
      <c r="C110" s="255" t="s">
        <v>313</v>
      </c>
      <c r="D110" s="255"/>
      <c r="E110" s="261">
        <v>2.5</v>
      </c>
      <c r="F110" s="261"/>
      <c r="G110" s="261" t="s">
        <v>346</v>
      </c>
      <c r="H110" s="261"/>
      <c r="I110" s="261" t="s">
        <v>82</v>
      </c>
      <c r="J110" s="261"/>
    </row>
    <row r="111" spans="1:10" ht="20.100000000000001" customHeight="1" x14ac:dyDescent="0.25">
      <c r="A111" s="260">
        <v>-0.18099999999999999</v>
      </c>
      <c r="B111" s="260"/>
      <c r="C111" s="255" t="s">
        <v>316</v>
      </c>
      <c r="D111" s="255"/>
      <c r="E111" s="261">
        <v>3</v>
      </c>
      <c r="F111" s="261"/>
      <c r="G111" s="261" t="s">
        <v>7</v>
      </c>
      <c r="H111" s="261"/>
      <c r="I111" s="261" t="s">
        <v>347</v>
      </c>
      <c r="J111" s="261"/>
    </row>
    <row r="112" spans="1:10" ht="20.100000000000001" customHeight="1" x14ac:dyDescent="0.25">
      <c r="A112" s="260">
        <v>-0.33200000000000002</v>
      </c>
      <c r="B112" s="260"/>
      <c r="C112" s="255" t="s">
        <v>319</v>
      </c>
      <c r="D112" s="255"/>
      <c r="E112" s="261">
        <v>3.5</v>
      </c>
      <c r="F112" s="261"/>
      <c r="G112" s="261" t="s">
        <v>348</v>
      </c>
      <c r="H112" s="261"/>
      <c r="I112" s="261" t="s">
        <v>313</v>
      </c>
      <c r="J112" s="261"/>
    </row>
    <row r="113" spans="1:10" ht="20.100000000000001" customHeight="1" x14ac:dyDescent="0.25">
      <c r="A113" s="260">
        <v>-0.52600000000000002</v>
      </c>
      <c r="B113" s="260"/>
      <c r="C113" s="255" t="s">
        <v>322</v>
      </c>
      <c r="D113" s="255"/>
      <c r="E113" s="261">
        <v>4</v>
      </c>
      <c r="F113" s="261"/>
      <c r="G113" s="261" t="s">
        <v>349</v>
      </c>
      <c r="H113" s="261"/>
      <c r="I113" s="261" t="s">
        <v>350</v>
      </c>
      <c r="J113" s="261"/>
    </row>
    <row r="114" spans="1:10" ht="20.100000000000001" customHeight="1" x14ac:dyDescent="0.25">
      <c r="A114" s="260">
        <v>-0.752</v>
      </c>
      <c r="B114" s="260"/>
      <c r="C114" s="255" t="s">
        <v>325</v>
      </c>
      <c r="D114" s="255"/>
      <c r="E114" s="261">
        <v>4.5</v>
      </c>
      <c r="F114" s="261"/>
      <c r="G114" s="261" t="s">
        <v>351</v>
      </c>
      <c r="H114" s="261"/>
      <c r="I114" s="261" t="s">
        <v>352</v>
      </c>
      <c r="J114" s="261"/>
    </row>
    <row r="115" spans="1:10" ht="20.100000000000001" customHeight="1" x14ac:dyDescent="0.25">
      <c r="A115" s="260">
        <v>-1</v>
      </c>
      <c r="B115" s="260"/>
      <c r="C115" s="255" t="s">
        <v>82</v>
      </c>
      <c r="D115" s="255"/>
      <c r="E115" s="261">
        <v>5</v>
      </c>
      <c r="F115" s="261"/>
      <c r="G115" s="261" t="s">
        <v>353</v>
      </c>
      <c r="H115" s="261"/>
      <c r="I115" s="261" t="s">
        <v>354</v>
      </c>
      <c r="J115" s="261"/>
    </row>
    <row r="116" spans="1:10" ht="20.100000000000001" customHeight="1" x14ac:dyDescent="0.25">
      <c r="A116" s="1"/>
      <c r="B116" s="1"/>
      <c r="C116" s="1"/>
      <c r="D116" s="1"/>
      <c r="E116" s="1"/>
      <c r="F116" s="1"/>
      <c r="G116" s="1"/>
      <c r="H116" s="1"/>
      <c r="I116" s="1"/>
      <c r="J116" s="1"/>
    </row>
    <row r="117" spans="1:10" ht="20.100000000000001" customHeight="1" x14ac:dyDescent="0.25">
      <c r="A117" s="1"/>
      <c r="B117" s="1"/>
      <c r="C117" s="1"/>
      <c r="D117" s="1"/>
      <c r="E117" s="1"/>
      <c r="F117" s="1"/>
      <c r="G117" s="1"/>
      <c r="H117" s="1"/>
      <c r="I117" s="1"/>
      <c r="J117" s="1"/>
    </row>
    <row r="118" spans="1:10" ht="20.100000000000001" customHeight="1" x14ac:dyDescent="0.25">
      <c r="A118" s="256" t="s">
        <v>355</v>
      </c>
      <c r="B118" s="257" t="s">
        <v>356</v>
      </c>
      <c r="C118" s="258"/>
      <c r="D118" s="258"/>
      <c r="E118" s="258"/>
      <c r="F118" s="258"/>
      <c r="G118" s="258"/>
      <c r="H118" s="258"/>
      <c r="I118" s="258"/>
      <c r="J118" s="259"/>
    </row>
    <row r="119" spans="1:10" ht="20.100000000000001" customHeight="1" x14ac:dyDescent="0.25">
      <c r="A119" s="256"/>
      <c r="B119" s="255" t="s">
        <v>478</v>
      </c>
      <c r="C119" s="255"/>
      <c r="D119" s="255"/>
      <c r="E119" s="255"/>
      <c r="F119" s="255"/>
      <c r="G119" s="255"/>
      <c r="H119" s="255"/>
      <c r="I119" s="255"/>
      <c r="J119" s="255"/>
    </row>
    <row r="120" spans="1:10" ht="20.100000000000001" customHeight="1" x14ac:dyDescent="0.25">
      <c r="A120" s="256"/>
      <c r="B120" s="256" t="s">
        <v>357</v>
      </c>
      <c r="C120" s="256"/>
      <c r="D120" s="256"/>
      <c r="E120" s="256"/>
      <c r="F120" s="256"/>
      <c r="G120" s="256"/>
      <c r="H120" s="256"/>
      <c r="I120" s="256"/>
      <c r="J120" s="256"/>
    </row>
    <row r="121" spans="1:10" ht="20.100000000000001" customHeight="1" x14ac:dyDescent="0.25">
      <c r="A121" s="256"/>
      <c r="B121" s="69" t="s">
        <v>306</v>
      </c>
      <c r="C121" s="69" t="s">
        <v>308</v>
      </c>
      <c r="D121" s="69" t="s">
        <v>311</v>
      </c>
      <c r="E121" s="69" t="s">
        <v>313</v>
      </c>
      <c r="F121" s="69" t="s">
        <v>316</v>
      </c>
      <c r="G121" s="69" t="s">
        <v>319</v>
      </c>
      <c r="H121" s="69" t="s">
        <v>322</v>
      </c>
      <c r="I121" s="69" t="s">
        <v>325</v>
      </c>
      <c r="J121" s="69" t="s">
        <v>82</v>
      </c>
    </row>
    <row r="122" spans="1:10" ht="20.100000000000001" customHeight="1" x14ac:dyDescent="0.25">
      <c r="A122" s="70">
        <v>0</v>
      </c>
      <c r="B122" s="71">
        <v>0</v>
      </c>
      <c r="C122" s="71">
        <v>0.32</v>
      </c>
      <c r="D122" s="71">
        <v>2.52</v>
      </c>
      <c r="E122" s="71">
        <v>8.09</v>
      </c>
      <c r="F122" s="71">
        <v>18.100000000000001</v>
      </c>
      <c r="G122" s="71">
        <v>33.200000000000003</v>
      </c>
      <c r="H122" s="71">
        <v>52.6</v>
      </c>
      <c r="I122" s="71">
        <v>75.2</v>
      </c>
      <c r="J122" s="71">
        <v>100</v>
      </c>
    </row>
    <row r="123" spans="1:10" ht="20.100000000000001" customHeight="1" x14ac:dyDescent="0.25">
      <c r="A123" s="70">
        <f>A122+0.02</f>
        <v>0.02</v>
      </c>
      <c r="B123" s="71">
        <f>((1/2)*((A123)+(A123^2)))*100</f>
        <v>1.02</v>
      </c>
      <c r="C123" s="71">
        <f>$B123+((100-$B123)*C$122/100)</f>
        <v>1.3367360000000001</v>
      </c>
      <c r="D123" s="71">
        <f t="shared" ref="D123:J138" si="0">$B123+((100-$B123)*D$122/100)</f>
        <v>3.5142960000000003</v>
      </c>
      <c r="E123" s="71">
        <f t="shared" si="0"/>
        <v>9.0274819999999991</v>
      </c>
      <c r="F123" s="71">
        <f t="shared" si="0"/>
        <v>18.935380000000002</v>
      </c>
      <c r="G123" s="71">
        <f t="shared" si="0"/>
        <v>33.881360000000008</v>
      </c>
      <c r="H123" s="71">
        <f t="shared" si="0"/>
        <v>53.083480000000002</v>
      </c>
      <c r="I123" s="71">
        <f t="shared" si="0"/>
        <v>75.452960000000004</v>
      </c>
      <c r="J123" s="71">
        <f t="shared" si="0"/>
        <v>100</v>
      </c>
    </row>
    <row r="124" spans="1:10" ht="20.100000000000001" customHeight="1" x14ac:dyDescent="0.25">
      <c r="A124" s="70">
        <f t="shared" ref="A124:A172" si="1">A123+0.02</f>
        <v>0.04</v>
      </c>
      <c r="B124" s="71">
        <f t="shared" ref="B124:B172" si="2">((1/2)*((A124)+(A124^2)))*100</f>
        <v>2.08</v>
      </c>
      <c r="C124" s="71">
        <f t="shared" ref="C124:J155" si="3">$B124+((100-$B124)*C$122/100)</f>
        <v>2.3933439999999999</v>
      </c>
      <c r="D124" s="71">
        <f t="shared" si="0"/>
        <v>4.5475840000000005</v>
      </c>
      <c r="E124" s="71">
        <f t="shared" si="0"/>
        <v>10.001728</v>
      </c>
      <c r="F124" s="71">
        <f t="shared" si="0"/>
        <v>19.803519999999999</v>
      </c>
      <c r="G124" s="71">
        <f t="shared" si="0"/>
        <v>34.589440000000003</v>
      </c>
      <c r="H124" s="71">
        <f t="shared" si="0"/>
        <v>53.585920000000002</v>
      </c>
      <c r="I124" s="71">
        <f t="shared" si="0"/>
        <v>75.71584</v>
      </c>
      <c r="J124" s="71">
        <f t="shared" si="0"/>
        <v>100</v>
      </c>
    </row>
    <row r="125" spans="1:10" ht="20.100000000000001" customHeight="1" x14ac:dyDescent="0.25">
      <c r="A125" s="70">
        <f t="shared" si="1"/>
        <v>0.06</v>
      </c>
      <c r="B125" s="71">
        <f t="shared" si="2"/>
        <v>3.18</v>
      </c>
      <c r="C125" s="71">
        <f t="shared" si="3"/>
        <v>3.489824</v>
      </c>
      <c r="D125" s="71">
        <f t="shared" si="0"/>
        <v>5.6198639999999997</v>
      </c>
      <c r="E125" s="71">
        <f t="shared" si="0"/>
        <v>11.012737999999999</v>
      </c>
      <c r="F125" s="71">
        <f t="shared" si="0"/>
        <v>20.704419999999999</v>
      </c>
      <c r="G125" s="71">
        <f t="shared" si="0"/>
        <v>35.324239999999996</v>
      </c>
      <c r="H125" s="71">
        <f t="shared" si="0"/>
        <v>54.107320000000001</v>
      </c>
      <c r="I125" s="71">
        <f t="shared" si="0"/>
        <v>75.988640000000004</v>
      </c>
      <c r="J125" s="71">
        <f t="shared" si="0"/>
        <v>100</v>
      </c>
    </row>
    <row r="126" spans="1:10" ht="20.100000000000001" customHeight="1" x14ac:dyDescent="0.25">
      <c r="A126" s="70">
        <f t="shared" si="1"/>
        <v>0.08</v>
      </c>
      <c r="B126" s="71">
        <f t="shared" si="2"/>
        <v>4.32</v>
      </c>
      <c r="C126" s="71">
        <f t="shared" si="3"/>
        <v>4.6261760000000001</v>
      </c>
      <c r="D126" s="71">
        <f t="shared" si="0"/>
        <v>6.7311360000000011</v>
      </c>
      <c r="E126" s="71">
        <f t="shared" si="0"/>
        <v>12.060511999999999</v>
      </c>
      <c r="F126" s="71">
        <f t="shared" si="0"/>
        <v>21.638080000000002</v>
      </c>
      <c r="G126" s="71">
        <f t="shared" si="0"/>
        <v>36.085760000000008</v>
      </c>
      <c r="H126" s="71">
        <f t="shared" si="0"/>
        <v>54.647680000000008</v>
      </c>
      <c r="I126" s="71">
        <f t="shared" si="0"/>
        <v>76.271360000000016</v>
      </c>
      <c r="J126" s="71">
        <f t="shared" si="0"/>
        <v>100</v>
      </c>
    </row>
    <row r="127" spans="1:10" ht="20.100000000000001" customHeight="1" x14ac:dyDescent="0.25">
      <c r="A127" s="70">
        <f t="shared" si="1"/>
        <v>0.1</v>
      </c>
      <c r="B127" s="71">
        <f t="shared" si="2"/>
        <v>5.5000000000000009</v>
      </c>
      <c r="C127" s="71">
        <f t="shared" si="3"/>
        <v>5.8024000000000004</v>
      </c>
      <c r="D127" s="71">
        <f t="shared" si="0"/>
        <v>7.8814000000000011</v>
      </c>
      <c r="E127" s="71">
        <f t="shared" si="0"/>
        <v>13.145050000000001</v>
      </c>
      <c r="F127" s="71">
        <f t="shared" si="0"/>
        <v>22.604500000000002</v>
      </c>
      <c r="G127" s="71">
        <f t="shared" si="0"/>
        <v>36.874000000000002</v>
      </c>
      <c r="H127" s="71">
        <f t="shared" si="0"/>
        <v>55.207000000000001</v>
      </c>
      <c r="I127" s="71">
        <f t="shared" si="0"/>
        <v>76.564000000000007</v>
      </c>
      <c r="J127" s="71">
        <f t="shared" si="0"/>
        <v>100</v>
      </c>
    </row>
    <row r="128" spans="1:10" ht="20.100000000000001" customHeight="1" x14ac:dyDescent="0.25">
      <c r="A128" s="70">
        <f t="shared" si="1"/>
        <v>0.12000000000000001</v>
      </c>
      <c r="B128" s="71">
        <f t="shared" si="2"/>
        <v>6.7200000000000006</v>
      </c>
      <c r="C128" s="71">
        <f t="shared" si="3"/>
        <v>7.0184960000000007</v>
      </c>
      <c r="D128" s="71">
        <f t="shared" si="0"/>
        <v>9.0706560000000014</v>
      </c>
      <c r="E128" s="71">
        <f t="shared" si="0"/>
        <v>14.266352000000001</v>
      </c>
      <c r="F128" s="71">
        <f t="shared" si="0"/>
        <v>23.603680000000004</v>
      </c>
      <c r="G128" s="71">
        <f t="shared" si="0"/>
        <v>37.688960000000002</v>
      </c>
      <c r="H128" s="71">
        <f t="shared" si="0"/>
        <v>55.78528</v>
      </c>
      <c r="I128" s="71">
        <f t="shared" si="0"/>
        <v>76.866559999999993</v>
      </c>
      <c r="J128" s="71">
        <f t="shared" si="0"/>
        <v>100</v>
      </c>
    </row>
    <row r="129" spans="1:10" ht="20.100000000000001" customHeight="1" x14ac:dyDescent="0.25">
      <c r="A129" s="70">
        <f t="shared" si="1"/>
        <v>0.14000000000000001</v>
      </c>
      <c r="B129" s="71">
        <f t="shared" si="2"/>
        <v>7.9800000000000013</v>
      </c>
      <c r="C129" s="71">
        <f t="shared" si="3"/>
        <v>8.2744640000000018</v>
      </c>
      <c r="D129" s="71">
        <f t="shared" si="0"/>
        <v>10.298904</v>
      </c>
      <c r="E129" s="71">
        <f t="shared" si="0"/>
        <v>15.424418000000001</v>
      </c>
      <c r="F129" s="71">
        <f t="shared" si="0"/>
        <v>24.635620000000003</v>
      </c>
      <c r="G129" s="71">
        <f t="shared" si="0"/>
        <v>38.530640000000005</v>
      </c>
      <c r="H129" s="71">
        <f t="shared" si="0"/>
        <v>56.38252</v>
      </c>
      <c r="I129" s="71">
        <f t="shared" si="0"/>
        <v>77.179040000000001</v>
      </c>
      <c r="J129" s="71">
        <f t="shared" si="0"/>
        <v>100</v>
      </c>
    </row>
    <row r="130" spans="1:10" ht="20.100000000000001" customHeight="1" x14ac:dyDescent="0.25">
      <c r="A130" s="70">
        <f t="shared" si="1"/>
        <v>0.16</v>
      </c>
      <c r="B130" s="71">
        <f t="shared" si="2"/>
        <v>9.2800000000000011</v>
      </c>
      <c r="C130" s="71">
        <f t="shared" si="3"/>
        <v>9.5703040000000019</v>
      </c>
      <c r="D130" s="71">
        <f t="shared" si="0"/>
        <v>11.566144000000001</v>
      </c>
      <c r="E130" s="71">
        <f t="shared" si="0"/>
        <v>16.619248000000002</v>
      </c>
      <c r="F130" s="71">
        <f t="shared" si="0"/>
        <v>25.700320000000001</v>
      </c>
      <c r="G130" s="71">
        <f t="shared" si="0"/>
        <v>39.399039999999999</v>
      </c>
      <c r="H130" s="71">
        <f t="shared" si="0"/>
        <v>56.998720000000006</v>
      </c>
      <c r="I130" s="71">
        <f t="shared" si="0"/>
        <v>77.501440000000002</v>
      </c>
      <c r="J130" s="71">
        <f t="shared" si="0"/>
        <v>100</v>
      </c>
    </row>
    <row r="131" spans="1:10" ht="20.100000000000001" customHeight="1" x14ac:dyDescent="0.25">
      <c r="A131" s="70">
        <f t="shared" si="1"/>
        <v>0.18</v>
      </c>
      <c r="B131" s="71">
        <f t="shared" si="2"/>
        <v>10.62</v>
      </c>
      <c r="C131" s="71">
        <f t="shared" si="3"/>
        <v>10.906015999999999</v>
      </c>
      <c r="D131" s="71">
        <f t="shared" si="0"/>
        <v>12.872375999999999</v>
      </c>
      <c r="E131" s="71">
        <f t="shared" si="0"/>
        <v>17.850842</v>
      </c>
      <c r="F131" s="71">
        <f t="shared" si="0"/>
        <v>26.797779999999996</v>
      </c>
      <c r="G131" s="71">
        <f t="shared" si="0"/>
        <v>40.294159999999998</v>
      </c>
      <c r="H131" s="71">
        <f t="shared" si="0"/>
        <v>57.633879999999998</v>
      </c>
      <c r="I131" s="71">
        <f t="shared" si="0"/>
        <v>77.833760000000012</v>
      </c>
      <c r="J131" s="71">
        <f t="shared" si="0"/>
        <v>100</v>
      </c>
    </row>
    <row r="132" spans="1:10" ht="20.100000000000001" customHeight="1" x14ac:dyDescent="0.25">
      <c r="A132" s="70">
        <f t="shared" si="1"/>
        <v>0.19999999999999998</v>
      </c>
      <c r="B132" s="71">
        <f t="shared" si="2"/>
        <v>12</v>
      </c>
      <c r="C132" s="71">
        <f t="shared" si="3"/>
        <v>12.281599999999999</v>
      </c>
      <c r="D132" s="71">
        <f t="shared" si="0"/>
        <v>14.217600000000001</v>
      </c>
      <c r="E132" s="71">
        <f t="shared" si="0"/>
        <v>19.119199999999999</v>
      </c>
      <c r="F132" s="71">
        <f t="shared" si="0"/>
        <v>27.928000000000004</v>
      </c>
      <c r="G132" s="71">
        <f t="shared" si="0"/>
        <v>41.216000000000008</v>
      </c>
      <c r="H132" s="71">
        <f t="shared" si="0"/>
        <v>58.288000000000004</v>
      </c>
      <c r="I132" s="71">
        <f t="shared" si="0"/>
        <v>78.176000000000002</v>
      </c>
      <c r="J132" s="71">
        <f t="shared" si="0"/>
        <v>100</v>
      </c>
    </row>
    <row r="133" spans="1:10" ht="20.100000000000001" customHeight="1" x14ac:dyDescent="0.25">
      <c r="A133" s="70">
        <f t="shared" si="1"/>
        <v>0.21999999999999997</v>
      </c>
      <c r="B133" s="71">
        <f t="shared" si="2"/>
        <v>13.419999999999998</v>
      </c>
      <c r="C133" s="71">
        <f t="shared" si="3"/>
        <v>13.697055999999998</v>
      </c>
      <c r="D133" s="71">
        <f t="shared" si="0"/>
        <v>15.601815999999998</v>
      </c>
      <c r="E133" s="71">
        <f t="shared" si="0"/>
        <v>20.424321999999997</v>
      </c>
      <c r="F133" s="71">
        <f t="shared" si="0"/>
        <v>29.090980000000002</v>
      </c>
      <c r="G133" s="71">
        <f t="shared" si="0"/>
        <v>42.164559999999994</v>
      </c>
      <c r="H133" s="71">
        <f t="shared" si="0"/>
        <v>58.961079999999995</v>
      </c>
      <c r="I133" s="71">
        <f t="shared" si="0"/>
        <v>78.52816</v>
      </c>
      <c r="J133" s="71">
        <f t="shared" si="0"/>
        <v>100</v>
      </c>
    </row>
    <row r="134" spans="1:10" ht="20.100000000000001" customHeight="1" x14ac:dyDescent="0.25">
      <c r="A134" s="70">
        <f t="shared" si="1"/>
        <v>0.23999999999999996</v>
      </c>
      <c r="B134" s="71">
        <f t="shared" si="2"/>
        <v>14.879999999999999</v>
      </c>
      <c r="C134" s="71">
        <f t="shared" si="3"/>
        <v>15.152384</v>
      </c>
      <c r="D134" s="71">
        <f t="shared" si="0"/>
        <v>17.025023999999998</v>
      </c>
      <c r="E134" s="71">
        <f t="shared" si="0"/>
        <v>21.766207999999999</v>
      </c>
      <c r="F134" s="71">
        <f t="shared" si="0"/>
        <v>30.286720000000003</v>
      </c>
      <c r="G134" s="71">
        <f t="shared" si="0"/>
        <v>43.139840000000007</v>
      </c>
      <c r="H134" s="71">
        <f t="shared" si="0"/>
        <v>59.653120000000001</v>
      </c>
      <c r="I134" s="71">
        <f t="shared" si="0"/>
        <v>78.890240000000006</v>
      </c>
      <c r="J134" s="71">
        <f t="shared" si="0"/>
        <v>100</v>
      </c>
    </row>
    <row r="135" spans="1:10" ht="20.100000000000001" customHeight="1" x14ac:dyDescent="0.25">
      <c r="A135" s="70">
        <f t="shared" si="1"/>
        <v>0.25999999999999995</v>
      </c>
      <c r="B135" s="71">
        <f t="shared" si="2"/>
        <v>16.38</v>
      </c>
      <c r="C135" s="71">
        <f t="shared" si="3"/>
        <v>16.647583999999998</v>
      </c>
      <c r="D135" s="71">
        <f t="shared" si="0"/>
        <v>18.487223999999998</v>
      </c>
      <c r="E135" s="71">
        <f t="shared" si="0"/>
        <v>23.144857999999999</v>
      </c>
      <c r="F135" s="71">
        <f t="shared" si="0"/>
        <v>31.515219999999999</v>
      </c>
      <c r="G135" s="71">
        <f t="shared" si="0"/>
        <v>44.141840000000002</v>
      </c>
      <c r="H135" s="71">
        <f t="shared" si="0"/>
        <v>60.36412</v>
      </c>
      <c r="I135" s="71">
        <f t="shared" si="0"/>
        <v>79.262240000000006</v>
      </c>
      <c r="J135" s="71">
        <f t="shared" si="0"/>
        <v>100</v>
      </c>
    </row>
    <row r="136" spans="1:10" ht="20.100000000000001" customHeight="1" x14ac:dyDescent="0.25">
      <c r="A136" s="70">
        <f t="shared" si="1"/>
        <v>0.27999999999999997</v>
      </c>
      <c r="B136" s="71">
        <f t="shared" si="2"/>
        <v>17.919999999999998</v>
      </c>
      <c r="C136" s="71">
        <f t="shared" si="3"/>
        <v>18.182655999999998</v>
      </c>
      <c r="D136" s="71">
        <f t="shared" si="0"/>
        <v>19.988415999999997</v>
      </c>
      <c r="E136" s="71">
        <f t="shared" si="0"/>
        <v>24.560271999999998</v>
      </c>
      <c r="F136" s="71">
        <f t="shared" si="0"/>
        <v>32.776479999999999</v>
      </c>
      <c r="G136" s="71">
        <f t="shared" si="0"/>
        <v>45.170559999999995</v>
      </c>
      <c r="H136" s="71">
        <f t="shared" si="0"/>
        <v>61.094080000000005</v>
      </c>
      <c r="I136" s="71">
        <f t="shared" si="0"/>
        <v>79.644159999999999</v>
      </c>
      <c r="J136" s="71">
        <f t="shared" si="0"/>
        <v>100</v>
      </c>
    </row>
    <row r="137" spans="1:10" ht="20.100000000000001" customHeight="1" x14ac:dyDescent="0.25">
      <c r="A137" s="70">
        <f t="shared" si="1"/>
        <v>0.3</v>
      </c>
      <c r="B137" s="71">
        <f t="shared" si="2"/>
        <v>19.5</v>
      </c>
      <c r="C137" s="71">
        <f t="shared" si="3"/>
        <v>19.7576</v>
      </c>
      <c r="D137" s="71">
        <f t="shared" si="0"/>
        <v>21.528600000000001</v>
      </c>
      <c r="E137" s="71">
        <f t="shared" si="0"/>
        <v>26.012450000000001</v>
      </c>
      <c r="F137" s="71">
        <f t="shared" si="0"/>
        <v>34.070500000000003</v>
      </c>
      <c r="G137" s="71">
        <f t="shared" si="0"/>
        <v>46.225999999999999</v>
      </c>
      <c r="H137" s="71">
        <f t="shared" si="0"/>
        <v>61.843000000000004</v>
      </c>
      <c r="I137" s="71">
        <f t="shared" si="0"/>
        <v>80.036000000000001</v>
      </c>
      <c r="J137" s="71">
        <f t="shared" si="0"/>
        <v>100</v>
      </c>
    </row>
    <row r="138" spans="1:10" ht="20.100000000000001" customHeight="1" x14ac:dyDescent="0.25">
      <c r="A138" s="70">
        <f t="shared" si="1"/>
        <v>0.32</v>
      </c>
      <c r="B138" s="71">
        <f t="shared" si="2"/>
        <v>21.12</v>
      </c>
      <c r="C138" s="71">
        <f t="shared" si="3"/>
        <v>21.372416000000001</v>
      </c>
      <c r="D138" s="71">
        <f t="shared" si="0"/>
        <v>23.107776000000001</v>
      </c>
      <c r="E138" s="71">
        <f t="shared" si="0"/>
        <v>27.501392000000003</v>
      </c>
      <c r="F138" s="71">
        <f t="shared" si="0"/>
        <v>35.397280000000002</v>
      </c>
      <c r="G138" s="71">
        <f t="shared" si="0"/>
        <v>47.308160000000001</v>
      </c>
      <c r="H138" s="71">
        <f t="shared" si="0"/>
        <v>62.610879999999995</v>
      </c>
      <c r="I138" s="71">
        <f t="shared" si="0"/>
        <v>80.437759999999997</v>
      </c>
      <c r="J138" s="71">
        <f t="shared" si="0"/>
        <v>100</v>
      </c>
    </row>
    <row r="139" spans="1:10" ht="20.100000000000001" customHeight="1" x14ac:dyDescent="0.25">
      <c r="A139" s="70">
        <f t="shared" si="1"/>
        <v>0.34</v>
      </c>
      <c r="B139" s="71">
        <f t="shared" si="2"/>
        <v>22.780000000000005</v>
      </c>
      <c r="C139" s="71">
        <f t="shared" si="3"/>
        <v>23.027104000000005</v>
      </c>
      <c r="D139" s="71">
        <f t="shared" si="3"/>
        <v>24.725944000000005</v>
      </c>
      <c r="E139" s="71">
        <f t="shared" si="3"/>
        <v>29.027098000000002</v>
      </c>
      <c r="F139" s="71">
        <f t="shared" si="3"/>
        <v>36.756820000000005</v>
      </c>
      <c r="G139" s="71">
        <f t="shared" si="3"/>
        <v>48.417040000000007</v>
      </c>
      <c r="H139" s="71">
        <f t="shared" si="3"/>
        <v>63.397720000000007</v>
      </c>
      <c r="I139" s="71">
        <f t="shared" si="3"/>
        <v>80.849440000000016</v>
      </c>
      <c r="J139" s="71">
        <f t="shared" si="3"/>
        <v>100</v>
      </c>
    </row>
    <row r="140" spans="1:10" ht="20.100000000000001" customHeight="1" x14ac:dyDescent="0.25">
      <c r="A140" s="70">
        <f t="shared" si="1"/>
        <v>0.36000000000000004</v>
      </c>
      <c r="B140" s="71">
        <f t="shared" si="2"/>
        <v>24.48</v>
      </c>
      <c r="C140" s="71">
        <f t="shared" si="3"/>
        <v>24.721664000000001</v>
      </c>
      <c r="D140" s="71">
        <f t="shared" si="3"/>
        <v>26.383103999999999</v>
      </c>
      <c r="E140" s="71">
        <f t="shared" si="3"/>
        <v>30.589568</v>
      </c>
      <c r="F140" s="71">
        <f t="shared" si="3"/>
        <v>38.149119999999996</v>
      </c>
      <c r="G140" s="71">
        <f t="shared" si="3"/>
        <v>49.552639999999997</v>
      </c>
      <c r="H140" s="71">
        <f t="shared" si="3"/>
        <v>64.203519999999997</v>
      </c>
      <c r="I140" s="71">
        <f t="shared" si="3"/>
        <v>81.271039999999999</v>
      </c>
      <c r="J140" s="71">
        <f t="shared" si="3"/>
        <v>100</v>
      </c>
    </row>
    <row r="141" spans="1:10" ht="20.100000000000001" customHeight="1" x14ac:dyDescent="0.25">
      <c r="A141" s="70">
        <f t="shared" si="1"/>
        <v>0.38000000000000006</v>
      </c>
      <c r="B141" s="71">
        <f t="shared" si="2"/>
        <v>26.220000000000006</v>
      </c>
      <c r="C141" s="71">
        <f t="shared" si="3"/>
        <v>26.456096000000006</v>
      </c>
      <c r="D141" s="71">
        <f t="shared" si="3"/>
        <v>28.079256000000004</v>
      </c>
      <c r="E141" s="71">
        <f t="shared" si="3"/>
        <v>32.188802000000003</v>
      </c>
      <c r="F141" s="71">
        <f t="shared" si="3"/>
        <v>39.574180000000005</v>
      </c>
      <c r="G141" s="71">
        <f t="shared" si="3"/>
        <v>50.714960000000005</v>
      </c>
      <c r="H141" s="71">
        <f t="shared" si="3"/>
        <v>65.028279999999995</v>
      </c>
      <c r="I141" s="71">
        <f t="shared" si="3"/>
        <v>81.702560000000005</v>
      </c>
      <c r="J141" s="71">
        <f t="shared" si="3"/>
        <v>100</v>
      </c>
    </row>
    <row r="142" spans="1:10" ht="20.100000000000001" customHeight="1" x14ac:dyDescent="0.25">
      <c r="A142" s="70">
        <f t="shared" si="1"/>
        <v>0.40000000000000008</v>
      </c>
      <c r="B142" s="71">
        <f t="shared" si="2"/>
        <v>28.000000000000007</v>
      </c>
      <c r="C142" s="71">
        <f t="shared" si="3"/>
        <v>28.230400000000007</v>
      </c>
      <c r="D142" s="71">
        <f t="shared" si="3"/>
        <v>29.814400000000006</v>
      </c>
      <c r="E142" s="71">
        <f t="shared" si="3"/>
        <v>33.82480000000001</v>
      </c>
      <c r="F142" s="71">
        <f t="shared" si="3"/>
        <v>41.032000000000011</v>
      </c>
      <c r="G142" s="71">
        <f t="shared" si="3"/>
        <v>51.904000000000011</v>
      </c>
      <c r="H142" s="71">
        <f t="shared" si="3"/>
        <v>65.872000000000014</v>
      </c>
      <c r="I142" s="71">
        <f t="shared" si="3"/>
        <v>82.144000000000005</v>
      </c>
      <c r="J142" s="71">
        <f t="shared" si="3"/>
        <v>100</v>
      </c>
    </row>
    <row r="143" spans="1:10" ht="20.100000000000001" customHeight="1" x14ac:dyDescent="0.25">
      <c r="A143" s="70">
        <f t="shared" si="1"/>
        <v>0.4200000000000001</v>
      </c>
      <c r="B143" s="71">
        <f t="shared" si="2"/>
        <v>29.820000000000007</v>
      </c>
      <c r="C143" s="71">
        <f t="shared" si="3"/>
        <v>30.044576000000006</v>
      </c>
      <c r="D143" s="71">
        <f t="shared" si="3"/>
        <v>31.588536000000008</v>
      </c>
      <c r="E143" s="71">
        <f t="shared" si="3"/>
        <v>35.497562000000009</v>
      </c>
      <c r="F143" s="71">
        <f t="shared" si="3"/>
        <v>42.522580000000005</v>
      </c>
      <c r="G143" s="71">
        <f t="shared" si="3"/>
        <v>53.119760000000014</v>
      </c>
      <c r="H143" s="71">
        <f t="shared" si="3"/>
        <v>66.734679999999997</v>
      </c>
      <c r="I143" s="71">
        <f t="shared" si="3"/>
        <v>82.595359999999999</v>
      </c>
      <c r="J143" s="71">
        <f t="shared" si="3"/>
        <v>100</v>
      </c>
    </row>
    <row r="144" spans="1:10" ht="20.100000000000001" customHeight="1" x14ac:dyDescent="0.25">
      <c r="A144" s="70">
        <f t="shared" si="1"/>
        <v>0.44000000000000011</v>
      </c>
      <c r="B144" s="71">
        <f t="shared" si="2"/>
        <v>31.680000000000007</v>
      </c>
      <c r="C144" s="71">
        <f t="shared" si="3"/>
        <v>31.898624000000005</v>
      </c>
      <c r="D144" s="71">
        <f t="shared" si="3"/>
        <v>33.401664000000004</v>
      </c>
      <c r="E144" s="71">
        <f t="shared" si="3"/>
        <v>37.207088000000006</v>
      </c>
      <c r="F144" s="71">
        <f t="shared" si="3"/>
        <v>44.04592000000001</v>
      </c>
      <c r="G144" s="71">
        <f t="shared" si="3"/>
        <v>54.362240000000007</v>
      </c>
      <c r="H144" s="71">
        <f t="shared" si="3"/>
        <v>67.616320000000002</v>
      </c>
      <c r="I144" s="71">
        <f t="shared" si="3"/>
        <v>83.056640000000002</v>
      </c>
      <c r="J144" s="71">
        <f t="shared" si="3"/>
        <v>100</v>
      </c>
    </row>
    <row r="145" spans="1:10" ht="20.100000000000001" customHeight="1" x14ac:dyDescent="0.25">
      <c r="A145" s="70">
        <f t="shared" si="1"/>
        <v>0.46000000000000013</v>
      </c>
      <c r="B145" s="71">
        <f t="shared" si="2"/>
        <v>33.580000000000013</v>
      </c>
      <c r="C145" s="71">
        <f t="shared" si="3"/>
        <v>33.792544000000014</v>
      </c>
      <c r="D145" s="71">
        <f t="shared" si="3"/>
        <v>35.25378400000001</v>
      </c>
      <c r="E145" s="71">
        <f t="shared" si="3"/>
        <v>38.953378000000015</v>
      </c>
      <c r="F145" s="71">
        <f t="shared" si="3"/>
        <v>45.60202000000001</v>
      </c>
      <c r="G145" s="71">
        <f t="shared" si="3"/>
        <v>55.631440000000012</v>
      </c>
      <c r="H145" s="71">
        <f t="shared" si="3"/>
        <v>68.516919999999999</v>
      </c>
      <c r="I145" s="71">
        <f t="shared" si="3"/>
        <v>83.527840000000012</v>
      </c>
      <c r="J145" s="71">
        <f t="shared" si="3"/>
        <v>100</v>
      </c>
    </row>
    <row r="146" spans="1:10" ht="20.100000000000001" customHeight="1" x14ac:dyDescent="0.25">
      <c r="A146" s="70">
        <f t="shared" si="1"/>
        <v>0.48000000000000015</v>
      </c>
      <c r="B146" s="71">
        <f t="shared" si="2"/>
        <v>35.52000000000001</v>
      </c>
      <c r="C146" s="71">
        <f t="shared" si="3"/>
        <v>35.726336000000011</v>
      </c>
      <c r="D146" s="71">
        <f t="shared" si="3"/>
        <v>37.14489600000001</v>
      </c>
      <c r="E146" s="71">
        <f t="shared" si="3"/>
        <v>40.736432000000008</v>
      </c>
      <c r="F146" s="71">
        <f t="shared" si="3"/>
        <v>47.190880000000007</v>
      </c>
      <c r="G146" s="71">
        <f t="shared" si="3"/>
        <v>56.927360000000007</v>
      </c>
      <c r="H146" s="71">
        <f t="shared" si="3"/>
        <v>69.436480000000017</v>
      </c>
      <c r="I146" s="71">
        <f t="shared" si="3"/>
        <v>84.008960000000002</v>
      </c>
      <c r="J146" s="71">
        <f t="shared" si="3"/>
        <v>100</v>
      </c>
    </row>
    <row r="147" spans="1:10" ht="20.100000000000001" customHeight="1" x14ac:dyDescent="0.25">
      <c r="A147" s="70">
        <f t="shared" si="1"/>
        <v>0.50000000000000011</v>
      </c>
      <c r="B147" s="71">
        <f t="shared" si="2"/>
        <v>37.500000000000014</v>
      </c>
      <c r="C147" s="71">
        <f t="shared" si="3"/>
        <v>37.700000000000017</v>
      </c>
      <c r="D147" s="71">
        <f t="shared" si="3"/>
        <v>39.075000000000017</v>
      </c>
      <c r="E147" s="71">
        <f t="shared" si="3"/>
        <v>42.556250000000013</v>
      </c>
      <c r="F147" s="71">
        <f t="shared" si="3"/>
        <v>48.812500000000014</v>
      </c>
      <c r="G147" s="71">
        <f t="shared" si="3"/>
        <v>58.250000000000014</v>
      </c>
      <c r="H147" s="71">
        <f t="shared" si="3"/>
        <v>70.375</v>
      </c>
      <c r="I147" s="71">
        <f t="shared" si="3"/>
        <v>84.5</v>
      </c>
      <c r="J147" s="71">
        <f t="shared" si="3"/>
        <v>100</v>
      </c>
    </row>
    <row r="148" spans="1:10" ht="20.100000000000001" customHeight="1" x14ac:dyDescent="0.25">
      <c r="A148" s="70">
        <f t="shared" si="1"/>
        <v>0.52000000000000013</v>
      </c>
      <c r="B148" s="71">
        <f t="shared" si="2"/>
        <v>39.52000000000001</v>
      </c>
      <c r="C148" s="71">
        <f t="shared" si="3"/>
        <v>39.713536000000012</v>
      </c>
      <c r="D148" s="71">
        <f t="shared" si="3"/>
        <v>41.04409600000001</v>
      </c>
      <c r="E148" s="71">
        <f t="shared" si="3"/>
        <v>44.412832000000009</v>
      </c>
      <c r="F148" s="71">
        <f t="shared" si="3"/>
        <v>50.46688000000001</v>
      </c>
      <c r="G148" s="71">
        <f t="shared" si="3"/>
        <v>59.599360000000004</v>
      </c>
      <c r="H148" s="71">
        <f t="shared" si="3"/>
        <v>71.332480000000004</v>
      </c>
      <c r="I148" s="71">
        <f t="shared" si="3"/>
        <v>85.000960000000006</v>
      </c>
      <c r="J148" s="71">
        <f t="shared" si="3"/>
        <v>100</v>
      </c>
    </row>
    <row r="149" spans="1:10" ht="20.100000000000001" customHeight="1" x14ac:dyDescent="0.25">
      <c r="A149" s="70">
        <f t="shared" si="1"/>
        <v>0.54000000000000015</v>
      </c>
      <c r="B149" s="71">
        <f t="shared" si="2"/>
        <v>41.58000000000002</v>
      </c>
      <c r="C149" s="71">
        <f t="shared" si="3"/>
        <v>41.766944000000017</v>
      </c>
      <c r="D149" s="71">
        <f t="shared" si="3"/>
        <v>43.052184000000018</v>
      </c>
      <c r="E149" s="71">
        <f t="shared" si="3"/>
        <v>46.306178000000017</v>
      </c>
      <c r="F149" s="71">
        <f t="shared" si="3"/>
        <v>52.154020000000017</v>
      </c>
      <c r="G149" s="71">
        <f t="shared" si="3"/>
        <v>60.975440000000013</v>
      </c>
      <c r="H149" s="71">
        <f t="shared" si="3"/>
        <v>72.308920000000001</v>
      </c>
      <c r="I149" s="71">
        <f t="shared" si="3"/>
        <v>85.511840000000007</v>
      </c>
      <c r="J149" s="71">
        <f t="shared" si="3"/>
        <v>100</v>
      </c>
    </row>
    <row r="150" spans="1:10" ht="20.100000000000001" customHeight="1" x14ac:dyDescent="0.25">
      <c r="A150" s="70">
        <f t="shared" si="1"/>
        <v>0.56000000000000016</v>
      </c>
      <c r="B150" s="71">
        <f t="shared" si="2"/>
        <v>43.680000000000021</v>
      </c>
      <c r="C150" s="71">
        <f t="shared" si="3"/>
        <v>43.860224000000024</v>
      </c>
      <c r="D150" s="71">
        <f t="shared" si="3"/>
        <v>45.099264000000019</v>
      </c>
      <c r="E150" s="71">
        <f t="shared" si="3"/>
        <v>48.236288000000016</v>
      </c>
      <c r="F150" s="71">
        <f t="shared" si="3"/>
        <v>53.87392000000002</v>
      </c>
      <c r="G150" s="71">
        <f t="shared" si="3"/>
        <v>62.378240000000019</v>
      </c>
      <c r="H150" s="71">
        <f t="shared" si="3"/>
        <v>73.304320000000018</v>
      </c>
      <c r="I150" s="71">
        <f t="shared" si="3"/>
        <v>86.032640000000001</v>
      </c>
      <c r="J150" s="71">
        <f t="shared" si="3"/>
        <v>100</v>
      </c>
    </row>
    <row r="151" spans="1:10" ht="20.100000000000001" customHeight="1" x14ac:dyDescent="0.25">
      <c r="A151" s="70">
        <f t="shared" si="1"/>
        <v>0.58000000000000018</v>
      </c>
      <c r="B151" s="71">
        <f t="shared" si="2"/>
        <v>45.820000000000014</v>
      </c>
      <c r="C151" s="71">
        <f t="shared" si="3"/>
        <v>45.993376000000012</v>
      </c>
      <c r="D151" s="71">
        <f t="shared" si="3"/>
        <v>47.185336000000014</v>
      </c>
      <c r="E151" s="71">
        <f t="shared" si="3"/>
        <v>50.203162000000013</v>
      </c>
      <c r="F151" s="71">
        <f t="shared" si="3"/>
        <v>55.626580000000011</v>
      </c>
      <c r="G151" s="71">
        <f t="shared" si="3"/>
        <v>63.807760000000009</v>
      </c>
      <c r="H151" s="71">
        <f t="shared" si="3"/>
        <v>74.318680000000001</v>
      </c>
      <c r="I151" s="71">
        <f t="shared" si="3"/>
        <v>86.563360000000003</v>
      </c>
      <c r="J151" s="71">
        <f t="shared" si="3"/>
        <v>100</v>
      </c>
    </row>
    <row r="152" spans="1:10" ht="20.100000000000001" customHeight="1" x14ac:dyDescent="0.25">
      <c r="A152" s="70">
        <f t="shared" si="1"/>
        <v>0.6000000000000002</v>
      </c>
      <c r="B152" s="71">
        <f t="shared" si="2"/>
        <v>48.000000000000021</v>
      </c>
      <c r="C152" s="71">
        <f t="shared" si="3"/>
        <v>48.166400000000024</v>
      </c>
      <c r="D152" s="71">
        <f t="shared" si="3"/>
        <v>49.310400000000023</v>
      </c>
      <c r="E152" s="71">
        <f t="shared" si="3"/>
        <v>52.206800000000023</v>
      </c>
      <c r="F152" s="71">
        <f t="shared" si="3"/>
        <v>57.41200000000002</v>
      </c>
      <c r="G152" s="71">
        <f t="shared" si="3"/>
        <v>65.26400000000001</v>
      </c>
      <c r="H152" s="71">
        <f t="shared" si="3"/>
        <v>75.352000000000004</v>
      </c>
      <c r="I152" s="71">
        <f t="shared" si="3"/>
        <v>87.104000000000013</v>
      </c>
      <c r="J152" s="71">
        <f t="shared" si="3"/>
        <v>100</v>
      </c>
    </row>
    <row r="153" spans="1:10" ht="20.100000000000001" customHeight="1" x14ac:dyDescent="0.25">
      <c r="A153" s="70">
        <f t="shared" si="1"/>
        <v>0.62000000000000022</v>
      </c>
      <c r="B153" s="71">
        <f t="shared" si="2"/>
        <v>50.22000000000002</v>
      </c>
      <c r="C153" s="71">
        <f t="shared" si="3"/>
        <v>50.379296000000018</v>
      </c>
      <c r="D153" s="71">
        <f t="shared" si="3"/>
        <v>51.474456000000018</v>
      </c>
      <c r="E153" s="71">
        <f t="shared" si="3"/>
        <v>54.247202000000016</v>
      </c>
      <c r="F153" s="71">
        <f t="shared" si="3"/>
        <v>59.230180000000018</v>
      </c>
      <c r="G153" s="71">
        <f t="shared" si="3"/>
        <v>66.746960000000016</v>
      </c>
      <c r="H153" s="71">
        <f t="shared" si="3"/>
        <v>76.404280000000014</v>
      </c>
      <c r="I153" s="71">
        <f t="shared" si="3"/>
        <v>87.654560000000004</v>
      </c>
      <c r="J153" s="71">
        <f t="shared" si="3"/>
        <v>100</v>
      </c>
    </row>
    <row r="154" spans="1:10" ht="20.100000000000001" customHeight="1" x14ac:dyDescent="0.25">
      <c r="A154" s="70">
        <f t="shared" si="1"/>
        <v>0.64000000000000024</v>
      </c>
      <c r="B154" s="71">
        <f t="shared" si="2"/>
        <v>52.480000000000025</v>
      </c>
      <c r="C154" s="71">
        <f t="shared" si="3"/>
        <v>52.632064000000028</v>
      </c>
      <c r="D154" s="71">
        <f t="shared" si="3"/>
        <v>53.677504000000027</v>
      </c>
      <c r="E154" s="71">
        <f t="shared" si="3"/>
        <v>56.324368000000021</v>
      </c>
      <c r="F154" s="71">
        <f t="shared" si="3"/>
        <v>61.08112000000002</v>
      </c>
      <c r="G154" s="71">
        <f t="shared" si="3"/>
        <v>68.256640000000019</v>
      </c>
      <c r="H154" s="71">
        <f t="shared" si="3"/>
        <v>77.475520000000017</v>
      </c>
      <c r="I154" s="71">
        <f t="shared" si="3"/>
        <v>88.215040000000016</v>
      </c>
      <c r="J154" s="71">
        <f t="shared" si="3"/>
        <v>100</v>
      </c>
    </row>
    <row r="155" spans="1:10" ht="20.100000000000001" customHeight="1" x14ac:dyDescent="0.25">
      <c r="A155" s="70">
        <f t="shared" si="1"/>
        <v>0.66000000000000025</v>
      </c>
      <c r="B155" s="71">
        <f t="shared" si="2"/>
        <v>54.78000000000003</v>
      </c>
      <c r="C155" s="71">
        <f t="shared" si="3"/>
        <v>54.924704000000027</v>
      </c>
      <c r="D155" s="71">
        <f t="shared" si="3"/>
        <v>55.91954400000003</v>
      </c>
      <c r="E155" s="71">
        <f t="shared" si="3"/>
        <v>58.438298000000025</v>
      </c>
      <c r="F155" s="71">
        <f t="shared" si="3"/>
        <v>62.964820000000024</v>
      </c>
      <c r="G155" s="71">
        <f t="shared" si="3"/>
        <v>69.793040000000019</v>
      </c>
      <c r="H155" s="71">
        <f t="shared" si="3"/>
        <v>78.565720000000013</v>
      </c>
      <c r="I155" s="71">
        <f t="shared" si="3"/>
        <v>88.785440000000008</v>
      </c>
      <c r="J155" s="71">
        <f t="shared" si="3"/>
        <v>100</v>
      </c>
    </row>
    <row r="156" spans="1:10" ht="20.100000000000001" customHeight="1" x14ac:dyDescent="0.25">
      <c r="A156" s="70">
        <f t="shared" si="1"/>
        <v>0.68000000000000027</v>
      </c>
      <c r="B156" s="71">
        <f t="shared" si="2"/>
        <v>57.12000000000004</v>
      </c>
      <c r="C156" s="71">
        <f t="shared" ref="C156:J172" si="4">$B156+((100-$B156)*C$122/100)</f>
        <v>57.257216000000042</v>
      </c>
      <c r="D156" s="71">
        <f t="shared" si="4"/>
        <v>58.200576000000041</v>
      </c>
      <c r="E156" s="71">
        <f t="shared" si="4"/>
        <v>60.588992000000033</v>
      </c>
      <c r="F156" s="71">
        <f t="shared" si="4"/>
        <v>64.881280000000032</v>
      </c>
      <c r="G156" s="71">
        <f t="shared" si="4"/>
        <v>71.356160000000031</v>
      </c>
      <c r="H156" s="71">
        <f t="shared" si="4"/>
        <v>79.674880000000016</v>
      </c>
      <c r="I156" s="71">
        <f t="shared" si="4"/>
        <v>89.365760000000023</v>
      </c>
      <c r="J156" s="71">
        <f t="shared" si="4"/>
        <v>100</v>
      </c>
    </row>
    <row r="157" spans="1:10" ht="20.100000000000001" customHeight="1" x14ac:dyDescent="0.25">
      <c r="A157" s="70">
        <f t="shared" si="1"/>
        <v>0.70000000000000029</v>
      </c>
      <c r="B157" s="71">
        <f t="shared" si="2"/>
        <v>59.500000000000028</v>
      </c>
      <c r="C157" s="71">
        <f t="shared" si="4"/>
        <v>59.629600000000025</v>
      </c>
      <c r="D157" s="71">
        <f t="shared" si="4"/>
        <v>60.52060000000003</v>
      </c>
      <c r="E157" s="71">
        <f t="shared" si="4"/>
        <v>62.776450000000025</v>
      </c>
      <c r="F157" s="71">
        <f t="shared" si="4"/>
        <v>66.830500000000029</v>
      </c>
      <c r="G157" s="71">
        <f t="shared" si="4"/>
        <v>72.946000000000026</v>
      </c>
      <c r="H157" s="71">
        <f t="shared" si="4"/>
        <v>80.803000000000011</v>
      </c>
      <c r="I157" s="71">
        <f t="shared" si="4"/>
        <v>89.956000000000017</v>
      </c>
      <c r="J157" s="71">
        <f t="shared" si="4"/>
        <v>100</v>
      </c>
    </row>
    <row r="158" spans="1:10" ht="20.100000000000001" customHeight="1" x14ac:dyDescent="0.25">
      <c r="A158" s="70">
        <f t="shared" si="1"/>
        <v>0.72000000000000031</v>
      </c>
      <c r="B158" s="71">
        <f t="shared" si="2"/>
        <v>61.920000000000044</v>
      </c>
      <c r="C158" s="71">
        <f t="shared" si="4"/>
        <v>62.041856000000045</v>
      </c>
      <c r="D158" s="71">
        <f t="shared" si="4"/>
        <v>62.879616000000041</v>
      </c>
      <c r="E158" s="71">
        <f t="shared" si="4"/>
        <v>65.000672000000037</v>
      </c>
      <c r="F158" s="71">
        <f t="shared" si="4"/>
        <v>68.812480000000036</v>
      </c>
      <c r="G158" s="71">
        <f t="shared" si="4"/>
        <v>74.562560000000033</v>
      </c>
      <c r="H158" s="71">
        <f t="shared" si="4"/>
        <v>81.950080000000014</v>
      </c>
      <c r="I158" s="71">
        <f t="shared" si="4"/>
        <v>90.556160000000006</v>
      </c>
      <c r="J158" s="71">
        <f t="shared" si="4"/>
        <v>100</v>
      </c>
    </row>
    <row r="159" spans="1:10" ht="20.100000000000001" customHeight="1" x14ac:dyDescent="0.25">
      <c r="A159" s="70">
        <f t="shared" si="1"/>
        <v>0.74000000000000032</v>
      </c>
      <c r="B159" s="71">
        <f t="shared" si="2"/>
        <v>64.380000000000038</v>
      </c>
      <c r="C159" s="71">
        <f t="shared" si="4"/>
        <v>64.49398400000004</v>
      </c>
      <c r="D159" s="71">
        <f t="shared" si="4"/>
        <v>65.277624000000031</v>
      </c>
      <c r="E159" s="71">
        <f t="shared" si="4"/>
        <v>67.26165800000004</v>
      </c>
      <c r="F159" s="71">
        <f t="shared" si="4"/>
        <v>70.82722000000004</v>
      </c>
      <c r="G159" s="71">
        <f t="shared" si="4"/>
        <v>76.205840000000023</v>
      </c>
      <c r="H159" s="71">
        <f t="shared" si="4"/>
        <v>83.116120000000024</v>
      </c>
      <c r="I159" s="71">
        <f t="shared" si="4"/>
        <v>91.166240000000016</v>
      </c>
      <c r="J159" s="71">
        <f t="shared" si="4"/>
        <v>100</v>
      </c>
    </row>
    <row r="160" spans="1:10" ht="20.100000000000001" customHeight="1" x14ac:dyDescent="0.25">
      <c r="A160" s="70">
        <f t="shared" si="1"/>
        <v>0.76000000000000034</v>
      </c>
      <c r="B160" s="71">
        <f t="shared" si="2"/>
        <v>66.880000000000052</v>
      </c>
      <c r="C160" s="71">
        <f t="shared" si="4"/>
        <v>66.985984000000059</v>
      </c>
      <c r="D160" s="71">
        <f t="shared" si="4"/>
        <v>67.714624000000057</v>
      </c>
      <c r="E160" s="71">
        <f t="shared" si="4"/>
        <v>69.559408000000047</v>
      </c>
      <c r="F160" s="71">
        <f t="shared" si="4"/>
        <v>72.874720000000039</v>
      </c>
      <c r="G160" s="71">
        <f t="shared" si="4"/>
        <v>77.875840000000039</v>
      </c>
      <c r="H160" s="71">
        <f t="shared" si="4"/>
        <v>84.301120000000026</v>
      </c>
      <c r="I160" s="71">
        <f t="shared" si="4"/>
        <v>91.786240000000021</v>
      </c>
      <c r="J160" s="71">
        <f t="shared" si="4"/>
        <v>100</v>
      </c>
    </row>
    <row r="161" spans="1:10" ht="20.100000000000001" customHeight="1" x14ac:dyDescent="0.25">
      <c r="A161" s="70">
        <f t="shared" si="1"/>
        <v>0.78000000000000036</v>
      </c>
      <c r="B161" s="71">
        <f t="shared" si="2"/>
        <v>69.420000000000044</v>
      </c>
      <c r="C161" s="71">
        <f t="shared" si="4"/>
        <v>69.517856000000037</v>
      </c>
      <c r="D161" s="71">
        <f t="shared" si="4"/>
        <v>70.190616000000048</v>
      </c>
      <c r="E161" s="71">
        <f t="shared" si="4"/>
        <v>71.893922000000046</v>
      </c>
      <c r="F161" s="71">
        <f t="shared" si="4"/>
        <v>74.954980000000035</v>
      </c>
      <c r="G161" s="71">
        <f t="shared" si="4"/>
        <v>79.572560000000038</v>
      </c>
      <c r="H161" s="71">
        <f t="shared" si="4"/>
        <v>85.505080000000021</v>
      </c>
      <c r="I161" s="71">
        <f t="shared" si="4"/>
        <v>92.416160000000019</v>
      </c>
      <c r="J161" s="71">
        <f t="shared" si="4"/>
        <v>100</v>
      </c>
    </row>
    <row r="162" spans="1:10" ht="20.100000000000001" customHeight="1" x14ac:dyDescent="0.25">
      <c r="A162" s="70">
        <f t="shared" si="1"/>
        <v>0.80000000000000038</v>
      </c>
      <c r="B162" s="71">
        <f t="shared" si="2"/>
        <v>72.000000000000043</v>
      </c>
      <c r="C162" s="71">
        <f t="shared" si="4"/>
        <v>72.089600000000047</v>
      </c>
      <c r="D162" s="71">
        <f t="shared" si="4"/>
        <v>72.705600000000047</v>
      </c>
      <c r="E162" s="71">
        <f t="shared" si="4"/>
        <v>74.265200000000036</v>
      </c>
      <c r="F162" s="71">
        <f t="shared" si="4"/>
        <v>77.06800000000004</v>
      </c>
      <c r="G162" s="71">
        <f t="shared" si="4"/>
        <v>81.296000000000035</v>
      </c>
      <c r="H162" s="71">
        <f t="shared" si="4"/>
        <v>86.728000000000023</v>
      </c>
      <c r="I162" s="71">
        <f t="shared" si="4"/>
        <v>93.056000000000012</v>
      </c>
      <c r="J162" s="71">
        <f t="shared" si="4"/>
        <v>100</v>
      </c>
    </row>
    <row r="163" spans="1:10" ht="20.100000000000001" customHeight="1" x14ac:dyDescent="0.25">
      <c r="A163" s="70">
        <f t="shared" si="1"/>
        <v>0.8200000000000004</v>
      </c>
      <c r="B163" s="71">
        <f t="shared" si="2"/>
        <v>74.620000000000047</v>
      </c>
      <c r="C163" s="71">
        <f t="shared" si="4"/>
        <v>74.701216000000045</v>
      </c>
      <c r="D163" s="71">
        <f t="shared" si="4"/>
        <v>75.259576000000052</v>
      </c>
      <c r="E163" s="71">
        <f t="shared" si="4"/>
        <v>76.673242000000045</v>
      </c>
      <c r="F163" s="71">
        <f t="shared" si="4"/>
        <v>79.213780000000042</v>
      </c>
      <c r="G163" s="71">
        <f t="shared" si="4"/>
        <v>83.046160000000029</v>
      </c>
      <c r="H163" s="71">
        <f t="shared" si="4"/>
        <v>87.969880000000018</v>
      </c>
      <c r="I163" s="71">
        <f t="shared" si="4"/>
        <v>93.705760000000012</v>
      </c>
      <c r="J163" s="71">
        <f t="shared" si="4"/>
        <v>100</v>
      </c>
    </row>
    <row r="164" spans="1:10" ht="20.100000000000001" customHeight="1" x14ac:dyDescent="0.25">
      <c r="A164" s="70">
        <f t="shared" si="1"/>
        <v>0.84000000000000041</v>
      </c>
      <c r="B164" s="71">
        <f t="shared" si="2"/>
        <v>77.280000000000058</v>
      </c>
      <c r="C164" s="71">
        <f t="shared" si="4"/>
        <v>77.35270400000006</v>
      </c>
      <c r="D164" s="71">
        <f t="shared" si="4"/>
        <v>77.852544000000051</v>
      </c>
      <c r="E164" s="71">
        <f t="shared" si="4"/>
        <v>79.118048000000059</v>
      </c>
      <c r="F164" s="71">
        <f t="shared" si="4"/>
        <v>81.392320000000041</v>
      </c>
      <c r="G164" s="71">
        <f t="shared" si="4"/>
        <v>84.823040000000034</v>
      </c>
      <c r="H164" s="71">
        <f t="shared" si="4"/>
        <v>89.230720000000019</v>
      </c>
      <c r="I164" s="71">
        <f t="shared" si="4"/>
        <v>94.365440000000021</v>
      </c>
      <c r="J164" s="71">
        <f t="shared" si="4"/>
        <v>100</v>
      </c>
    </row>
    <row r="165" spans="1:10" ht="20.100000000000001" customHeight="1" x14ac:dyDescent="0.25">
      <c r="A165" s="70">
        <f t="shared" si="1"/>
        <v>0.86000000000000043</v>
      </c>
      <c r="B165" s="71">
        <f t="shared" si="2"/>
        <v>79.980000000000047</v>
      </c>
      <c r="C165" s="71">
        <f t="shared" si="4"/>
        <v>80.044064000000049</v>
      </c>
      <c r="D165" s="71">
        <f t="shared" si="4"/>
        <v>80.484504000000044</v>
      </c>
      <c r="E165" s="71">
        <f t="shared" si="4"/>
        <v>81.599618000000049</v>
      </c>
      <c r="F165" s="71">
        <f t="shared" si="4"/>
        <v>83.603620000000035</v>
      </c>
      <c r="G165" s="71">
        <f t="shared" si="4"/>
        <v>86.626640000000037</v>
      </c>
      <c r="H165" s="71">
        <f t="shared" si="4"/>
        <v>90.510520000000028</v>
      </c>
      <c r="I165" s="71">
        <f t="shared" si="4"/>
        <v>95.035040000000009</v>
      </c>
      <c r="J165" s="71">
        <f t="shared" si="4"/>
        <v>100</v>
      </c>
    </row>
    <row r="166" spans="1:10" ht="20.100000000000001" customHeight="1" x14ac:dyDescent="0.25">
      <c r="A166" s="70">
        <f t="shared" si="1"/>
        <v>0.88000000000000045</v>
      </c>
      <c r="B166" s="71">
        <f t="shared" si="2"/>
        <v>82.720000000000056</v>
      </c>
      <c r="C166" s="71">
        <f t="shared" si="4"/>
        <v>82.775296000000054</v>
      </c>
      <c r="D166" s="71">
        <f t="shared" si="4"/>
        <v>83.155456000000058</v>
      </c>
      <c r="E166" s="71">
        <f t="shared" si="4"/>
        <v>84.117952000000045</v>
      </c>
      <c r="F166" s="71">
        <f t="shared" si="4"/>
        <v>85.84768000000004</v>
      </c>
      <c r="G166" s="71">
        <f t="shared" si="4"/>
        <v>88.456960000000038</v>
      </c>
      <c r="H166" s="71">
        <f t="shared" si="4"/>
        <v>91.80928000000003</v>
      </c>
      <c r="I166" s="71">
        <f t="shared" si="4"/>
        <v>95.714560000000006</v>
      </c>
      <c r="J166" s="71">
        <f t="shared" si="4"/>
        <v>100</v>
      </c>
    </row>
    <row r="167" spans="1:10" ht="20.100000000000001" customHeight="1" x14ac:dyDescent="0.25">
      <c r="A167" s="70">
        <f t="shared" si="1"/>
        <v>0.90000000000000047</v>
      </c>
      <c r="B167" s="71">
        <f t="shared" si="2"/>
        <v>85.500000000000071</v>
      </c>
      <c r="C167" s="71">
        <f t="shared" si="4"/>
        <v>85.546400000000077</v>
      </c>
      <c r="D167" s="71">
        <f t="shared" si="4"/>
        <v>85.865400000000065</v>
      </c>
      <c r="E167" s="71">
        <f t="shared" si="4"/>
        <v>86.67305000000006</v>
      </c>
      <c r="F167" s="71">
        <f t="shared" si="4"/>
        <v>88.124500000000054</v>
      </c>
      <c r="G167" s="71">
        <f t="shared" si="4"/>
        <v>90.31400000000005</v>
      </c>
      <c r="H167" s="71">
        <f t="shared" si="4"/>
        <v>93.127000000000038</v>
      </c>
      <c r="I167" s="71">
        <f t="shared" si="4"/>
        <v>96.404000000000025</v>
      </c>
      <c r="J167" s="71">
        <f t="shared" si="4"/>
        <v>100</v>
      </c>
    </row>
    <row r="168" spans="1:10" ht="20.100000000000001" customHeight="1" x14ac:dyDescent="0.25">
      <c r="A168" s="70">
        <f t="shared" si="1"/>
        <v>0.92000000000000048</v>
      </c>
      <c r="B168" s="71">
        <f t="shared" si="2"/>
        <v>88.320000000000064</v>
      </c>
      <c r="C168" s="71">
        <f t="shared" si="4"/>
        <v>88.357376000000059</v>
      </c>
      <c r="D168" s="71">
        <f t="shared" si="4"/>
        <v>88.614336000000065</v>
      </c>
      <c r="E168" s="71">
        <f t="shared" si="4"/>
        <v>89.264912000000052</v>
      </c>
      <c r="F168" s="71">
        <f t="shared" si="4"/>
        <v>90.434080000000051</v>
      </c>
      <c r="G168" s="71">
        <f t="shared" si="4"/>
        <v>92.197760000000045</v>
      </c>
      <c r="H168" s="71">
        <f t="shared" si="4"/>
        <v>94.463680000000025</v>
      </c>
      <c r="I168" s="71">
        <f t="shared" si="4"/>
        <v>97.103360000000009</v>
      </c>
      <c r="J168" s="71">
        <f t="shared" si="4"/>
        <v>100</v>
      </c>
    </row>
    <row r="169" spans="1:10" ht="20.100000000000001" customHeight="1" x14ac:dyDescent="0.25">
      <c r="A169" s="70">
        <f t="shared" si="1"/>
        <v>0.9400000000000005</v>
      </c>
      <c r="B169" s="71">
        <f t="shared" si="2"/>
        <v>91.180000000000078</v>
      </c>
      <c r="C169" s="71">
        <f t="shared" si="4"/>
        <v>91.208224000000072</v>
      </c>
      <c r="D169" s="71">
        <f t="shared" si="4"/>
        <v>91.402264000000073</v>
      </c>
      <c r="E169" s="71">
        <f t="shared" si="4"/>
        <v>91.893538000000078</v>
      </c>
      <c r="F169" s="71">
        <f t="shared" si="4"/>
        <v>92.776420000000059</v>
      </c>
      <c r="G169" s="71">
        <f t="shared" si="4"/>
        <v>94.108240000000052</v>
      </c>
      <c r="H169" s="71">
        <f t="shared" si="4"/>
        <v>95.819320000000033</v>
      </c>
      <c r="I169" s="71">
        <f t="shared" si="4"/>
        <v>97.812640000000016</v>
      </c>
      <c r="J169" s="71">
        <f t="shared" si="4"/>
        <v>100</v>
      </c>
    </row>
    <row r="170" spans="1:10" ht="20.100000000000001" customHeight="1" x14ac:dyDescent="0.25">
      <c r="A170" s="70">
        <f t="shared" si="1"/>
        <v>0.96000000000000052</v>
      </c>
      <c r="B170" s="71">
        <f t="shared" si="2"/>
        <v>94.080000000000069</v>
      </c>
      <c r="C170" s="71">
        <f t="shared" si="4"/>
        <v>94.098944000000074</v>
      </c>
      <c r="D170" s="71">
        <f t="shared" si="4"/>
        <v>94.229184000000075</v>
      </c>
      <c r="E170" s="71">
        <f t="shared" si="4"/>
        <v>94.558928000000066</v>
      </c>
      <c r="F170" s="71">
        <f t="shared" si="4"/>
        <v>95.151520000000062</v>
      </c>
      <c r="G170" s="71">
        <f t="shared" si="4"/>
        <v>96.045440000000042</v>
      </c>
      <c r="H170" s="71">
        <f t="shared" si="4"/>
        <v>97.193920000000034</v>
      </c>
      <c r="I170" s="71">
        <f t="shared" si="4"/>
        <v>98.531840000000017</v>
      </c>
      <c r="J170" s="71">
        <f t="shared" si="4"/>
        <v>100</v>
      </c>
    </row>
    <row r="171" spans="1:10" ht="20.100000000000001" customHeight="1" x14ac:dyDescent="0.25">
      <c r="A171" s="70">
        <f t="shared" si="1"/>
        <v>0.98000000000000054</v>
      </c>
      <c r="B171" s="71">
        <f t="shared" si="2"/>
        <v>97.020000000000081</v>
      </c>
      <c r="C171" s="71">
        <f t="shared" si="4"/>
        <v>97.029536000000078</v>
      </c>
      <c r="D171" s="71">
        <f t="shared" si="4"/>
        <v>97.095096000000083</v>
      </c>
      <c r="E171" s="71">
        <f t="shared" si="4"/>
        <v>97.261082000000073</v>
      </c>
      <c r="F171" s="71">
        <f t="shared" si="4"/>
        <v>97.559380000000061</v>
      </c>
      <c r="G171" s="71">
        <f t="shared" si="4"/>
        <v>98.009360000000058</v>
      </c>
      <c r="H171" s="71">
        <f t="shared" si="4"/>
        <v>98.587480000000042</v>
      </c>
      <c r="I171" s="71">
        <f t="shared" si="4"/>
        <v>99.260960000000026</v>
      </c>
      <c r="J171" s="71">
        <f t="shared" si="4"/>
        <v>100</v>
      </c>
    </row>
    <row r="172" spans="1:10" ht="20.100000000000001" customHeight="1" x14ac:dyDescent="0.25">
      <c r="A172" s="70">
        <f t="shared" si="1"/>
        <v>1.0000000000000004</v>
      </c>
      <c r="B172" s="71">
        <f t="shared" si="2"/>
        <v>100.00000000000007</v>
      </c>
      <c r="C172" s="71">
        <f t="shared" si="4"/>
        <v>100.00000000000007</v>
      </c>
      <c r="D172" s="71">
        <f t="shared" si="4"/>
        <v>100.00000000000007</v>
      </c>
      <c r="E172" s="71">
        <f t="shared" si="4"/>
        <v>100.00000000000007</v>
      </c>
      <c r="F172" s="71">
        <f t="shared" si="4"/>
        <v>100.00000000000006</v>
      </c>
      <c r="G172" s="71">
        <f t="shared" si="4"/>
        <v>100.00000000000004</v>
      </c>
      <c r="H172" s="71">
        <f t="shared" si="4"/>
        <v>100.00000000000003</v>
      </c>
      <c r="I172" s="71">
        <f t="shared" si="4"/>
        <v>100.00000000000001</v>
      </c>
      <c r="J172" s="71">
        <f t="shared" si="4"/>
        <v>100</v>
      </c>
    </row>
    <row r="173" spans="1:10" ht="20.100000000000001" customHeight="1" x14ac:dyDescent="0.25">
      <c r="A173" s="1"/>
      <c r="B173" s="1"/>
      <c r="C173" s="1"/>
      <c r="D173" s="1"/>
      <c r="E173" s="1"/>
      <c r="F173" s="1"/>
      <c r="G173" s="1"/>
      <c r="H173" s="1"/>
      <c r="I173" s="1"/>
      <c r="J173" s="1"/>
    </row>
    <row r="174" spans="1:10" ht="20.100000000000001" customHeight="1" x14ac:dyDescent="0.25">
      <c r="A174" s="147" t="s">
        <v>358</v>
      </c>
      <c r="B174" s="147"/>
      <c r="C174" s="147"/>
      <c r="D174" s="147"/>
      <c r="E174" s="147"/>
      <c r="F174" s="147"/>
      <c r="G174" s="147"/>
      <c r="H174" s="147"/>
      <c r="I174" s="147"/>
      <c r="J174" s="147"/>
    </row>
    <row r="175" spans="1:10" ht="20.100000000000001" customHeight="1" x14ac:dyDescent="0.25">
      <c r="A175" s="1"/>
      <c r="B175" s="1"/>
      <c r="C175" s="1"/>
      <c r="D175" s="1"/>
      <c r="E175" s="1"/>
      <c r="F175" s="1"/>
      <c r="G175" s="1"/>
      <c r="H175" s="1"/>
      <c r="I175" s="1"/>
      <c r="J175" s="1"/>
    </row>
    <row r="176" spans="1:10" ht="20.100000000000001" customHeight="1" x14ac:dyDescent="0.25">
      <c r="A176" s="1"/>
      <c r="B176" s="1"/>
      <c r="C176" s="1"/>
      <c r="D176" s="1"/>
      <c r="E176" s="72"/>
      <c r="F176" s="72"/>
      <c r="G176" s="72"/>
      <c r="H176" s="72"/>
      <c r="I176" s="72"/>
      <c r="J176" s="72"/>
    </row>
    <row r="177" spans="1:10" ht="20.100000000000001" customHeight="1" x14ac:dyDescent="0.25">
      <c r="A177" s="2"/>
      <c r="B177" s="2"/>
      <c r="C177" s="7"/>
      <c r="D177" s="8"/>
      <c r="E177" s="72"/>
      <c r="F177" s="72"/>
      <c r="G177" s="72"/>
      <c r="H177" s="72"/>
      <c r="I177" s="72"/>
      <c r="J177" s="72"/>
    </row>
    <row r="178" spans="1:10" ht="20.100000000000001" customHeight="1" x14ac:dyDescent="0.25">
      <c r="A178" s="2"/>
      <c r="B178" s="2"/>
      <c r="C178" s="7"/>
      <c r="D178" s="8"/>
      <c r="E178" s="72"/>
      <c r="F178" s="72"/>
      <c r="G178" s="72"/>
      <c r="H178" s="72"/>
      <c r="I178" s="72"/>
      <c r="J178" s="72"/>
    </row>
    <row r="179" spans="1:10" ht="20.100000000000001" customHeight="1" x14ac:dyDescent="0.25">
      <c r="A179" s="2"/>
      <c r="B179" s="2"/>
      <c r="C179" s="7"/>
      <c r="D179" s="8"/>
      <c r="E179" s="72"/>
      <c r="F179" s="72"/>
      <c r="G179" s="72"/>
      <c r="H179" s="72"/>
      <c r="I179" s="72"/>
      <c r="J179" s="72"/>
    </row>
    <row r="180" spans="1:10" ht="20.100000000000001" customHeight="1" x14ac:dyDescent="0.25">
      <c r="A180" s="1"/>
      <c r="B180" s="1"/>
      <c r="C180" s="7"/>
      <c r="D180" s="8"/>
      <c r="E180" s="72"/>
      <c r="F180" s="72"/>
      <c r="G180" s="72"/>
      <c r="H180" s="72"/>
      <c r="I180" s="72"/>
      <c r="J180" s="72"/>
    </row>
    <row r="181" spans="1:10" ht="20.100000000000001" customHeight="1" x14ac:dyDescent="0.25">
      <c r="A181" s="1"/>
      <c r="B181" s="1"/>
      <c r="C181" s="7"/>
      <c r="D181" s="8"/>
      <c r="E181" s="72"/>
      <c r="F181" s="72"/>
      <c r="G181" s="72"/>
      <c r="H181" s="72"/>
      <c r="I181" s="72"/>
      <c r="J181" s="72"/>
    </row>
    <row r="182" spans="1:10" ht="20.100000000000001" customHeight="1" x14ac:dyDescent="0.25">
      <c r="A182" s="1"/>
      <c r="B182" s="1"/>
      <c r="C182" s="7"/>
      <c r="D182" s="8"/>
      <c r="E182" s="72"/>
      <c r="F182" s="72"/>
      <c r="G182" s="72"/>
      <c r="H182" s="72"/>
      <c r="I182" s="72"/>
      <c r="J182" s="72"/>
    </row>
    <row r="183" spans="1:10" ht="20.100000000000001" customHeight="1" x14ac:dyDescent="0.25">
      <c r="A183" s="1"/>
      <c r="B183" s="1"/>
      <c r="C183" s="7"/>
      <c r="D183" s="8"/>
      <c r="E183" s="72"/>
      <c r="F183" s="72"/>
      <c r="G183" s="72"/>
      <c r="H183" s="72"/>
      <c r="I183" s="72"/>
      <c r="J183" s="72"/>
    </row>
    <row r="184" spans="1:10" ht="20.100000000000001" customHeight="1" x14ac:dyDescent="0.25">
      <c r="A184" s="1"/>
      <c r="B184" s="1"/>
      <c r="C184" s="7"/>
      <c r="D184" s="8"/>
      <c r="E184" s="72"/>
      <c r="F184" s="72"/>
      <c r="G184" s="72"/>
      <c r="H184" s="72"/>
      <c r="I184" s="72"/>
      <c r="J184" s="72"/>
    </row>
    <row r="185" spans="1:10" ht="20.100000000000001" customHeight="1" x14ac:dyDescent="0.25">
      <c r="A185" s="1"/>
      <c r="B185" s="1"/>
      <c r="C185" s="7"/>
      <c r="D185" s="8"/>
      <c r="E185" s="72"/>
      <c r="F185" s="72"/>
      <c r="G185" s="72"/>
      <c r="H185" s="72"/>
      <c r="I185" s="72"/>
      <c r="J185" s="72"/>
    </row>
    <row r="186" spans="1:10" ht="20.100000000000001" customHeight="1" x14ac:dyDescent="0.25">
      <c r="A186" s="1"/>
      <c r="B186" s="1"/>
      <c r="C186" s="7"/>
      <c r="D186" s="8"/>
      <c r="E186" s="72"/>
      <c r="F186" s="72"/>
      <c r="G186" s="72"/>
      <c r="H186" s="72"/>
      <c r="I186" s="72"/>
      <c r="J186" s="72"/>
    </row>
    <row r="187" spans="1:10" ht="20.100000000000001" customHeight="1" x14ac:dyDescent="0.25">
      <c r="A187" s="1"/>
      <c r="B187" s="1"/>
      <c r="C187" s="1"/>
      <c r="D187" s="1"/>
      <c r="E187" s="1"/>
      <c r="F187" s="1"/>
      <c r="G187" s="1"/>
      <c r="H187" s="1"/>
      <c r="I187" s="1"/>
      <c r="J187" s="1"/>
    </row>
    <row r="188" spans="1:10" ht="20.100000000000001" customHeight="1" x14ac:dyDescent="0.25">
      <c r="A188" s="1"/>
      <c r="B188" s="1"/>
      <c r="C188" s="1"/>
      <c r="D188" s="1"/>
      <c r="E188" s="1"/>
      <c r="F188" s="1"/>
      <c r="G188" s="1"/>
      <c r="H188" s="1"/>
      <c r="I188" s="1"/>
      <c r="J188" s="1"/>
    </row>
    <row r="189" spans="1:10" ht="20.100000000000001" customHeight="1" x14ac:dyDescent="0.25">
      <c r="A189" s="256" t="str">
        <f>A118</f>
        <v>IDADE EM % DA VIDA ÚTIL</v>
      </c>
      <c r="B189" s="257" t="str">
        <f t="shared" ref="B189:J189" si="5">B118</f>
        <v>ESTADO DE CONSERVAÇÃO</v>
      </c>
      <c r="C189" s="258">
        <f t="shared" si="5"/>
        <v>0</v>
      </c>
      <c r="D189" s="258">
        <f t="shared" si="5"/>
        <v>0</v>
      </c>
      <c r="E189" s="258">
        <f t="shared" si="5"/>
        <v>0</v>
      </c>
      <c r="F189" s="258">
        <f t="shared" si="5"/>
        <v>0</v>
      </c>
      <c r="G189" s="258">
        <f t="shared" si="5"/>
        <v>0</v>
      </c>
      <c r="H189" s="258">
        <f t="shared" si="5"/>
        <v>0</v>
      </c>
      <c r="I189" s="258">
        <f t="shared" si="5"/>
        <v>0</v>
      </c>
      <c r="J189" s="259">
        <f t="shared" si="5"/>
        <v>0</v>
      </c>
    </row>
    <row r="190" spans="1:10" ht="20.100000000000001" customHeight="1" x14ac:dyDescent="0.25">
      <c r="A190" s="256">
        <f t="shared" ref="A190:J205" si="6">A119</f>
        <v>0</v>
      </c>
      <c r="B190" s="255" t="s">
        <v>359</v>
      </c>
      <c r="C190" s="255">
        <f t="shared" si="6"/>
        <v>0</v>
      </c>
      <c r="D190" s="255">
        <f t="shared" si="6"/>
        <v>0</v>
      </c>
      <c r="E190" s="255">
        <f t="shared" si="6"/>
        <v>0</v>
      </c>
      <c r="F190" s="255">
        <f t="shared" si="6"/>
        <v>0</v>
      </c>
      <c r="G190" s="255">
        <f t="shared" si="6"/>
        <v>0</v>
      </c>
      <c r="H190" s="255">
        <f t="shared" si="6"/>
        <v>0</v>
      </c>
      <c r="I190" s="255">
        <f t="shared" si="6"/>
        <v>0</v>
      </c>
      <c r="J190" s="255">
        <f t="shared" si="6"/>
        <v>0</v>
      </c>
    </row>
    <row r="191" spans="1:10" ht="20.100000000000001" customHeight="1" x14ac:dyDescent="0.25">
      <c r="A191" s="256">
        <f t="shared" si="6"/>
        <v>0</v>
      </c>
      <c r="B191" s="256" t="str">
        <f t="shared" si="6"/>
        <v>Classificação do estado de conservação de acordo com a tabela de Heidecke</v>
      </c>
      <c r="C191" s="256">
        <f t="shared" si="6"/>
        <v>0</v>
      </c>
      <c r="D191" s="256">
        <f t="shared" si="6"/>
        <v>0</v>
      </c>
      <c r="E191" s="256">
        <f t="shared" si="6"/>
        <v>0</v>
      </c>
      <c r="F191" s="256">
        <f t="shared" si="6"/>
        <v>0</v>
      </c>
      <c r="G191" s="256">
        <f t="shared" si="6"/>
        <v>0</v>
      </c>
      <c r="H191" s="256">
        <f t="shared" si="6"/>
        <v>0</v>
      </c>
      <c r="I191" s="256">
        <f t="shared" si="6"/>
        <v>0</v>
      </c>
      <c r="J191" s="256">
        <f t="shared" si="6"/>
        <v>0</v>
      </c>
    </row>
    <row r="192" spans="1:10" ht="20.100000000000001" customHeight="1" x14ac:dyDescent="0.25">
      <c r="A192" s="256">
        <f t="shared" si="6"/>
        <v>0</v>
      </c>
      <c r="B192" s="69" t="str">
        <f t="shared" si="6"/>
        <v>A</v>
      </c>
      <c r="C192" s="69" t="str">
        <f t="shared" si="6"/>
        <v>B</v>
      </c>
      <c r="D192" s="69" t="str">
        <f t="shared" si="6"/>
        <v>C</v>
      </c>
      <c r="E192" s="69" t="str">
        <f t="shared" si="6"/>
        <v>D</v>
      </c>
      <c r="F192" s="69" t="str">
        <f t="shared" si="6"/>
        <v>E</v>
      </c>
      <c r="G192" s="69" t="str">
        <f t="shared" si="6"/>
        <v>F</v>
      </c>
      <c r="H192" s="69" t="str">
        <f t="shared" si="6"/>
        <v>G</v>
      </c>
      <c r="I192" s="69" t="str">
        <f t="shared" si="6"/>
        <v>H</v>
      </c>
      <c r="J192" s="69" t="str">
        <f t="shared" si="6"/>
        <v>I</v>
      </c>
    </row>
    <row r="193" spans="1:10" ht="20.100000000000001" customHeight="1" x14ac:dyDescent="0.25">
      <c r="A193" s="73">
        <f t="shared" si="6"/>
        <v>0</v>
      </c>
      <c r="B193" s="74">
        <f>-(B122/100)</f>
        <v>0</v>
      </c>
      <c r="C193" s="74">
        <f t="shared" ref="C193:J193" si="7">-(C122/100)</f>
        <v>-3.2000000000000002E-3</v>
      </c>
      <c r="D193" s="74">
        <f t="shared" si="7"/>
        <v>-2.52E-2</v>
      </c>
      <c r="E193" s="74">
        <f t="shared" si="7"/>
        <v>-8.09E-2</v>
      </c>
      <c r="F193" s="74">
        <f t="shared" si="7"/>
        <v>-0.18100000000000002</v>
      </c>
      <c r="G193" s="74">
        <f t="shared" si="7"/>
        <v>-0.33200000000000002</v>
      </c>
      <c r="H193" s="74">
        <f t="shared" si="7"/>
        <v>-0.52600000000000002</v>
      </c>
      <c r="I193" s="74">
        <f t="shared" si="7"/>
        <v>-0.752</v>
      </c>
      <c r="J193" s="74">
        <f t="shared" si="7"/>
        <v>-1</v>
      </c>
    </row>
    <row r="194" spans="1:10" ht="20.100000000000001" customHeight="1" x14ac:dyDescent="0.25">
      <c r="A194" s="73">
        <f t="shared" si="6"/>
        <v>0.02</v>
      </c>
      <c r="B194" s="74">
        <f t="shared" ref="B194:J209" si="8">-(B123/100)</f>
        <v>-1.0200000000000001E-2</v>
      </c>
      <c r="C194" s="74">
        <f t="shared" si="8"/>
        <v>-1.3367360000000002E-2</v>
      </c>
      <c r="D194" s="74">
        <f t="shared" si="8"/>
        <v>-3.5142960000000001E-2</v>
      </c>
      <c r="E194" s="74">
        <f t="shared" si="8"/>
        <v>-9.0274819999999992E-2</v>
      </c>
      <c r="F194" s="74">
        <f t="shared" si="8"/>
        <v>-0.18935380000000002</v>
      </c>
      <c r="G194" s="74">
        <f t="shared" si="8"/>
        <v>-0.3388136000000001</v>
      </c>
      <c r="H194" s="74">
        <f t="shared" si="8"/>
        <v>-0.53083480000000005</v>
      </c>
      <c r="I194" s="74">
        <f t="shared" si="8"/>
        <v>-0.75452960000000002</v>
      </c>
      <c r="J194" s="74">
        <f t="shared" si="8"/>
        <v>-1</v>
      </c>
    </row>
    <row r="195" spans="1:10" ht="20.100000000000001" customHeight="1" x14ac:dyDescent="0.25">
      <c r="A195" s="73">
        <f t="shared" si="6"/>
        <v>0.04</v>
      </c>
      <c r="B195" s="74">
        <f t="shared" si="8"/>
        <v>-2.0799999999999999E-2</v>
      </c>
      <c r="C195" s="74">
        <f t="shared" si="8"/>
        <v>-2.393344E-2</v>
      </c>
      <c r="D195" s="74">
        <f t="shared" si="8"/>
        <v>-4.5475840000000003E-2</v>
      </c>
      <c r="E195" s="74">
        <f t="shared" si="8"/>
        <v>-0.10001728</v>
      </c>
      <c r="F195" s="74">
        <f t="shared" si="8"/>
        <v>-0.19803519999999999</v>
      </c>
      <c r="G195" s="74">
        <f t="shared" si="8"/>
        <v>-0.34589440000000005</v>
      </c>
      <c r="H195" s="74">
        <f t="shared" si="8"/>
        <v>-0.53585919999999998</v>
      </c>
      <c r="I195" s="74">
        <f t="shared" si="8"/>
        <v>-0.75715840000000001</v>
      </c>
      <c r="J195" s="74">
        <f t="shared" si="8"/>
        <v>-1</v>
      </c>
    </row>
    <row r="196" spans="1:10" ht="20.100000000000001" customHeight="1" x14ac:dyDescent="0.25">
      <c r="A196" s="73">
        <f t="shared" si="6"/>
        <v>0.06</v>
      </c>
      <c r="B196" s="74">
        <f t="shared" si="8"/>
        <v>-3.1800000000000002E-2</v>
      </c>
      <c r="C196" s="74">
        <f t="shared" si="8"/>
        <v>-3.4898239999999997E-2</v>
      </c>
      <c r="D196" s="74">
        <f t="shared" si="8"/>
        <v>-5.6198639999999994E-2</v>
      </c>
      <c r="E196" s="74">
        <f t="shared" si="8"/>
        <v>-0.11012737999999998</v>
      </c>
      <c r="F196" s="74">
        <f t="shared" si="8"/>
        <v>-0.20704419999999998</v>
      </c>
      <c r="G196" s="74">
        <f t="shared" si="8"/>
        <v>-0.35324239999999996</v>
      </c>
      <c r="H196" s="74">
        <f t="shared" si="8"/>
        <v>-0.54107320000000003</v>
      </c>
      <c r="I196" s="74">
        <f t="shared" si="8"/>
        <v>-0.75988640000000007</v>
      </c>
      <c r="J196" s="74">
        <f t="shared" si="8"/>
        <v>-1</v>
      </c>
    </row>
    <row r="197" spans="1:10" ht="20.100000000000001" customHeight="1" x14ac:dyDescent="0.25">
      <c r="A197" s="73">
        <f t="shared" si="6"/>
        <v>0.08</v>
      </c>
      <c r="B197" s="74">
        <f t="shared" si="8"/>
        <v>-4.3200000000000002E-2</v>
      </c>
      <c r="C197" s="74">
        <f t="shared" si="8"/>
        <v>-4.6261759999999999E-2</v>
      </c>
      <c r="D197" s="74">
        <f t="shared" si="8"/>
        <v>-6.7311360000000015E-2</v>
      </c>
      <c r="E197" s="74">
        <f t="shared" si="8"/>
        <v>-0.12060512</v>
      </c>
      <c r="F197" s="74">
        <f t="shared" si="8"/>
        <v>-0.21638080000000001</v>
      </c>
      <c r="G197" s="74">
        <f t="shared" si="8"/>
        <v>-0.36085760000000006</v>
      </c>
      <c r="H197" s="74">
        <f t="shared" si="8"/>
        <v>-0.5464768000000001</v>
      </c>
      <c r="I197" s="74">
        <f t="shared" si="8"/>
        <v>-0.7627136000000001</v>
      </c>
      <c r="J197" s="74">
        <f t="shared" si="8"/>
        <v>-1</v>
      </c>
    </row>
    <row r="198" spans="1:10" ht="20.100000000000001" customHeight="1" x14ac:dyDescent="0.25">
      <c r="A198" s="73">
        <f t="shared" si="6"/>
        <v>0.1</v>
      </c>
      <c r="B198" s="74">
        <f t="shared" si="8"/>
        <v>-5.5000000000000007E-2</v>
      </c>
      <c r="C198" s="74">
        <f t="shared" si="8"/>
        <v>-5.8024000000000006E-2</v>
      </c>
      <c r="D198" s="74">
        <f t="shared" si="8"/>
        <v>-7.8814000000000009E-2</v>
      </c>
      <c r="E198" s="74">
        <f t="shared" si="8"/>
        <v>-0.13145050000000003</v>
      </c>
      <c r="F198" s="74">
        <f t="shared" si="8"/>
        <v>-0.22604500000000002</v>
      </c>
      <c r="G198" s="74">
        <f t="shared" si="8"/>
        <v>-0.36874000000000001</v>
      </c>
      <c r="H198" s="74">
        <f t="shared" si="8"/>
        <v>-0.55207000000000006</v>
      </c>
      <c r="I198" s="74">
        <f t="shared" si="8"/>
        <v>-0.7656400000000001</v>
      </c>
      <c r="J198" s="74">
        <f t="shared" si="8"/>
        <v>-1</v>
      </c>
    </row>
    <row r="199" spans="1:10" ht="20.100000000000001" customHeight="1" x14ac:dyDescent="0.25">
      <c r="A199" s="73">
        <f t="shared" si="6"/>
        <v>0.12000000000000001</v>
      </c>
      <c r="B199" s="74">
        <f t="shared" si="8"/>
        <v>-6.720000000000001E-2</v>
      </c>
      <c r="C199" s="74">
        <f t="shared" si="8"/>
        <v>-7.0184960000000005E-2</v>
      </c>
      <c r="D199" s="74">
        <f t="shared" si="8"/>
        <v>-9.0706560000000019E-2</v>
      </c>
      <c r="E199" s="74">
        <f t="shared" si="8"/>
        <v>-0.14266352000000002</v>
      </c>
      <c r="F199" s="74">
        <f t="shared" si="8"/>
        <v>-0.23603680000000005</v>
      </c>
      <c r="G199" s="74">
        <f t="shared" si="8"/>
        <v>-0.37688959999999999</v>
      </c>
      <c r="H199" s="74">
        <f t="shared" si="8"/>
        <v>-0.55785280000000004</v>
      </c>
      <c r="I199" s="74">
        <f t="shared" si="8"/>
        <v>-0.76866559999999995</v>
      </c>
      <c r="J199" s="74">
        <f t="shared" si="8"/>
        <v>-1</v>
      </c>
    </row>
    <row r="200" spans="1:10" ht="20.100000000000001" customHeight="1" x14ac:dyDescent="0.25">
      <c r="A200" s="73">
        <f t="shared" si="6"/>
        <v>0.14000000000000001</v>
      </c>
      <c r="B200" s="74">
        <f t="shared" si="8"/>
        <v>-7.980000000000001E-2</v>
      </c>
      <c r="C200" s="74">
        <f t="shared" si="8"/>
        <v>-8.2744640000000022E-2</v>
      </c>
      <c r="D200" s="74">
        <f t="shared" si="8"/>
        <v>-0.10298904</v>
      </c>
      <c r="E200" s="74">
        <f t="shared" si="8"/>
        <v>-0.15424418000000001</v>
      </c>
      <c r="F200" s="74">
        <f t="shared" si="8"/>
        <v>-0.24635620000000003</v>
      </c>
      <c r="G200" s="74">
        <f t="shared" si="8"/>
        <v>-0.38530640000000005</v>
      </c>
      <c r="H200" s="74">
        <f t="shared" si="8"/>
        <v>-0.56382520000000003</v>
      </c>
      <c r="I200" s="74">
        <f t="shared" si="8"/>
        <v>-0.77179039999999999</v>
      </c>
      <c r="J200" s="74">
        <f t="shared" si="8"/>
        <v>-1</v>
      </c>
    </row>
    <row r="201" spans="1:10" ht="20.100000000000001" customHeight="1" x14ac:dyDescent="0.25">
      <c r="A201" s="73">
        <f t="shared" si="6"/>
        <v>0.16</v>
      </c>
      <c r="B201" s="74">
        <f t="shared" si="8"/>
        <v>-9.2800000000000007E-2</v>
      </c>
      <c r="C201" s="74">
        <f t="shared" si="8"/>
        <v>-9.5703040000000017E-2</v>
      </c>
      <c r="D201" s="74">
        <f t="shared" si="8"/>
        <v>-0.11566144000000002</v>
      </c>
      <c r="E201" s="74">
        <f t="shared" si="8"/>
        <v>-0.16619248000000003</v>
      </c>
      <c r="F201" s="74">
        <f t="shared" si="8"/>
        <v>-0.25700319999999999</v>
      </c>
      <c r="G201" s="74">
        <f t="shared" si="8"/>
        <v>-0.39399040000000002</v>
      </c>
      <c r="H201" s="74">
        <f t="shared" si="8"/>
        <v>-0.56998720000000003</v>
      </c>
      <c r="I201" s="74">
        <f t="shared" si="8"/>
        <v>-0.77501439999999999</v>
      </c>
      <c r="J201" s="74">
        <f t="shared" si="8"/>
        <v>-1</v>
      </c>
    </row>
    <row r="202" spans="1:10" ht="20.100000000000001" customHeight="1" x14ac:dyDescent="0.25">
      <c r="A202" s="73">
        <f t="shared" si="6"/>
        <v>0.18</v>
      </c>
      <c r="B202" s="74">
        <f t="shared" si="8"/>
        <v>-0.10619999999999999</v>
      </c>
      <c r="C202" s="74">
        <f t="shared" si="8"/>
        <v>-0.10906015999999999</v>
      </c>
      <c r="D202" s="74">
        <f t="shared" si="8"/>
        <v>-0.12872375999999999</v>
      </c>
      <c r="E202" s="74">
        <f t="shared" si="8"/>
        <v>-0.17850842</v>
      </c>
      <c r="F202" s="74">
        <f t="shared" si="8"/>
        <v>-0.26797779999999993</v>
      </c>
      <c r="G202" s="74">
        <f t="shared" si="8"/>
        <v>-0.40294159999999996</v>
      </c>
      <c r="H202" s="74">
        <f t="shared" si="8"/>
        <v>-0.57633879999999993</v>
      </c>
      <c r="I202" s="74">
        <f t="shared" si="8"/>
        <v>-0.77833760000000007</v>
      </c>
      <c r="J202" s="74">
        <f t="shared" si="8"/>
        <v>-1</v>
      </c>
    </row>
    <row r="203" spans="1:10" ht="20.100000000000001" customHeight="1" x14ac:dyDescent="0.25">
      <c r="A203" s="73">
        <f t="shared" si="6"/>
        <v>0.19999999999999998</v>
      </c>
      <c r="B203" s="74">
        <f t="shared" si="8"/>
        <v>-0.12</v>
      </c>
      <c r="C203" s="74">
        <f t="shared" si="8"/>
        <v>-0.12281599999999999</v>
      </c>
      <c r="D203" s="74">
        <f t="shared" si="8"/>
        <v>-0.142176</v>
      </c>
      <c r="E203" s="74">
        <f t="shared" si="8"/>
        <v>-0.191192</v>
      </c>
      <c r="F203" s="74">
        <f t="shared" si="8"/>
        <v>-0.27928000000000003</v>
      </c>
      <c r="G203" s="74">
        <f t="shared" si="8"/>
        <v>-0.41216000000000008</v>
      </c>
      <c r="H203" s="74">
        <f t="shared" si="8"/>
        <v>-0.58288000000000006</v>
      </c>
      <c r="I203" s="74">
        <f t="shared" si="8"/>
        <v>-0.78176000000000001</v>
      </c>
      <c r="J203" s="74">
        <f t="shared" si="8"/>
        <v>-1</v>
      </c>
    </row>
    <row r="204" spans="1:10" ht="20.100000000000001" customHeight="1" x14ac:dyDescent="0.25">
      <c r="A204" s="73">
        <f t="shared" si="6"/>
        <v>0.21999999999999997</v>
      </c>
      <c r="B204" s="74">
        <f t="shared" si="8"/>
        <v>-0.13419999999999999</v>
      </c>
      <c r="C204" s="74">
        <f t="shared" si="8"/>
        <v>-0.13697055999999999</v>
      </c>
      <c r="D204" s="74">
        <f t="shared" si="8"/>
        <v>-0.15601815999999999</v>
      </c>
      <c r="E204" s="74">
        <f t="shared" si="8"/>
        <v>-0.20424321999999998</v>
      </c>
      <c r="F204" s="74">
        <f t="shared" si="8"/>
        <v>-0.2909098</v>
      </c>
      <c r="G204" s="74">
        <f t="shared" si="8"/>
        <v>-0.42164559999999995</v>
      </c>
      <c r="H204" s="74">
        <f t="shared" si="8"/>
        <v>-0.58961079999999999</v>
      </c>
      <c r="I204" s="74">
        <f t="shared" si="8"/>
        <v>-0.78528160000000002</v>
      </c>
      <c r="J204" s="74">
        <f t="shared" si="8"/>
        <v>-1</v>
      </c>
    </row>
    <row r="205" spans="1:10" ht="20.100000000000001" customHeight="1" x14ac:dyDescent="0.25">
      <c r="A205" s="73">
        <f t="shared" si="6"/>
        <v>0.23999999999999996</v>
      </c>
      <c r="B205" s="74">
        <f t="shared" si="8"/>
        <v>-0.14879999999999999</v>
      </c>
      <c r="C205" s="74">
        <f t="shared" si="8"/>
        <v>-0.15152383999999999</v>
      </c>
      <c r="D205" s="74">
        <f t="shared" si="8"/>
        <v>-0.17025024</v>
      </c>
      <c r="E205" s="74">
        <f t="shared" si="8"/>
        <v>-0.21766207999999998</v>
      </c>
      <c r="F205" s="74">
        <f t="shared" si="8"/>
        <v>-0.3028672</v>
      </c>
      <c r="G205" s="74">
        <f t="shared" si="8"/>
        <v>-0.43139840000000007</v>
      </c>
      <c r="H205" s="74">
        <f t="shared" si="8"/>
        <v>-0.59653120000000004</v>
      </c>
      <c r="I205" s="74">
        <f t="shared" si="8"/>
        <v>-0.7889024</v>
      </c>
      <c r="J205" s="74">
        <f t="shared" si="8"/>
        <v>-1</v>
      </c>
    </row>
    <row r="206" spans="1:10" ht="20.100000000000001" customHeight="1" x14ac:dyDescent="0.25">
      <c r="A206" s="73">
        <f t="shared" ref="A206:A209" si="9">A135</f>
        <v>0.25999999999999995</v>
      </c>
      <c r="B206" s="74">
        <f t="shared" si="8"/>
        <v>-0.1638</v>
      </c>
      <c r="C206" s="74">
        <f t="shared" si="8"/>
        <v>-0.16647583999999999</v>
      </c>
      <c r="D206" s="74">
        <f t="shared" si="8"/>
        <v>-0.18487223999999997</v>
      </c>
      <c r="E206" s="74">
        <f t="shared" si="8"/>
        <v>-0.23144857999999999</v>
      </c>
      <c r="F206" s="74">
        <f t="shared" si="8"/>
        <v>-0.31515219999999999</v>
      </c>
      <c r="G206" s="74">
        <f t="shared" si="8"/>
        <v>-0.44141840000000004</v>
      </c>
      <c r="H206" s="74">
        <f t="shared" si="8"/>
        <v>-0.60364119999999999</v>
      </c>
      <c r="I206" s="74">
        <f t="shared" si="8"/>
        <v>-0.79262240000000006</v>
      </c>
      <c r="J206" s="74">
        <f t="shared" si="8"/>
        <v>-1</v>
      </c>
    </row>
    <row r="207" spans="1:10" ht="20.100000000000001" customHeight="1" x14ac:dyDescent="0.25">
      <c r="A207" s="73">
        <f t="shared" si="9"/>
        <v>0.27999999999999997</v>
      </c>
      <c r="B207" s="74">
        <f t="shared" si="8"/>
        <v>-0.17919999999999997</v>
      </c>
      <c r="C207" s="74">
        <f t="shared" si="8"/>
        <v>-0.18182655999999997</v>
      </c>
      <c r="D207" s="74">
        <f t="shared" si="8"/>
        <v>-0.19988415999999998</v>
      </c>
      <c r="E207" s="74">
        <f t="shared" si="8"/>
        <v>-0.24560271999999997</v>
      </c>
      <c r="F207" s="74">
        <f t="shared" si="8"/>
        <v>-0.32776479999999997</v>
      </c>
      <c r="G207" s="74">
        <f t="shared" si="8"/>
        <v>-0.45170559999999993</v>
      </c>
      <c r="H207" s="74">
        <f t="shared" si="8"/>
        <v>-0.61094080000000006</v>
      </c>
      <c r="I207" s="74">
        <f t="shared" si="8"/>
        <v>-0.79644159999999997</v>
      </c>
      <c r="J207" s="74">
        <f t="shared" si="8"/>
        <v>-1</v>
      </c>
    </row>
    <row r="208" spans="1:10" ht="20.100000000000001" customHeight="1" x14ac:dyDescent="0.25">
      <c r="A208" s="73">
        <f t="shared" si="9"/>
        <v>0.3</v>
      </c>
      <c r="B208" s="74">
        <f t="shared" si="8"/>
        <v>-0.19500000000000001</v>
      </c>
      <c r="C208" s="74">
        <f t="shared" si="8"/>
        <v>-0.197576</v>
      </c>
      <c r="D208" s="74">
        <f t="shared" si="8"/>
        <v>-0.21528600000000001</v>
      </c>
      <c r="E208" s="74">
        <f t="shared" si="8"/>
        <v>-0.26012450000000004</v>
      </c>
      <c r="F208" s="74">
        <f t="shared" si="8"/>
        <v>-0.34070500000000004</v>
      </c>
      <c r="G208" s="74">
        <f t="shared" si="8"/>
        <v>-0.46226</v>
      </c>
      <c r="H208" s="74">
        <f t="shared" si="8"/>
        <v>-0.61843000000000004</v>
      </c>
      <c r="I208" s="74">
        <f t="shared" si="8"/>
        <v>-0.80035999999999996</v>
      </c>
      <c r="J208" s="74">
        <f t="shared" si="8"/>
        <v>-1</v>
      </c>
    </row>
    <row r="209" spans="1:10" ht="20.100000000000001" customHeight="1" x14ac:dyDescent="0.25">
      <c r="A209" s="73">
        <f t="shared" si="9"/>
        <v>0.32</v>
      </c>
      <c r="B209" s="74">
        <f t="shared" si="8"/>
        <v>-0.2112</v>
      </c>
      <c r="C209" s="74">
        <f t="shared" si="8"/>
        <v>-0.21372416000000002</v>
      </c>
      <c r="D209" s="74">
        <f t="shared" si="8"/>
        <v>-0.23107776000000002</v>
      </c>
      <c r="E209" s="74">
        <f t="shared" si="8"/>
        <v>-0.27501392000000002</v>
      </c>
      <c r="F209" s="74">
        <f t="shared" si="8"/>
        <v>-0.35397280000000003</v>
      </c>
      <c r="G209" s="74">
        <f t="shared" si="8"/>
        <v>-0.47308159999999999</v>
      </c>
      <c r="H209" s="74">
        <f t="shared" si="8"/>
        <v>-0.62610879999999991</v>
      </c>
      <c r="I209" s="74">
        <f t="shared" si="8"/>
        <v>-0.80437760000000003</v>
      </c>
      <c r="J209" s="74">
        <f t="shared" si="8"/>
        <v>-1</v>
      </c>
    </row>
    <row r="210" spans="1:10" ht="20.100000000000001" customHeight="1" x14ac:dyDescent="0.25">
      <c r="A210" s="73">
        <f>A139</f>
        <v>0.34</v>
      </c>
      <c r="B210" s="74">
        <f t="shared" ref="B210:J225" si="10">-(B139/100)</f>
        <v>-0.22780000000000006</v>
      </c>
      <c r="C210" s="74">
        <f t="shared" si="10"/>
        <v>-0.23027104000000004</v>
      </c>
      <c r="D210" s="74">
        <f t="shared" si="10"/>
        <v>-0.24725944000000005</v>
      </c>
      <c r="E210" s="74">
        <f t="shared" si="10"/>
        <v>-0.29027098000000001</v>
      </c>
      <c r="F210" s="74">
        <f t="shared" si="10"/>
        <v>-0.36756820000000007</v>
      </c>
      <c r="G210" s="74">
        <f t="shared" si="10"/>
        <v>-0.48417040000000006</v>
      </c>
      <c r="H210" s="74">
        <f t="shared" si="10"/>
        <v>-0.63397720000000002</v>
      </c>
      <c r="I210" s="74">
        <f t="shared" si="10"/>
        <v>-0.80849440000000017</v>
      </c>
      <c r="J210" s="74">
        <f t="shared" si="10"/>
        <v>-1</v>
      </c>
    </row>
    <row r="211" spans="1:10" ht="20.100000000000001" customHeight="1" x14ac:dyDescent="0.25">
      <c r="A211" s="73">
        <f t="shared" ref="A211:A225" si="11">A140</f>
        <v>0.36000000000000004</v>
      </c>
      <c r="B211" s="74">
        <f t="shared" si="10"/>
        <v>-0.24480000000000002</v>
      </c>
      <c r="C211" s="74">
        <f t="shared" si="10"/>
        <v>-0.24721664000000002</v>
      </c>
      <c r="D211" s="74">
        <f t="shared" si="10"/>
        <v>-0.26383104000000002</v>
      </c>
      <c r="E211" s="74">
        <f t="shared" si="10"/>
        <v>-0.30589568</v>
      </c>
      <c r="F211" s="74">
        <f t="shared" si="10"/>
        <v>-0.38149119999999997</v>
      </c>
      <c r="G211" s="74">
        <f t="shared" si="10"/>
        <v>-0.49552639999999998</v>
      </c>
      <c r="H211" s="74">
        <f t="shared" si="10"/>
        <v>-0.64203520000000003</v>
      </c>
      <c r="I211" s="74">
        <f t="shared" si="10"/>
        <v>-0.81271039999999994</v>
      </c>
      <c r="J211" s="74">
        <f t="shared" si="10"/>
        <v>-1</v>
      </c>
    </row>
    <row r="212" spans="1:10" ht="20.100000000000001" customHeight="1" x14ac:dyDescent="0.25">
      <c r="A212" s="73">
        <f t="shared" si="11"/>
        <v>0.38000000000000006</v>
      </c>
      <c r="B212" s="74">
        <f t="shared" si="10"/>
        <v>-0.26220000000000004</v>
      </c>
      <c r="C212" s="74">
        <f t="shared" si="10"/>
        <v>-0.26456096000000007</v>
      </c>
      <c r="D212" s="74">
        <f t="shared" si="10"/>
        <v>-0.28079256000000002</v>
      </c>
      <c r="E212" s="74">
        <f t="shared" si="10"/>
        <v>-0.32188802000000005</v>
      </c>
      <c r="F212" s="74">
        <f t="shared" si="10"/>
        <v>-0.39574180000000003</v>
      </c>
      <c r="G212" s="74">
        <f t="shared" si="10"/>
        <v>-0.50714960000000009</v>
      </c>
      <c r="H212" s="74">
        <f t="shared" si="10"/>
        <v>-0.65028279999999994</v>
      </c>
      <c r="I212" s="74">
        <f t="shared" si="10"/>
        <v>-0.81702560000000002</v>
      </c>
      <c r="J212" s="74">
        <f t="shared" si="10"/>
        <v>-1</v>
      </c>
    </row>
    <row r="213" spans="1:10" ht="20.100000000000001" customHeight="1" x14ac:dyDescent="0.25">
      <c r="A213" s="73">
        <f t="shared" si="11"/>
        <v>0.40000000000000008</v>
      </c>
      <c r="B213" s="74">
        <f t="shared" si="10"/>
        <v>-0.28000000000000008</v>
      </c>
      <c r="C213" s="74">
        <f t="shared" si="10"/>
        <v>-0.28230400000000005</v>
      </c>
      <c r="D213" s="74">
        <f t="shared" si="10"/>
        <v>-0.29814400000000008</v>
      </c>
      <c r="E213" s="74">
        <f t="shared" si="10"/>
        <v>-0.3382480000000001</v>
      </c>
      <c r="F213" s="74">
        <f t="shared" si="10"/>
        <v>-0.41032000000000013</v>
      </c>
      <c r="G213" s="74">
        <f t="shared" si="10"/>
        <v>-0.51904000000000006</v>
      </c>
      <c r="H213" s="74">
        <f t="shared" si="10"/>
        <v>-0.65872000000000019</v>
      </c>
      <c r="I213" s="74">
        <f t="shared" si="10"/>
        <v>-0.82144000000000006</v>
      </c>
      <c r="J213" s="74">
        <f t="shared" si="10"/>
        <v>-1</v>
      </c>
    </row>
    <row r="214" spans="1:10" ht="20.100000000000001" customHeight="1" x14ac:dyDescent="0.25">
      <c r="A214" s="73">
        <f t="shared" si="11"/>
        <v>0.4200000000000001</v>
      </c>
      <c r="B214" s="74">
        <f t="shared" si="10"/>
        <v>-0.29820000000000008</v>
      </c>
      <c r="C214" s="74">
        <f t="shared" si="10"/>
        <v>-0.30044576000000006</v>
      </c>
      <c r="D214" s="74">
        <f t="shared" si="10"/>
        <v>-0.31588536000000006</v>
      </c>
      <c r="E214" s="74">
        <f t="shared" si="10"/>
        <v>-0.3549756200000001</v>
      </c>
      <c r="F214" s="74">
        <f t="shared" si="10"/>
        <v>-0.42522580000000004</v>
      </c>
      <c r="G214" s="74">
        <f t="shared" si="10"/>
        <v>-0.53119760000000016</v>
      </c>
      <c r="H214" s="74">
        <f t="shared" si="10"/>
        <v>-0.66734680000000002</v>
      </c>
      <c r="I214" s="74">
        <f t="shared" si="10"/>
        <v>-0.82595359999999995</v>
      </c>
      <c r="J214" s="74">
        <f t="shared" si="10"/>
        <v>-1</v>
      </c>
    </row>
    <row r="215" spans="1:10" ht="20.100000000000001" customHeight="1" x14ac:dyDescent="0.25">
      <c r="A215" s="73">
        <f t="shared" si="11"/>
        <v>0.44000000000000011</v>
      </c>
      <c r="B215" s="74">
        <f t="shared" si="10"/>
        <v>-0.31680000000000008</v>
      </c>
      <c r="C215" s="74">
        <f t="shared" si="10"/>
        <v>-0.31898624000000003</v>
      </c>
      <c r="D215" s="74">
        <f t="shared" si="10"/>
        <v>-0.33401664000000003</v>
      </c>
      <c r="E215" s="74">
        <f t="shared" si="10"/>
        <v>-0.37207088000000005</v>
      </c>
      <c r="F215" s="74">
        <f t="shared" si="10"/>
        <v>-0.44045920000000011</v>
      </c>
      <c r="G215" s="74">
        <f t="shared" si="10"/>
        <v>-0.54362240000000006</v>
      </c>
      <c r="H215" s="74">
        <f t="shared" si="10"/>
        <v>-0.67616319999999996</v>
      </c>
      <c r="I215" s="74">
        <f t="shared" si="10"/>
        <v>-0.83056640000000004</v>
      </c>
      <c r="J215" s="74">
        <f t="shared" si="10"/>
        <v>-1</v>
      </c>
    </row>
    <row r="216" spans="1:10" ht="20.100000000000001" customHeight="1" x14ac:dyDescent="0.25">
      <c r="A216" s="73">
        <f t="shared" si="11"/>
        <v>0.46000000000000013</v>
      </c>
      <c r="B216" s="74">
        <f t="shared" si="10"/>
        <v>-0.3358000000000001</v>
      </c>
      <c r="C216" s="74">
        <f t="shared" si="10"/>
        <v>-0.33792544000000013</v>
      </c>
      <c r="D216" s="74">
        <f t="shared" si="10"/>
        <v>-0.3525378400000001</v>
      </c>
      <c r="E216" s="74">
        <f t="shared" si="10"/>
        <v>-0.38953378000000016</v>
      </c>
      <c r="F216" s="74">
        <f t="shared" si="10"/>
        <v>-0.4560202000000001</v>
      </c>
      <c r="G216" s="74">
        <f t="shared" si="10"/>
        <v>-0.5563144000000001</v>
      </c>
      <c r="H216" s="74">
        <f t="shared" si="10"/>
        <v>-0.68516920000000003</v>
      </c>
      <c r="I216" s="74">
        <f t="shared" si="10"/>
        <v>-0.83527840000000009</v>
      </c>
      <c r="J216" s="74">
        <f t="shared" si="10"/>
        <v>-1</v>
      </c>
    </row>
    <row r="217" spans="1:10" ht="20.100000000000001" customHeight="1" x14ac:dyDescent="0.25">
      <c r="A217" s="73">
        <f t="shared" si="11"/>
        <v>0.48000000000000015</v>
      </c>
      <c r="B217" s="74">
        <f t="shared" si="10"/>
        <v>-0.35520000000000013</v>
      </c>
      <c r="C217" s="74">
        <f t="shared" si="10"/>
        <v>-0.35726336000000009</v>
      </c>
      <c r="D217" s="74">
        <f t="shared" si="10"/>
        <v>-0.37144896000000011</v>
      </c>
      <c r="E217" s="74">
        <f t="shared" si="10"/>
        <v>-0.40736432000000006</v>
      </c>
      <c r="F217" s="74">
        <f t="shared" si="10"/>
        <v>-0.47190880000000007</v>
      </c>
      <c r="G217" s="74">
        <f t="shared" si="10"/>
        <v>-0.56927360000000005</v>
      </c>
      <c r="H217" s="74">
        <f t="shared" si="10"/>
        <v>-0.69436480000000023</v>
      </c>
      <c r="I217" s="74">
        <f t="shared" si="10"/>
        <v>-0.84008959999999999</v>
      </c>
      <c r="J217" s="74">
        <f t="shared" si="10"/>
        <v>-1</v>
      </c>
    </row>
    <row r="218" spans="1:10" ht="20.100000000000001" customHeight="1" x14ac:dyDescent="0.25">
      <c r="A218" s="73">
        <f t="shared" si="11"/>
        <v>0.50000000000000011</v>
      </c>
      <c r="B218" s="74">
        <f t="shared" si="10"/>
        <v>-0.37500000000000017</v>
      </c>
      <c r="C218" s="74">
        <f t="shared" si="10"/>
        <v>-0.37700000000000017</v>
      </c>
      <c r="D218" s="74">
        <f t="shared" si="10"/>
        <v>-0.39075000000000015</v>
      </c>
      <c r="E218" s="74">
        <f t="shared" si="10"/>
        <v>-0.42556250000000012</v>
      </c>
      <c r="F218" s="74">
        <f t="shared" si="10"/>
        <v>-0.48812500000000014</v>
      </c>
      <c r="G218" s="74">
        <f t="shared" si="10"/>
        <v>-0.58250000000000013</v>
      </c>
      <c r="H218" s="74">
        <f t="shared" si="10"/>
        <v>-0.70374999999999999</v>
      </c>
      <c r="I218" s="74">
        <f t="shared" si="10"/>
        <v>-0.84499999999999997</v>
      </c>
      <c r="J218" s="74">
        <f t="shared" si="10"/>
        <v>-1</v>
      </c>
    </row>
    <row r="219" spans="1:10" ht="20.100000000000001" customHeight="1" x14ac:dyDescent="0.25">
      <c r="A219" s="73">
        <f t="shared" si="11"/>
        <v>0.52000000000000013</v>
      </c>
      <c r="B219" s="74">
        <f t="shared" si="10"/>
        <v>-0.39520000000000011</v>
      </c>
      <c r="C219" s="74">
        <f t="shared" si="10"/>
        <v>-0.3971353600000001</v>
      </c>
      <c r="D219" s="74">
        <f t="shared" si="10"/>
        <v>-0.41044096000000008</v>
      </c>
      <c r="E219" s="74">
        <f t="shared" si="10"/>
        <v>-0.44412832000000008</v>
      </c>
      <c r="F219" s="74">
        <f t="shared" si="10"/>
        <v>-0.50466880000000014</v>
      </c>
      <c r="G219" s="74">
        <f t="shared" si="10"/>
        <v>-0.59599360000000001</v>
      </c>
      <c r="H219" s="74">
        <f t="shared" si="10"/>
        <v>-0.71332480000000009</v>
      </c>
      <c r="I219" s="74">
        <f t="shared" si="10"/>
        <v>-0.85000960000000003</v>
      </c>
      <c r="J219" s="74">
        <f t="shared" si="10"/>
        <v>-1</v>
      </c>
    </row>
    <row r="220" spans="1:10" ht="20.100000000000001" customHeight="1" x14ac:dyDescent="0.25">
      <c r="A220" s="73">
        <f t="shared" si="11"/>
        <v>0.54000000000000015</v>
      </c>
      <c r="B220" s="74">
        <f t="shared" si="10"/>
        <v>-0.41580000000000017</v>
      </c>
      <c r="C220" s="74">
        <f t="shared" si="10"/>
        <v>-0.41766944000000017</v>
      </c>
      <c r="D220" s="74">
        <f t="shared" si="10"/>
        <v>-0.43052184000000016</v>
      </c>
      <c r="E220" s="74">
        <f t="shared" si="10"/>
        <v>-0.46306178000000014</v>
      </c>
      <c r="F220" s="74">
        <f t="shared" si="10"/>
        <v>-0.52154020000000012</v>
      </c>
      <c r="G220" s="74">
        <f t="shared" si="10"/>
        <v>-0.60975440000000014</v>
      </c>
      <c r="H220" s="74">
        <f t="shared" si="10"/>
        <v>-0.72308919999999999</v>
      </c>
      <c r="I220" s="74">
        <f t="shared" si="10"/>
        <v>-0.85511840000000006</v>
      </c>
      <c r="J220" s="74">
        <f t="shared" si="10"/>
        <v>-1</v>
      </c>
    </row>
    <row r="221" spans="1:10" ht="20.100000000000001" customHeight="1" x14ac:dyDescent="0.25">
      <c r="A221" s="73">
        <f t="shared" si="11"/>
        <v>0.56000000000000016</v>
      </c>
      <c r="B221" s="74">
        <f t="shared" si="10"/>
        <v>-0.43680000000000019</v>
      </c>
      <c r="C221" s="74">
        <f t="shared" si="10"/>
        <v>-0.43860224000000025</v>
      </c>
      <c r="D221" s="74">
        <f t="shared" si="10"/>
        <v>-0.45099264000000017</v>
      </c>
      <c r="E221" s="74">
        <f t="shared" si="10"/>
        <v>-0.48236288000000016</v>
      </c>
      <c r="F221" s="74">
        <f t="shared" si="10"/>
        <v>-0.5387392000000002</v>
      </c>
      <c r="G221" s="74">
        <f t="shared" si="10"/>
        <v>-0.62378240000000018</v>
      </c>
      <c r="H221" s="74">
        <f t="shared" si="10"/>
        <v>-0.73304320000000023</v>
      </c>
      <c r="I221" s="74">
        <f t="shared" si="10"/>
        <v>-0.86032640000000005</v>
      </c>
      <c r="J221" s="74">
        <f t="shared" si="10"/>
        <v>-1</v>
      </c>
    </row>
    <row r="222" spans="1:10" ht="20.100000000000001" customHeight="1" x14ac:dyDescent="0.25">
      <c r="A222" s="73">
        <f t="shared" si="11"/>
        <v>0.58000000000000018</v>
      </c>
      <c r="B222" s="74">
        <f t="shared" si="10"/>
        <v>-0.45820000000000016</v>
      </c>
      <c r="C222" s="74">
        <f t="shared" si="10"/>
        <v>-0.45993376000000014</v>
      </c>
      <c r="D222" s="74">
        <f t="shared" si="10"/>
        <v>-0.47185336000000011</v>
      </c>
      <c r="E222" s="74">
        <f t="shared" si="10"/>
        <v>-0.50203162000000012</v>
      </c>
      <c r="F222" s="74">
        <f t="shared" si="10"/>
        <v>-0.55626580000000014</v>
      </c>
      <c r="G222" s="74">
        <f t="shared" si="10"/>
        <v>-0.63807760000000013</v>
      </c>
      <c r="H222" s="74">
        <f t="shared" si="10"/>
        <v>-0.74318680000000004</v>
      </c>
      <c r="I222" s="74">
        <f t="shared" si="10"/>
        <v>-0.8656336</v>
      </c>
      <c r="J222" s="74">
        <f t="shared" si="10"/>
        <v>-1</v>
      </c>
    </row>
    <row r="223" spans="1:10" ht="20.100000000000001" customHeight="1" x14ac:dyDescent="0.25">
      <c r="A223" s="73">
        <f t="shared" si="11"/>
        <v>0.6000000000000002</v>
      </c>
      <c r="B223" s="74">
        <f t="shared" si="10"/>
        <v>-0.4800000000000002</v>
      </c>
      <c r="C223" s="74">
        <f t="shared" si="10"/>
        <v>-0.48166400000000026</v>
      </c>
      <c r="D223" s="74">
        <f t="shared" si="10"/>
        <v>-0.49310400000000021</v>
      </c>
      <c r="E223" s="74">
        <f t="shared" si="10"/>
        <v>-0.5220680000000002</v>
      </c>
      <c r="F223" s="74">
        <f t="shared" si="10"/>
        <v>-0.57412000000000019</v>
      </c>
      <c r="G223" s="74">
        <f t="shared" si="10"/>
        <v>-0.65264000000000011</v>
      </c>
      <c r="H223" s="74">
        <f t="shared" si="10"/>
        <v>-0.75352000000000008</v>
      </c>
      <c r="I223" s="74">
        <f t="shared" si="10"/>
        <v>-0.87104000000000015</v>
      </c>
      <c r="J223" s="74">
        <f t="shared" si="10"/>
        <v>-1</v>
      </c>
    </row>
    <row r="224" spans="1:10" ht="20.100000000000001" customHeight="1" x14ac:dyDescent="0.25">
      <c r="A224" s="73">
        <f t="shared" si="11"/>
        <v>0.62000000000000022</v>
      </c>
      <c r="B224" s="74">
        <f t="shared" si="10"/>
        <v>-0.5022000000000002</v>
      </c>
      <c r="C224" s="74">
        <f t="shared" si="10"/>
        <v>-0.50379296000000018</v>
      </c>
      <c r="D224" s="74">
        <f t="shared" si="10"/>
        <v>-0.51474456000000013</v>
      </c>
      <c r="E224" s="74">
        <f t="shared" si="10"/>
        <v>-0.54247202000000017</v>
      </c>
      <c r="F224" s="74">
        <f t="shared" si="10"/>
        <v>-0.59230180000000021</v>
      </c>
      <c r="G224" s="74">
        <f t="shared" si="10"/>
        <v>-0.66746960000000011</v>
      </c>
      <c r="H224" s="74">
        <f t="shared" si="10"/>
        <v>-0.76404280000000013</v>
      </c>
      <c r="I224" s="74">
        <f t="shared" si="10"/>
        <v>-0.87654560000000004</v>
      </c>
      <c r="J224" s="74">
        <f t="shared" si="10"/>
        <v>-1</v>
      </c>
    </row>
    <row r="225" spans="1:10" ht="20.100000000000001" customHeight="1" x14ac:dyDescent="0.25">
      <c r="A225" s="73">
        <f t="shared" si="11"/>
        <v>0.64000000000000024</v>
      </c>
      <c r="B225" s="74">
        <f t="shared" si="10"/>
        <v>-0.52480000000000027</v>
      </c>
      <c r="C225" s="74">
        <f t="shared" si="10"/>
        <v>-0.52632064000000023</v>
      </c>
      <c r="D225" s="74">
        <f t="shared" si="10"/>
        <v>-0.53677504000000031</v>
      </c>
      <c r="E225" s="74">
        <f t="shared" si="10"/>
        <v>-0.56324368000000025</v>
      </c>
      <c r="F225" s="74">
        <f t="shared" si="10"/>
        <v>-0.61081120000000022</v>
      </c>
      <c r="G225" s="74">
        <f t="shared" si="10"/>
        <v>-0.68256640000000024</v>
      </c>
      <c r="H225" s="74">
        <f t="shared" si="10"/>
        <v>-0.7747552000000002</v>
      </c>
      <c r="I225" s="74">
        <f t="shared" si="10"/>
        <v>-0.88215040000000011</v>
      </c>
      <c r="J225" s="74">
        <f t="shared" si="10"/>
        <v>-1</v>
      </c>
    </row>
    <row r="226" spans="1:10" ht="20.100000000000001" customHeight="1" x14ac:dyDescent="0.25">
      <c r="A226" s="73">
        <f>A155</f>
        <v>0.66000000000000025</v>
      </c>
      <c r="B226" s="74">
        <f t="shared" ref="B226:J241" si="12">-(B155/100)</f>
        <v>-0.54780000000000029</v>
      </c>
      <c r="C226" s="74">
        <f t="shared" si="12"/>
        <v>-0.54924704000000024</v>
      </c>
      <c r="D226" s="74">
        <f t="shared" si="12"/>
        <v>-0.55919544000000032</v>
      </c>
      <c r="E226" s="74">
        <f t="shared" si="12"/>
        <v>-0.58438298000000022</v>
      </c>
      <c r="F226" s="74">
        <f t="shared" si="12"/>
        <v>-0.62964820000000021</v>
      </c>
      <c r="G226" s="74">
        <f t="shared" si="12"/>
        <v>-0.69793040000000017</v>
      </c>
      <c r="H226" s="74">
        <f t="shared" si="12"/>
        <v>-0.78565720000000017</v>
      </c>
      <c r="I226" s="74">
        <f t="shared" si="12"/>
        <v>-0.88785440000000004</v>
      </c>
      <c r="J226" s="74">
        <f t="shared" si="12"/>
        <v>-1</v>
      </c>
    </row>
    <row r="227" spans="1:10" ht="20.100000000000001" customHeight="1" x14ac:dyDescent="0.25">
      <c r="A227" s="73">
        <f t="shared" ref="A227:A243" si="13">A156</f>
        <v>0.68000000000000027</v>
      </c>
      <c r="B227" s="74">
        <f t="shared" si="12"/>
        <v>-0.57120000000000037</v>
      </c>
      <c r="C227" s="74">
        <f t="shared" si="12"/>
        <v>-0.57257216000000044</v>
      </c>
      <c r="D227" s="74">
        <f t="shared" si="12"/>
        <v>-0.58200576000000037</v>
      </c>
      <c r="E227" s="74">
        <f t="shared" si="12"/>
        <v>-0.6058899200000003</v>
      </c>
      <c r="F227" s="74">
        <f t="shared" si="12"/>
        <v>-0.6488128000000003</v>
      </c>
      <c r="G227" s="74">
        <f t="shared" si="12"/>
        <v>-0.71356160000000035</v>
      </c>
      <c r="H227" s="74">
        <f t="shared" si="12"/>
        <v>-0.79674880000000015</v>
      </c>
      <c r="I227" s="74">
        <f t="shared" si="12"/>
        <v>-0.89365760000000027</v>
      </c>
      <c r="J227" s="74">
        <f t="shared" si="12"/>
        <v>-1</v>
      </c>
    </row>
    <row r="228" spans="1:10" ht="20.100000000000001" customHeight="1" x14ac:dyDescent="0.25">
      <c r="A228" s="73">
        <f t="shared" si="13"/>
        <v>0.70000000000000029</v>
      </c>
      <c r="B228" s="74">
        <f t="shared" si="12"/>
        <v>-0.59500000000000031</v>
      </c>
      <c r="C228" s="74">
        <f t="shared" si="12"/>
        <v>-0.59629600000000027</v>
      </c>
      <c r="D228" s="74">
        <f t="shared" si="12"/>
        <v>-0.60520600000000035</v>
      </c>
      <c r="E228" s="74">
        <f t="shared" si="12"/>
        <v>-0.62776450000000028</v>
      </c>
      <c r="F228" s="74">
        <f t="shared" si="12"/>
        <v>-0.66830500000000026</v>
      </c>
      <c r="G228" s="74">
        <f t="shared" si="12"/>
        <v>-0.72946000000000022</v>
      </c>
      <c r="H228" s="74">
        <f t="shared" si="12"/>
        <v>-0.80803000000000014</v>
      </c>
      <c r="I228" s="74">
        <f t="shared" si="12"/>
        <v>-0.89956000000000014</v>
      </c>
      <c r="J228" s="74">
        <f t="shared" si="12"/>
        <v>-1</v>
      </c>
    </row>
    <row r="229" spans="1:10" ht="20.100000000000001" customHeight="1" x14ac:dyDescent="0.25">
      <c r="A229" s="73">
        <f t="shared" si="13"/>
        <v>0.72000000000000031</v>
      </c>
      <c r="B229" s="74">
        <f t="shared" si="12"/>
        <v>-0.61920000000000042</v>
      </c>
      <c r="C229" s="74">
        <f t="shared" si="12"/>
        <v>-0.62041856000000051</v>
      </c>
      <c r="D229" s="74">
        <f t="shared" si="12"/>
        <v>-0.62879616000000038</v>
      </c>
      <c r="E229" s="74">
        <f t="shared" si="12"/>
        <v>-0.65000672000000037</v>
      </c>
      <c r="F229" s="74">
        <f t="shared" si="12"/>
        <v>-0.68812480000000031</v>
      </c>
      <c r="G229" s="74">
        <f t="shared" si="12"/>
        <v>-0.74562560000000033</v>
      </c>
      <c r="H229" s="74">
        <f t="shared" si="12"/>
        <v>-0.81950080000000014</v>
      </c>
      <c r="I229" s="74">
        <f t="shared" si="12"/>
        <v>-0.90556160000000008</v>
      </c>
      <c r="J229" s="74">
        <f t="shared" si="12"/>
        <v>-1</v>
      </c>
    </row>
    <row r="230" spans="1:10" ht="20.100000000000001" customHeight="1" x14ac:dyDescent="0.25">
      <c r="A230" s="73">
        <f t="shared" si="13"/>
        <v>0.74000000000000032</v>
      </c>
      <c r="B230" s="74">
        <f t="shared" si="12"/>
        <v>-0.64380000000000037</v>
      </c>
      <c r="C230" s="74">
        <f t="shared" si="12"/>
        <v>-0.64493984000000038</v>
      </c>
      <c r="D230" s="74">
        <f t="shared" si="12"/>
        <v>-0.65277624000000034</v>
      </c>
      <c r="E230" s="74">
        <f t="shared" si="12"/>
        <v>-0.67261658000000035</v>
      </c>
      <c r="F230" s="74">
        <f t="shared" si="12"/>
        <v>-0.70827220000000035</v>
      </c>
      <c r="G230" s="74">
        <f t="shared" si="12"/>
        <v>-0.76205840000000025</v>
      </c>
      <c r="H230" s="74">
        <f t="shared" si="12"/>
        <v>-0.83116120000000027</v>
      </c>
      <c r="I230" s="74">
        <f t="shared" si="12"/>
        <v>-0.91166240000000021</v>
      </c>
      <c r="J230" s="74">
        <f t="shared" si="12"/>
        <v>-1</v>
      </c>
    </row>
    <row r="231" spans="1:10" ht="20.100000000000001" customHeight="1" x14ac:dyDescent="0.25">
      <c r="A231" s="73">
        <f t="shared" si="13"/>
        <v>0.76000000000000034</v>
      </c>
      <c r="B231" s="74">
        <f t="shared" si="12"/>
        <v>-0.66880000000000051</v>
      </c>
      <c r="C231" s="74">
        <f t="shared" si="12"/>
        <v>-0.66985984000000054</v>
      </c>
      <c r="D231" s="74">
        <f t="shared" si="12"/>
        <v>-0.67714624000000057</v>
      </c>
      <c r="E231" s="74">
        <f t="shared" si="12"/>
        <v>-0.69559408000000045</v>
      </c>
      <c r="F231" s="74">
        <f t="shared" si="12"/>
        <v>-0.72874720000000037</v>
      </c>
      <c r="G231" s="74">
        <f t="shared" si="12"/>
        <v>-0.77875840000000041</v>
      </c>
      <c r="H231" s="74">
        <f t="shared" si="12"/>
        <v>-0.84301120000000029</v>
      </c>
      <c r="I231" s="74">
        <f t="shared" si="12"/>
        <v>-0.91786240000000019</v>
      </c>
      <c r="J231" s="74">
        <f t="shared" si="12"/>
        <v>-1</v>
      </c>
    </row>
    <row r="232" spans="1:10" ht="20.100000000000001" customHeight="1" x14ac:dyDescent="0.25">
      <c r="A232" s="73">
        <f t="shared" si="13"/>
        <v>0.78000000000000036</v>
      </c>
      <c r="B232" s="74">
        <f t="shared" si="12"/>
        <v>-0.69420000000000048</v>
      </c>
      <c r="C232" s="74">
        <f t="shared" si="12"/>
        <v>-0.69517856000000033</v>
      </c>
      <c r="D232" s="74">
        <f t="shared" si="12"/>
        <v>-0.7019061600000005</v>
      </c>
      <c r="E232" s="74">
        <f t="shared" si="12"/>
        <v>-0.71893922000000043</v>
      </c>
      <c r="F232" s="74">
        <f t="shared" si="12"/>
        <v>-0.74954980000000038</v>
      </c>
      <c r="G232" s="74">
        <f t="shared" si="12"/>
        <v>-0.79572560000000037</v>
      </c>
      <c r="H232" s="74">
        <f t="shared" si="12"/>
        <v>-0.85505080000000022</v>
      </c>
      <c r="I232" s="74">
        <f t="shared" si="12"/>
        <v>-0.92416160000000014</v>
      </c>
      <c r="J232" s="74">
        <f t="shared" si="12"/>
        <v>-1</v>
      </c>
    </row>
    <row r="233" spans="1:10" ht="20.100000000000001" customHeight="1" x14ac:dyDescent="0.25">
      <c r="A233" s="73">
        <f t="shared" si="13"/>
        <v>0.80000000000000038</v>
      </c>
      <c r="B233" s="74">
        <f t="shared" si="12"/>
        <v>-0.72000000000000042</v>
      </c>
      <c r="C233" s="74">
        <f t="shared" si="12"/>
        <v>-0.72089600000000043</v>
      </c>
      <c r="D233" s="74">
        <f t="shared" si="12"/>
        <v>-0.72705600000000048</v>
      </c>
      <c r="E233" s="74">
        <f t="shared" si="12"/>
        <v>-0.74265200000000031</v>
      </c>
      <c r="F233" s="74">
        <f t="shared" si="12"/>
        <v>-0.77068000000000036</v>
      </c>
      <c r="G233" s="74">
        <f t="shared" si="12"/>
        <v>-0.81296000000000035</v>
      </c>
      <c r="H233" s="74">
        <f t="shared" si="12"/>
        <v>-0.86728000000000027</v>
      </c>
      <c r="I233" s="74">
        <f t="shared" si="12"/>
        <v>-0.93056000000000016</v>
      </c>
      <c r="J233" s="74">
        <f t="shared" si="12"/>
        <v>-1</v>
      </c>
    </row>
    <row r="234" spans="1:10" ht="20.100000000000001" customHeight="1" x14ac:dyDescent="0.25">
      <c r="A234" s="73">
        <f t="shared" si="13"/>
        <v>0.8200000000000004</v>
      </c>
      <c r="B234" s="74">
        <f t="shared" si="12"/>
        <v>-0.74620000000000042</v>
      </c>
      <c r="C234" s="74">
        <f t="shared" si="12"/>
        <v>-0.74701216000000048</v>
      </c>
      <c r="D234" s="74">
        <f t="shared" si="12"/>
        <v>-0.7525957600000005</v>
      </c>
      <c r="E234" s="74">
        <f t="shared" si="12"/>
        <v>-0.76673242000000041</v>
      </c>
      <c r="F234" s="74">
        <f t="shared" si="12"/>
        <v>-0.79213780000000045</v>
      </c>
      <c r="G234" s="74">
        <f t="shared" si="12"/>
        <v>-0.83046160000000024</v>
      </c>
      <c r="H234" s="74">
        <f t="shared" si="12"/>
        <v>-0.87969880000000023</v>
      </c>
      <c r="I234" s="74">
        <f t="shared" si="12"/>
        <v>-0.93705760000000016</v>
      </c>
      <c r="J234" s="74">
        <f t="shared" si="12"/>
        <v>-1</v>
      </c>
    </row>
    <row r="235" spans="1:10" ht="20.100000000000001" customHeight="1" x14ac:dyDescent="0.25">
      <c r="A235" s="73">
        <f t="shared" si="13"/>
        <v>0.84000000000000041</v>
      </c>
      <c r="B235" s="74">
        <f t="shared" si="12"/>
        <v>-0.7728000000000006</v>
      </c>
      <c r="C235" s="74">
        <f t="shared" si="12"/>
        <v>-0.77352704000000061</v>
      </c>
      <c r="D235" s="74">
        <f t="shared" si="12"/>
        <v>-0.77852544000000057</v>
      </c>
      <c r="E235" s="74">
        <f t="shared" si="12"/>
        <v>-0.79118048000000063</v>
      </c>
      <c r="F235" s="74">
        <f t="shared" si="12"/>
        <v>-0.8139232000000004</v>
      </c>
      <c r="G235" s="74">
        <f t="shared" si="12"/>
        <v>-0.84823040000000038</v>
      </c>
      <c r="H235" s="74">
        <f t="shared" si="12"/>
        <v>-0.89230720000000019</v>
      </c>
      <c r="I235" s="74">
        <f t="shared" si="12"/>
        <v>-0.94365440000000023</v>
      </c>
      <c r="J235" s="74">
        <f t="shared" si="12"/>
        <v>-1</v>
      </c>
    </row>
    <row r="236" spans="1:10" ht="20.100000000000001" customHeight="1" x14ac:dyDescent="0.25">
      <c r="A236" s="73">
        <f t="shared" si="13"/>
        <v>0.86000000000000043</v>
      </c>
      <c r="B236" s="74">
        <f t="shared" si="12"/>
        <v>-0.79980000000000051</v>
      </c>
      <c r="C236" s="74">
        <f t="shared" si="12"/>
        <v>-0.80044064000000048</v>
      </c>
      <c r="D236" s="74">
        <f t="shared" si="12"/>
        <v>-0.80484504000000046</v>
      </c>
      <c r="E236" s="74">
        <f t="shared" si="12"/>
        <v>-0.81599618000000051</v>
      </c>
      <c r="F236" s="74">
        <f t="shared" si="12"/>
        <v>-0.83603620000000034</v>
      </c>
      <c r="G236" s="74">
        <f t="shared" si="12"/>
        <v>-0.86626640000000033</v>
      </c>
      <c r="H236" s="74">
        <f t="shared" si="12"/>
        <v>-0.90510520000000028</v>
      </c>
      <c r="I236" s="74">
        <f t="shared" si="12"/>
        <v>-0.95035040000000004</v>
      </c>
      <c r="J236" s="74">
        <f t="shared" si="12"/>
        <v>-1</v>
      </c>
    </row>
    <row r="237" spans="1:10" ht="20.100000000000001" customHeight="1" x14ac:dyDescent="0.25">
      <c r="A237" s="73">
        <f t="shared" si="13"/>
        <v>0.88000000000000045</v>
      </c>
      <c r="B237" s="74">
        <f t="shared" si="12"/>
        <v>-0.8272000000000006</v>
      </c>
      <c r="C237" s="74">
        <f t="shared" si="12"/>
        <v>-0.82775296000000054</v>
      </c>
      <c r="D237" s="74">
        <f t="shared" si="12"/>
        <v>-0.83155456000000061</v>
      </c>
      <c r="E237" s="74">
        <f t="shared" si="12"/>
        <v>-0.8411795200000004</v>
      </c>
      <c r="F237" s="74">
        <f t="shared" si="12"/>
        <v>-0.85847680000000037</v>
      </c>
      <c r="G237" s="74">
        <f t="shared" si="12"/>
        <v>-0.8845696000000004</v>
      </c>
      <c r="H237" s="74">
        <f t="shared" si="12"/>
        <v>-0.91809280000000026</v>
      </c>
      <c r="I237" s="74">
        <f t="shared" si="12"/>
        <v>-0.95714560000000004</v>
      </c>
      <c r="J237" s="74">
        <f t="shared" si="12"/>
        <v>-1</v>
      </c>
    </row>
    <row r="238" spans="1:10" ht="20.100000000000001" customHeight="1" x14ac:dyDescent="0.25">
      <c r="A238" s="73">
        <f t="shared" si="13"/>
        <v>0.90000000000000047</v>
      </c>
      <c r="B238" s="74">
        <f t="shared" si="12"/>
        <v>-0.85500000000000076</v>
      </c>
      <c r="C238" s="74">
        <f t="shared" si="12"/>
        <v>-0.85546400000000078</v>
      </c>
      <c r="D238" s="74">
        <f t="shared" si="12"/>
        <v>-0.85865400000000069</v>
      </c>
      <c r="E238" s="74">
        <f t="shared" si="12"/>
        <v>-0.86673050000000063</v>
      </c>
      <c r="F238" s="74">
        <f t="shared" si="12"/>
        <v>-0.8812450000000005</v>
      </c>
      <c r="G238" s="74">
        <f t="shared" si="12"/>
        <v>-0.9031400000000005</v>
      </c>
      <c r="H238" s="74">
        <f t="shared" si="12"/>
        <v>-0.93127000000000038</v>
      </c>
      <c r="I238" s="74">
        <f t="shared" si="12"/>
        <v>-0.96404000000000023</v>
      </c>
      <c r="J238" s="74">
        <f t="shared" si="12"/>
        <v>-1</v>
      </c>
    </row>
    <row r="239" spans="1:10" ht="20.100000000000001" customHeight="1" x14ac:dyDescent="0.25">
      <c r="A239" s="73">
        <f t="shared" si="13"/>
        <v>0.92000000000000048</v>
      </c>
      <c r="B239" s="74">
        <f t="shared" si="12"/>
        <v>-0.88320000000000065</v>
      </c>
      <c r="C239" s="74">
        <f t="shared" si="12"/>
        <v>-0.88357376000000054</v>
      </c>
      <c r="D239" s="74">
        <f t="shared" si="12"/>
        <v>-0.8861433600000006</v>
      </c>
      <c r="E239" s="74">
        <f t="shared" si="12"/>
        <v>-0.89264912000000052</v>
      </c>
      <c r="F239" s="74">
        <f t="shared" si="12"/>
        <v>-0.9043408000000005</v>
      </c>
      <c r="G239" s="74">
        <f t="shared" si="12"/>
        <v>-0.9219776000000004</v>
      </c>
      <c r="H239" s="74">
        <f t="shared" si="12"/>
        <v>-0.94463680000000028</v>
      </c>
      <c r="I239" s="74">
        <f t="shared" si="12"/>
        <v>-0.97103360000000005</v>
      </c>
      <c r="J239" s="74">
        <f t="shared" si="12"/>
        <v>-1</v>
      </c>
    </row>
    <row r="240" spans="1:10" ht="20.100000000000001" customHeight="1" x14ac:dyDescent="0.25">
      <c r="A240" s="73">
        <f t="shared" si="13"/>
        <v>0.9400000000000005</v>
      </c>
      <c r="B240" s="74">
        <f t="shared" si="12"/>
        <v>-0.91180000000000083</v>
      </c>
      <c r="C240" s="74">
        <f t="shared" si="12"/>
        <v>-0.91208224000000071</v>
      </c>
      <c r="D240" s="74">
        <f t="shared" si="12"/>
        <v>-0.91402264000000077</v>
      </c>
      <c r="E240" s="74">
        <f t="shared" si="12"/>
        <v>-0.91893538000000075</v>
      </c>
      <c r="F240" s="74">
        <f t="shared" si="12"/>
        <v>-0.92776420000000059</v>
      </c>
      <c r="G240" s="74">
        <f t="shared" si="12"/>
        <v>-0.94108240000000054</v>
      </c>
      <c r="H240" s="74">
        <f t="shared" si="12"/>
        <v>-0.9581932000000003</v>
      </c>
      <c r="I240" s="74">
        <f t="shared" si="12"/>
        <v>-0.97812640000000017</v>
      </c>
      <c r="J240" s="74">
        <f t="shared" si="12"/>
        <v>-1</v>
      </c>
    </row>
    <row r="241" spans="1:10" ht="20.100000000000001" customHeight="1" x14ac:dyDescent="0.25">
      <c r="A241" s="73">
        <f t="shared" si="13"/>
        <v>0.96000000000000052</v>
      </c>
      <c r="B241" s="74">
        <f t="shared" si="12"/>
        <v>-0.94080000000000075</v>
      </c>
      <c r="C241" s="74">
        <f t="shared" si="12"/>
        <v>-0.94098944000000073</v>
      </c>
      <c r="D241" s="74">
        <f t="shared" si="12"/>
        <v>-0.94229184000000077</v>
      </c>
      <c r="E241" s="74">
        <f t="shared" si="12"/>
        <v>-0.94558928000000064</v>
      </c>
      <c r="F241" s="74">
        <f t="shared" si="12"/>
        <v>-0.95151520000000067</v>
      </c>
      <c r="G241" s="74">
        <f t="shared" si="12"/>
        <v>-0.96045440000000037</v>
      </c>
      <c r="H241" s="74">
        <f t="shared" si="12"/>
        <v>-0.97193920000000034</v>
      </c>
      <c r="I241" s="74">
        <f t="shared" si="12"/>
        <v>-0.98531840000000015</v>
      </c>
      <c r="J241" s="74">
        <f t="shared" si="12"/>
        <v>-1</v>
      </c>
    </row>
    <row r="242" spans="1:10" ht="20.100000000000001" customHeight="1" x14ac:dyDescent="0.25">
      <c r="A242" s="73">
        <f t="shared" si="13"/>
        <v>0.98000000000000054</v>
      </c>
      <c r="B242" s="74">
        <f t="shared" ref="B242:J243" si="14">-(B171/100)</f>
        <v>-0.97020000000000084</v>
      </c>
      <c r="C242" s="74">
        <f t="shared" si="14"/>
        <v>-0.97029536000000083</v>
      </c>
      <c r="D242" s="74">
        <f t="shared" si="14"/>
        <v>-0.97095096000000081</v>
      </c>
      <c r="E242" s="74">
        <f t="shared" si="14"/>
        <v>-0.97261082000000076</v>
      </c>
      <c r="F242" s="74">
        <f t="shared" si="14"/>
        <v>-0.97559380000000062</v>
      </c>
      <c r="G242" s="74">
        <f t="shared" si="14"/>
        <v>-0.98009360000000056</v>
      </c>
      <c r="H242" s="74">
        <f t="shared" si="14"/>
        <v>-0.98587480000000038</v>
      </c>
      <c r="I242" s="74">
        <f t="shared" si="14"/>
        <v>-0.9926096000000002</v>
      </c>
      <c r="J242" s="74">
        <f t="shared" si="14"/>
        <v>-1</v>
      </c>
    </row>
    <row r="243" spans="1:10" ht="20.100000000000001" customHeight="1" x14ac:dyDescent="0.25">
      <c r="A243" s="73">
        <f t="shared" si="13"/>
        <v>1.0000000000000004</v>
      </c>
      <c r="B243" s="74">
        <f t="shared" si="14"/>
        <v>-1.0000000000000007</v>
      </c>
      <c r="C243" s="74">
        <f t="shared" si="14"/>
        <v>-1.0000000000000007</v>
      </c>
      <c r="D243" s="74">
        <f t="shared" si="14"/>
        <v>-1.0000000000000007</v>
      </c>
      <c r="E243" s="74">
        <f t="shared" si="14"/>
        <v>-1.0000000000000007</v>
      </c>
      <c r="F243" s="74">
        <f t="shared" si="14"/>
        <v>-1.0000000000000007</v>
      </c>
      <c r="G243" s="74">
        <f t="shared" si="14"/>
        <v>-1.0000000000000004</v>
      </c>
      <c r="H243" s="74">
        <f t="shared" si="14"/>
        <v>-1.0000000000000002</v>
      </c>
      <c r="I243" s="74">
        <f t="shared" si="14"/>
        <v>-1.0000000000000002</v>
      </c>
      <c r="J243" s="74">
        <f t="shared" si="14"/>
        <v>-1</v>
      </c>
    </row>
    <row r="244" spans="1:10" ht="20.100000000000001" customHeight="1" x14ac:dyDescent="0.25">
      <c r="A244" s="1"/>
      <c r="B244" s="1"/>
      <c r="C244" s="1"/>
      <c r="D244" s="1"/>
      <c r="E244" s="1"/>
      <c r="F244" s="1"/>
      <c r="G244" s="1"/>
      <c r="H244" s="1"/>
      <c r="I244" s="1"/>
      <c r="J244" s="1"/>
    </row>
    <row r="245" spans="1:10" ht="20.100000000000001" customHeight="1" x14ac:dyDescent="0.25">
      <c r="A245" s="147" t="s">
        <v>360</v>
      </c>
      <c r="B245" s="147"/>
      <c r="C245" s="147"/>
      <c r="D245" s="147"/>
      <c r="E245" s="147"/>
      <c r="F245" s="147"/>
      <c r="G245" s="147"/>
      <c r="H245" s="147"/>
      <c r="I245" s="147"/>
      <c r="J245" s="147"/>
    </row>
    <row r="246" spans="1:10" ht="20.100000000000001" customHeight="1" x14ac:dyDescent="0.25">
      <c r="A246" s="147"/>
      <c r="B246" s="147"/>
      <c r="C246" s="147"/>
      <c r="D246" s="147"/>
      <c r="E246" s="147"/>
      <c r="F246" s="147"/>
      <c r="G246" s="147"/>
      <c r="H246" s="147"/>
      <c r="I246" s="147"/>
      <c r="J246" s="147"/>
    </row>
    <row r="247" spans="1:10" ht="20.100000000000001" customHeight="1" x14ac:dyDescent="0.25">
      <c r="A247" s="147"/>
      <c r="B247" s="147"/>
      <c r="C247" s="147"/>
      <c r="D247" s="147"/>
      <c r="E247" s="147"/>
      <c r="F247" s="147"/>
      <c r="G247" s="147"/>
      <c r="H247" s="147"/>
      <c r="I247" s="147"/>
      <c r="J247" s="147"/>
    </row>
    <row r="248" spans="1:10" ht="20.100000000000001" customHeight="1" x14ac:dyDescent="0.25">
      <c r="A248" s="1"/>
      <c r="B248" s="1"/>
      <c r="C248" s="1"/>
      <c r="D248" s="1"/>
      <c r="E248" s="1"/>
      <c r="F248" s="1"/>
      <c r="G248" s="1"/>
      <c r="H248" s="1"/>
      <c r="I248" s="1"/>
      <c r="J248" s="1"/>
    </row>
    <row r="249" spans="1:10" ht="20.100000000000001" customHeight="1" x14ac:dyDescent="0.25">
      <c r="A249" s="1"/>
      <c r="B249" s="1"/>
      <c r="C249" s="75"/>
      <c r="D249" s="1"/>
      <c r="E249" s="1"/>
      <c r="F249" s="1"/>
      <c r="G249" s="1"/>
      <c r="H249" s="1"/>
      <c r="I249" s="1"/>
      <c r="J249" s="1"/>
    </row>
    <row r="250" spans="1:10" ht="20.100000000000001" customHeight="1" x14ac:dyDescent="0.25">
      <c r="A250" s="1"/>
      <c r="B250" s="1"/>
      <c r="C250" s="1"/>
      <c r="D250" s="1"/>
      <c r="E250" s="1"/>
      <c r="F250" s="1"/>
      <c r="G250" s="1"/>
      <c r="H250" s="1"/>
      <c r="I250" s="1"/>
      <c r="J250" s="1"/>
    </row>
    <row r="251" spans="1:10" ht="20.100000000000001" customHeight="1" x14ac:dyDescent="0.25">
      <c r="A251" s="1"/>
      <c r="B251" s="1"/>
      <c r="C251" s="1"/>
      <c r="D251" s="1"/>
      <c r="E251" s="1"/>
      <c r="F251" s="1"/>
      <c r="G251" s="1"/>
      <c r="H251" s="1"/>
      <c r="I251" s="1"/>
      <c r="J251" s="1"/>
    </row>
    <row r="252" spans="1:10" ht="20.100000000000001" customHeight="1" x14ac:dyDescent="0.25">
      <c r="A252" s="1"/>
      <c r="B252" s="1"/>
      <c r="C252" s="1"/>
      <c r="D252" s="1"/>
      <c r="E252" s="1"/>
      <c r="F252" s="1"/>
      <c r="G252" s="1"/>
      <c r="H252" s="1"/>
      <c r="I252" s="1"/>
      <c r="J252" s="1"/>
    </row>
    <row r="253" spans="1:10" ht="20.100000000000001" customHeight="1" x14ac:dyDescent="0.25">
      <c r="A253" s="1"/>
      <c r="B253" s="1"/>
      <c r="C253" s="1"/>
      <c r="D253" s="1"/>
      <c r="E253" s="1"/>
      <c r="F253" s="1"/>
      <c r="G253" s="1"/>
      <c r="H253" s="1"/>
      <c r="I253" s="1"/>
      <c r="J253" s="1"/>
    </row>
    <row r="254" spans="1:10" ht="20.100000000000001" customHeight="1" x14ac:dyDescent="0.25">
      <c r="A254" s="1"/>
      <c r="B254" s="1"/>
      <c r="C254" s="1"/>
      <c r="D254" s="1"/>
      <c r="E254" s="1"/>
      <c r="F254" s="1"/>
      <c r="G254" s="1"/>
      <c r="H254" s="1"/>
      <c r="I254" s="1"/>
      <c r="J254" s="1"/>
    </row>
    <row r="255" spans="1:10" ht="20.100000000000001" customHeight="1" x14ac:dyDescent="0.25">
      <c r="A255" s="1"/>
      <c r="B255" s="1"/>
      <c r="C255" s="1"/>
      <c r="D255" s="1"/>
      <c r="E255" s="1"/>
      <c r="F255" s="1"/>
      <c r="G255" s="1"/>
      <c r="H255" s="1"/>
      <c r="I255" s="1"/>
      <c r="J255" s="1"/>
    </row>
    <row r="256" spans="1:10" ht="20.100000000000001" customHeight="1" x14ac:dyDescent="0.25">
      <c r="A256" s="251" t="s">
        <v>355</v>
      </c>
      <c r="B256" s="254" t="s">
        <v>356</v>
      </c>
      <c r="C256" s="254"/>
      <c r="D256" s="254"/>
      <c r="E256" s="254"/>
      <c r="F256" s="254"/>
      <c r="G256" s="254"/>
      <c r="H256" s="254"/>
      <c r="I256" s="254"/>
      <c r="J256" s="254"/>
    </row>
    <row r="257" spans="1:10" ht="20.100000000000001" customHeight="1" x14ac:dyDescent="0.25">
      <c r="A257" s="252"/>
      <c r="B257" s="255" t="s">
        <v>479</v>
      </c>
      <c r="C257" s="255"/>
      <c r="D257" s="255"/>
      <c r="E257" s="255"/>
      <c r="F257" s="255"/>
      <c r="G257" s="255"/>
      <c r="H257" s="255"/>
      <c r="I257" s="255"/>
      <c r="J257" s="255"/>
    </row>
    <row r="258" spans="1:10" ht="20.100000000000001" customHeight="1" x14ac:dyDescent="0.25">
      <c r="A258" s="252"/>
      <c r="B258" s="254" t="s">
        <v>357</v>
      </c>
      <c r="C258" s="254"/>
      <c r="D258" s="254"/>
      <c r="E258" s="254"/>
      <c r="F258" s="254"/>
      <c r="G258" s="254"/>
      <c r="H258" s="254"/>
      <c r="I258" s="254"/>
      <c r="J258" s="254"/>
    </row>
    <row r="259" spans="1:10" ht="20.100000000000001" customHeight="1" x14ac:dyDescent="0.25">
      <c r="A259" s="253"/>
      <c r="B259" s="69" t="str">
        <f t="shared" ref="B259:J259" si="15">B121</f>
        <v>A</v>
      </c>
      <c r="C259" s="69" t="str">
        <f t="shared" si="15"/>
        <v>B</v>
      </c>
      <c r="D259" s="69" t="str">
        <f t="shared" si="15"/>
        <v>C</v>
      </c>
      <c r="E259" s="69" t="str">
        <f t="shared" si="15"/>
        <v>D</v>
      </c>
      <c r="F259" s="69" t="str">
        <f t="shared" si="15"/>
        <v>E</v>
      </c>
      <c r="G259" s="69" t="str">
        <f t="shared" si="15"/>
        <v>F</v>
      </c>
      <c r="H259" s="69" t="str">
        <f t="shared" si="15"/>
        <v>G</v>
      </c>
      <c r="I259" s="69" t="str">
        <f t="shared" si="15"/>
        <v>H</v>
      </c>
      <c r="J259" s="69" t="str">
        <f t="shared" si="15"/>
        <v>I</v>
      </c>
    </row>
    <row r="260" spans="1:10" ht="20.100000000000001" customHeight="1" x14ac:dyDescent="0.25">
      <c r="A260" s="70">
        <v>0</v>
      </c>
      <c r="B260" s="76">
        <f t="shared" ref="B260:B276" si="16">1+B193</f>
        <v>1</v>
      </c>
      <c r="C260" s="76">
        <f t="shared" ref="C260:J260" si="17">1+C193</f>
        <v>0.99680000000000002</v>
      </c>
      <c r="D260" s="76">
        <f t="shared" si="17"/>
        <v>0.9748</v>
      </c>
      <c r="E260" s="76">
        <f t="shared" si="17"/>
        <v>0.91910000000000003</v>
      </c>
      <c r="F260" s="76">
        <f t="shared" si="17"/>
        <v>0.81899999999999995</v>
      </c>
      <c r="G260" s="76">
        <f t="shared" si="17"/>
        <v>0.66799999999999993</v>
      </c>
      <c r="H260" s="76">
        <f t="shared" si="17"/>
        <v>0.47399999999999998</v>
      </c>
      <c r="I260" s="76">
        <f t="shared" si="17"/>
        <v>0.248</v>
      </c>
      <c r="J260" s="76">
        <f t="shared" si="17"/>
        <v>0</v>
      </c>
    </row>
    <row r="261" spans="1:10" ht="20.100000000000001" customHeight="1" x14ac:dyDescent="0.25">
      <c r="A261" s="70">
        <f>A260+0.02</f>
        <v>0.02</v>
      </c>
      <c r="B261" s="76">
        <f t="shared" si="16"/>
        <v>0.98980000000000001</v>
      </c>
      <c r="C261" s="76">
        <f t="shared" ref="C261:J270" si="18">1+C194</f>
        <v>0.98663263999999995</v>
      </c>
      <c r="D261" s="76">
        <f t="shared" si="18"/>
        <v>0.96485704000000005</v>
      </c>
      <c r="E261" s="76">
        <f t="shared" si="18"/>
        <v>0.90972518000000002</v>
      </c>
      <c r="F261" s="76">
        <f t="shared" si="18"/>
        <v>0.81064619999999998</v>
      </c>
      <c r="G261" s="76">
        <f t="shared" si="18"/>
        <v>0.66118639999999984</v>
      </c>
      <c r="H261" s="76">
        <f t="shared" si="18"/>
        <v>0.46916519999999995</v>
      </c>
      <c r="I261" s="76">
        <f t="shared" si="18"/>
        <v>0.24547039999999998</v>
      </c>
      <c r="J261" s="76">
        <f t="shared" si="18"/>
        <v>0</v>
      </c>
    </row>
    <row r="262" spans="1:10" ht="20.100000000000001" customHeight="1" x14ac:dyDescent="0.25">
      <c r="A262" s="70">
        <f t="shared" ref="A262:A310" si="19">A261+0.02</f>
        <v>0.04</v>
      </c>
      <c r="B262" s="76">
        <f t="shared" si="16"/>
        <v>0.97919999999999996</v>
      </c>
      <c r="C262" s="76">
        <f t="shared" si="18"/>
        <v>0.97606656000000003</v>
      </c>
      <c r="D262" s="76">
        <f t="shared" si="18"/>
        <v>0.95452415999999995</v>
      </c>
      <c r="E262" s="76">
        <f t="shared" si="18"/>
        <v>0.89998272000000001</v>
      </c>
      <c r="F262" s="76">
        <f t="shared" si="18"/>
        <v>0.80196480000000003</v>
      </c>
      <c r="G262" s="76">
        <f t="shared" si="18"/>
        <v>0.65410559999999995</v>
      </c>
      <c r="H262" s="76">
        <f t="shared" si="18"/>
        <v>0.46414080000000002</v>
      </c>
      <c r="I262" s="76">
        <f t="shared" si="18"/>
        <v>0.24284159999999999</v>
      </c>
      <c r="J262" s="76">
        <f t="shared" si="18"/>
        <v>0</v>
      </c>
    </row>
    <row r="263" spans="1:10" ht="20.100000000000001" customHeight="1" x14ac:dyDescent="0.25">
      <c r="A263" s="70">
        <f t="shared" si="19"/>
        <v>0.06</v>
      </c>
      <c r="B263" s="76">
        <f t="shared" si="16"/>
        <v>0.96819999999999995</v>
      </c>
      <c r="C263" s="76">
        <f t="shared" si="18"/>
        <v>0.96510176000000003</v>
      </c>
      <c r="D263" s="76">
        <f t="shared" si="18"/>
        <v>0.94380136000000003</v>
      </c>
      <c r="E263" s="76">
        <f t="shared" si="18"/>
        <v>0.88987262</v>
      </c>
      <c r="F263" s="76">
        <f t="shared" si="18"/>
        <v>0.79295579999999999</v>
      </c>
      <c r="G263" s="76">
        <f t="shared" si="18"/>
        <v>0.64675760000000004</v>
      </c>
      <c r="H263" s="76">
        <f t="shared" si="18"/>
        <v>0.45892679999999997</v>
      </c>
      <c r="I263" s="76">
        <f t="shared" si="18"/>
        <v>0.24011359999999993</v>
      </c>
      <c r="J263" s="76">
        <f t="shared" si="18"/>
        <v>0</v>
      </c>
    </row>
    <row r="264" spans="1:10" ht="20.100000000000001" customHeight="1" x14ac:dyDescent="0.25">
      <c r="A264" s="70">
        <f t="shared" si="19"/>
        <v>0.08</v>
      </c>
      <c r="B264" s="76">
        <f t="shared" si="16"/>
        <v>0.95679999999999998</v>
      </c>
      <c r="C264" s="76">
        <f t="shared" si="18"/>
        <v>0.95373823999999996</v>
      </c>
      <c r="D264" s="76">
        <f t="shared" si="18"/>
        <v>0.93268863999999996</v>
      </c>
      <c r="E264" s="76">
        <f t="shared" si="18"/>
        <v>0.87939487999999999</v>
      </c>
      <c r="F264" s="76">
        <f t="shared" si="18"/>
        <v>0.78361919999999996</v>
      </c>
      <c r="G264" s="76">
        <f t="shared" si="18"/>
        <v>0.63914239999999989</v>
      </c>
      <c r="H264" s="76">
        <f t="shared" si="18"/>
        <v>0.4535231999999999</v>
      </c>
      <c r="I264" s="76">
        <f t="shared" si="18"/>
        <v>0.2372863999999999</v>
      </c>
      <c r="J264" s="76">
        <f t="shared" si="18"/>
        <v>0</v>
      </c>
    </row>
    <row r="265" spans="1:10" ht="20.100000000000001" customHeight="1" x14ac:dyDescent="0.25">
      <c r="A265" s="70">
        <f t="shared" si="19"/>
        <v>0.1</v>
      </c>
      <c r="B265" s="76">
        <f t="shared" si="16"/>
        <v>0.94499999999999995</v>
      </c>
      <c r="C265" s="76">
        <f t="shared" si="18"/>
        <v>0.94197600000000004</v>
      </c>
      <c r="D265" s="76">
        <f t="shared" si="18"/>
        <v>0.92118599999999995</v>
      </c>
      <c r="E265" s="76">
        <f t="shared" si="18"/>
        <v>0.86854949999999997</v>
      </c>
      <c r="F265" s="76">
        <f t="shared" si="18"/>
        <v>0.77395499999999995</v>
      </c>
      <c r="G265" s="76">
        <f t="shared" si="18"/>
        <v>0.63125999999999993</v>
      </c>
      <c r="H265" s="76">
        <f t="shared" si="18"/>
        <v>0.44792999999999994</v>
      </c>
      <c r="I265" s="76">
        <f t="shared" si="18"/>
        <v>0.2343599999999999</v>
      </c>
      <c r="J265" s="76">
        <f t="shared" si="18"/>
        <v>0</v>
      </c>
    </row>
    <row r="266" spans="1:10" ht="20.100000000000001" customHeight="1" x14ac:dyDescent="0.25">
      <c r="A266" s="70">
        <f t="shared" si="19"/>
        <v>0.12000000000000001</v>
      </c>
      <c r="B266" s="76">
        <f t="shared" si="16"/>
        <v>0.93279999999999996</v>
      </c>
      <c r="C266" s="76">
        <f t="shared" si="18"/>
        <v>0.92981504000000004</v>
      </c>
      <c r="D266" s="76">
        <f t="shared" si="18"/>
        <v>0.90929344000000001</v>
      </c>
      <c r="E266" s="76">
        <f t="shared" si="18"/>
        <v>0.85733647999999996</v>
      </c>
      <c r="F266" s="76">
        <f t="shared" si="18"/>
        <v>0.76396319999999995</v>
      </c>
      <c r="G266" s="76">
        <f t="shared" si="18"/>
        <v>0.62311040000000006</v>
      </c>
      <c r="H266" s="76">
        <f t="shared" si="18"/>
        <v>0.44214719999999996</v>
      </c>
      <c r="I266" s="76">
        <f t="shared" si="18"/>
        <v>0.23133440000000005</v>
      </c>
      <c r="J266" s="76">
        <f t="shared" si="18"/>
        <v>0</v>
      </c>
    </row>
    <row r="267" spans="1:10" ht="20.100000000000001" customHeight="1" x14ac:dyDescent="0.25">
      <c r="A267" s="70">
        <f t="shared" si="19"/>
        <v>0.14000000000000001</v>
      </c>
      <c r="B267" s="76">
        <f t="shared" si="16"/>
        <v>0.92020000000000002</v>
      </c>
      <c r="C267" s="76">
        <f t="shared" si="18"/>
        <v>0.91725535999999996</v>
      </c>
      <c r="D267" s="76">
        <f t="shared" si="18"/>
        <v>0.89701096000000002</v>
      </c>
      <c r="E267" s="76">
        <f t="shared" si="18"/>
        <v>0.84575581999999994</v>
      </c>
      <c r="F267" s="76">
        <f t="shared" si="18"/>
        <v>0.75364379999999997</v>
      </c>
      <c r="G267" s="76">
        <f t="shared" si="18"/>
        <v>0.61469359999999995</v>
      </c>
      <c r="H267" s="76">
        <f t="shared" si="18"/>
        <v>0.43617479999999997</v>
      </c>
      <c r="I267" s="76">
        <f t="shared" si="18"/>
        <v>0.22820960000000001</v>
      </c>
      <c r="J267" s="76">
        <f t="shared" si="18"/>
        <v>0</v>
      </c>
    </row>
    <row r="268" spans="1:10" ht="20.100000000000001" customHeight="1" x14ac:dyDescent="0.25">
      <c r="A268" s="70">
        <f t="shared" si="19"/>
        <v>0.16</v>
      </c>
      <c r="B268" s="76">
        <f t="shared" si="16"/>
        <v>0.90720000000000001</v>
      </c>
      <c r="C268" s="76">
        <f t="shared" si="18"/>
        <v>0.90429695999999993</v>
      </c>
      <c r="D268" s="76">
        <f t="shared" si="18"/>
        <v>0.88433856</v>
      </c>
      <c r="E268" s="76">
        <f t="shared" si="18"/>
        <v>0.83380751999999991</v>
      </c>
      <c r="F268" s="76">
        <f t="shared" si="18"/>
        <v>0.74299680000000001</v>
      </c>
      <c r="G268" s="76">
        <f t="shared" si="18"/>
        <v>0.60600959999999993</v>
      </c>
      <c r="H268" s="76">
        <f t="shared" si="18"/>
        <v>0.43001279999999997</v>
      </c>
      <c r="I268" s="76">
        <f t="shared" si="18"/>
        <v>0.22498560000000001</v>
      </c>
      <c r="J268" s="76">
        <f t="shared" si="18"/>
        <v>0</v>
      </c>
    </row>
    <row r="269" spans="1:10" ht="20.100000000000001" customHeight="1" x14ac:dyDescent="0.25">
      <c r="A269" s="70">
        <f t="shared" si="19"/>
        <v>0.18</v>
      </c>
      <c r="B269" s="76">
        <f t="shared" si="16"/>
        <v>0.89380000000000004</v>
      </c>
      <c r="C269" s="76">
        <f t="shared" si="18"/>
        <v>0.89093984000000004</v>
      </c>
      <c r="D269" s="76">
        <f t="shared" si="18"/>
        <v>0.87127624000000004</v>
      </c>
      <c r="E269" s="76">
        <f t="shared" si="18"/>
        <v>0.82149158</v>
      </c>
      <c r="F269" s="76">
        <f t="shared" si="18"/>
        <v>0.73202220000000007</v>
      </c>
      <c r="G269" s="76">
        <f t="shared" si="18"/>
        <v>0.5970584000000001</v>
      </c>
      <c r="H269" s="76">
        <f t="shared" si="18"/>
        <v>0.42366120000000007</v>
      </c>
      <c r="I269" s="76">
        <f t="shared" si="18"/>
        <v>0.22166239999999993</v>
      </c>
      <c r="J269" s="76">
        <f t="shared" si="18"/>
        <v>0</v>
      </c>
    </row>
    <row r="270" spans="1:10" ht="20.100000000000001" customHeight="1" x14ac:dyDescent="0.25">
      <c r="A270" s="70">
        <f t="shared" si="19"/>
        <v>0.19999999999999998</v>
      </c>
      <c r="B270" s="76">
        <f t="shared" si="16"/>
        <v>0.88</v>
      </c>
      <c r="C270" s="76">
        <f t="shared" si="18"/>
        <v>0.87718399999999996</v>
      </c>
      <c r="D270" s="76">
        <f t="shared" si="18"/>
        <v>0.85782400000000003</v>
      </c>
      <c r="E270" s="76">
        <f t="shared" si="18"/>
        <v>0.80880799999999997</v>
      </c>
      <c r="F270" s="76">
        <f t="shared" si="18"/>
        <v>0.72072000000000003</v>
      </c>
      <c r="G270" s="76">
        <f t="shared" si="18"/>
        <v>0.58783999999999992</v>
      </c>
      <c r="H270" s="76">
        <f t="shared" si="18"/>
        <v>0.41711999999999994</v>
      </c>
      <c r="I270" s="76">
        <f t="shared" si="18"/>
        <v>0.21823999999999999</v>
      </c>
      <c r="J270" s="76">
        <f t="shared" si="18"/>
        <v>0</v>
      </c>
    </row>
    <row r="271" spans="1:10" ht="20.100000000000001" customHeight="1" x14ac:dyDescent="0.25">
      <c r="A271" s="70">
        <f t="shared" si="19"/>
        <v>0.21999999999999997</v>
      </c>
      <c r="B271" s="76">
        <f t="shared" si="16"/>
        <v>0.86580000000000001</v>
      </c>
      <c r="C271" s="76">
        <f t="shared" ref="C271:J276" si="20">1+C204</f>
        <v>0.86302944000000004</v>
      </c>
      <c r="D271" s="76">
        <f t="shared" si="20"/>
        <v>0.84398183999999998</v>
      </c>
      <c r="E271" s="76">
        <f t="shared" si="20"/>
        <v>0.79575678000000005</v>
      </c>
      <c r="F271" s="76">
        <f t="shared" si="20"/>
        <v>0.7090902</v>
      </c>
      <c r="G271" s="76">
        <f t="shared" si="20"/>
        <v>0.57835440000000005</v>
      </c>
      <c r="H271" s="76">
        <f t="shared" si="20"/>
        <v>0.41038920000000001</v>
      </c>
      <c r="I271" s="76">
        <f t="shared" si="20"/>
        <v>0.21471839999999998</v>
      </c>
      <c r="J271" s="76">
        <f t="shared" si="20"/>
        <v>0</v>
      </c>
    </row>
    <row r="272" spans="1:10" ht="20.100000000000001" customHeight="1" x14ac:dyDescent="0.25">
      <c r="A272" s="70">
        <f t="shared" si="19"/>
        <v>0.23999999999999996</v>
      </c>
      <c r="B272" s="76">
        <f t="shared" si="16"/>
        <v>0.85119999999999996</v>
      </c>
      <c r="C272" s="76">
        <f t="shared" si="20"/>
        <v>0.84847616000000003</v>
      </c>
      <c r="D272" s="76">
        <f t="shared" si="20"/>
        <v>0.82974976</v>
      </c>
      <c r="E272" s="76">
        <f t="shared" si="20"/>
        <v>0.78233792000000002</v>
      </c>
      <c r="F272" s="76">
        <f t="shared" si="20"/>
        <v>0.6971328</v>
      </c>
      <c r="G272" s="76">
        <f t="shared" si="20"/>
        <v>0.56860159999999993</v>
      </c>
      <c r="H272" s="76">
        <f t="shared" si="20"/>
        <v>0.40346879999999996</v>
      </c>
      <c r="I272" s="76">
        <f t="shared" si="20"/>
        <v>0.2110976</v>
      </c>
      <c r="J272" s="76">
        <f t="shared" si="20"/>
        <v>0</v>
      </c>
    </row>
    <row r="273" spans="1:10" ht="20.100000000000001" customHeight="1" x14ac:dyDescent="0.25">
      <c r="A273" s="70">
        <f t="shared" si="19"/>
        <v>0.25999999999999995</v>
      </c>
      <c r="B273" s="76">
        <f t="shared" si="16"/>
        <v>0.83620000000000005</v>
      </c>
      <c r="C273" s="76">
        <f t="shared" si="20"/>
        <v>0.83352416000000007</v>
      </c>
      <c r="D273" s="76">
        <f t="shared" si="20"/>
        <v>0.81512775999999998</v>
      </c>
      <c r="E273" s="76">
        <f t="shared" si="20"/>
        <v>0.76855141999999999</v>
      </c>
      <c r="F273" s="76">
        <f t="shared" si="20"/>
        <v>0.68484780000000001</v>
      </c>
      <c r="G273" s="76">
        <f t="shared" si="20"/>
        <v>0.5585815999999999</v>
      </c>
      <c r="H273" s="76">
        <f t="shared" si="20"/>
        <v>0.39635880000000001</v>
      </c>
      <c r="I273" s="76">
        <f t="shared" si="20"/>
        <v>0.20737759999999994</v>
      </c>
      <c r="J273" s="76">
        <f t="shared" si="20"/>
        <v>0</v>
      </c>
    </row>
    <row r="274" spans="1:10" ht="20.100000000000001" customHeight="1" x14ac:dyDescent="0.25">
      <c r="A274" s="70">
        <f t="shared" si="19"/>
        <v>0.27999999999999997</v>
      </c>
      <c r="B274" s="76">
        <f t="shared" si="16"/>
        <v>0.82079999999999997</v>
      </c>
      <c r="C274" s="76">
        <f t="shared" si="20"/>
        <v>0.81817344000000003</v>
      </c>
      <c r="D274" s="76">
        <f t="shared" si="20"/>
        <v>0.80011584000000002</v>
      </c>
      <c r="E274" s="76">
        <f t="shared" si="20"/>
        <v>0.75439728000000006</v>
      </c>
      <c r="F274" s="76">
        <f t="shared" si="20"/>
        <v>0.67223520000000003</v>
      </c>
      <c r="G274" s="76">
        <f t="shared" si="20"/>
        <v>0.54829440000000007</v>
      </c>
      <c r="H274" s="76">
        <f t="shared" si="20"/>
        <v>0.38905919999999994</v>
      </c>
      <c r="I274" s="76">
        <f t="shared" si="20"/>
        <v>0.20355840000000003</v>
      </c>
      <c r="J274" s="76">
        <f t="shared" si="20"/>
        <v>0</v>
      </c>
    </row>
    <row r="275" spans="1:10" ht="20.100000000000001" customHeight="1" x14ac:dyDescent="0.25">
      <c r="A275" s="70">
        <f t="shared" si="19"/>
        <v>0.3</v>
      </c>
      <c r="B275" s="76">
        <f t="shared" si="16"/>
        <v>0.80499999999999994</v>
      </c>
      <c r="C275" s="76">
        <f t="shared" si="20"/>
        <v>0.80242400000000003</v>
      </c>
      <c r="D275" s="76">
        <f t="shared" si="20"/>
        <v>0.78471400000000002</v>
      </c>
      <c r="E275" s="76">
        <f t="shared" si="20"/>
        <v>0.73987549999999991</v>
      </c>
      <c r="F275" s="76">
        <f t="shared" si="20"/>
        <v>0.65929499999999996</v>
      </c>
      <c r="G275" s="76">
        <f t="shared" si="20"/>
        <v>0.53774</v>
      </c>
      <c r="H275" s="76">
        <f t="shared" si="20"/>
        <v>0.38156999999999996</v>
      </c>
      <c r="I275" s="76">
        <f t="shared" si="20"/>
        <v>0.19964000000000004</v>
      </c>
      <c r="J275" s="76">
        <f t="shared" si="20"/>
        <v>0</v>
      </c>
    </row>
    <row r="276" spans="1:10" ht="20.100000000000001" customHeight="1" x14ac:dyDescent="0.25">
      <c r="A276" s="70">
        <f t="shared" si="19"/>
        <v>0.32</v>
      </c>
      <c r="B276" s="76">
        <f t="shared" si="16"/>
        <v>0.78879999999999995</v>
      </c>
      <c r="C276" s="76">
        <f t="shared" si="20"/>
        <v>0.78627583999999995</v>
      </c>
      <c r="D276" s="76">
        <f t="shared" si="20"/>
        <v>0.76892223999999998</v>
      </c>
      <c r="E276" s="76">
        <f t="shared" si="20"/>
        <v>0.72498607999999998</v>
      </c>
      <c r="F276" s="76">
        <f t="shared" si="20"/>
        <v>0.64602720000000002</v>
      </c>
      <c r="G276" s="76">
        <f t="shared" si="20"/>
        <v>0.52691840000000001</v>
      </c>
      <c r="H276" s="76">
        <f t="shared" si="20"/>
        <v>0.37389120000000009</v>
      </c>
      <c r="I276" s="76">
        <f t="shared" si="20"/>
        <v>0.19562239999999997</v>
      </c>
      <c r="J276" s="76">
        <f t="shared" si="20"/>
        <v>0</v>
      </c>
    </row>
    <row r="277" spans="1:10" ht="20.100000000000001" customHeight="1" x14ac:dyDescent="0.25">
      <c r="A277" s="70">
        <f t="shared" si="19"/>
        <v>0.34</v>
      </c>
      <c r="B277" s="76">
        <f t="shared" ref="B277:J292" si="21">1+B210</f>
        <v>0.7722</v>
      </c>
      <c r="C277" s="76">
        <f t="shared" si="21"/>
        <v>0.76972895999999991</v>
      </c>
      <c r="D277" s="76">
        <f t="shared" si="21"/>
        <v>0.75274055999999989</v>
      </c>
      <c r="E277" s="76">
        <f t="shared" si="21"/>
        <v>0.70972901999999993</v>
      </c>
      <c r="F277" s="76">
        <f t="shared" si="21"/>
        <v>0.63243179999999999</v>
      </c>
      <c r="G277" s="76">
        <f t="shared" si="21"/>
        <v>0.5158296</v>
      </c>
      <c r="H277" s="76">
        <f t="shared" si="21"/>
        <v>0.36602279999999998</v>
      </c>
      <c r="I277" s="76">
        <f t="shared" si="21"/>
        <v>0.19150559999999983</v>
      </c>
      <c r="J277" s="76">
        <f t="shared" si="21"/>
        <v>0</v>
      </c>
    </row>
    <row r="278" spans="1:10" ht="20.100000000000001" customHeight="1" x14ac:dyDescent="0.25">
      <c r="A278" s="70">
        <f t="shared" si="19"/>
        <v>0.36000000000000004</v>
      </c>
      <c r="B278" s="76">
        <f t="shared" si="21"/>
        <v>0.75519999999999998</v>
      </c>
      <c r="C278" s="76">
        <f t="shared" si="21"/>
        <v>0.75278336000000001</v>
      </c>
      <c r="D278" s="76">
        <f t="shared" si="21"/>
        <v>0.73616895999999998</v>
      </c>
      <c r="E278" s="76">
        <f t="shared" si="21"/>
        <v>0.69410432</v>
      </c>
      <c r="F278" s="76">
        <f t="shared" si="21"/>
        <v>0.61850880000000008</v>
      </c>
      <c r="G278" s="76">
        <f t="shared" si="21"/>
        <v>0.50447360000000008</v>
      </c>
      <c r="H278" s="76">
        <f t="shared" si="21"/>
        <v>0.35796479999999997</v>
      </c>
      <c r="I278" s="76">
        <f t="shared" si="21"/>
        <v>0.18728960000000006</v>
      </c>
      <c r="J278" s="76">
        <f t="shared" si="21"/>
        <v>0</v>
      </c>
    </row>
    <row r="279" spans="1:10" ht="20.100000000000001" customHeight="1" x14ac:dyDescent="0.25">
      <c r="A279" s="70">
        <f t="shared" si="19"/>
        <v>0.38000000000000006</v>
      </c>
      <c r="B279" s="76">
        <f t="shared" si="21"/>
        <v>0.73780000000000001</v>
      </c>
      <c r="C279" s="76">
        <f t="shared" si="21"/>
        <v>0.73543903999999993</v>
      </c>
      <c r="D279" s="76">
        <f t="shared" si="21"/>
        <v>0.71920743999999992</v>
      </c>
      <c r="E279" s="76">
        <f t="shared" si="21"/>
        <v>0.67811197999999995</v>
      </c>
      <c r="F279" s="76">
        <f t="shared" si="21"/>
        <v>0.60425819999999997</v>
      </c>
      <c r="G279" s="76">
        <f t="shared" si="21"/>
        <v>0.49285039999999991</v>
      </c>
      <c r="H279" s="76">
        <f t="shared" si="21"/>
        <v>0.34971720000000006</v>
      </c>
      <c r="I279" s="76">
        <f t="shared" si="21"/>
        <v>0.18297439999999998</v>
      </c>
      <c r="J279" s="76">
        <f t="shared" si="21"/>
        <v>0</v>
      </c>
    </row>
    <row r="280" spans="1:10" ht="20.100000000000001" customHeight="1" x14ac:dyDescent="0.25">
      <c r="A280" s="70">
        <f t="shared" si="19"/>
        <v>0.40000000000000008</v>
      </c>
      <c r="B280" s="76">
        <f t="shared" si="21"/>
        <v>0.72</v>
      </c>
      <c r="C280" s="76">
        <f t="shared" si="21"/>
        <v>0.71769599999999989</v>
      </c>
      <c r="D280" s="76">
        <f t="shared" si="21"/>
        <v>0.70185599999999992</v>
      </c>
      <c r="E280" s="76">
        <f t="shared" si="21"/>
        <v>0.6617519999999999</v>
      </c>
      <c r="F280" s="76">
        <f t="shared" si="21"/>
        <v>0.58967999999999987</v>
      </c>
      <c r="G280" s="76">
        <f t="shared" si="21"/>
        <v>0.48095999999999994</v>
      </c>
      <c r="H280" s="76">
        <f t="shared" si="21"/>
        <v>0.34127999999999981</v>
      </c>
      <c r="I280" s="76">
        <f t="shared" si="21"/>
        <v>0.17855999999999994</v>
      </c>
      <c r="J280" s="76">
        <f t="shared" si="21"/>
        <v>0</v>
      </c>
    </row>
    <row r="281" spans="1:10" ht="20.100000000000001" customHeight="1" x14ac:dyDescent="0.25">
      <c r="A281" s="70">
        <f t="shared" si="19"/>
        <v>0.4200000000000001</v>
      </c>
      <c r="B281" s="76">
        <f t="shared" si="21"/>
        <v>0.70179999999999998</v>
      </c>
      <c r="C281" s="76">
        <f t="shared" si="21"/>
        <v>0.69955423999999988</v>
      </c>
      <c r="D281" s="76">
        <f t="shared" si="21"/>
        <v>0.68411464</v>
      </c>
      <c r="E281" s="76">
        <f t="shared" si="21"/>
        <v>0.64502437999999995</v>
      </c>
      <c r="F281" s="76">
        <f t="shared" si="21"/>
        <v>0.57477420000000001</v>
      </c>
      <c r="G281" s="76">
        <f t="shared" si="21"/>
        <v>0.46880239999999984</v>
      </c>
      <c r="H281" s="76">
        <f t="shared" si="21"/>
        <v>0.33265319999999998</v>
      </c>
      <c r="I281" s="76">
        <f t="shared" si="21"/>
        <v>0.17404640000000005</v>
      </c>
      <c r="J281" s="76">
        <f t="shared" si="21"/>
        <v>0</v>
      </c>
    </row>
    <row r="282" spans="1:10" ht="20.100000000000001" customHeight="1" x14ac:dyDescent="0.25">
      <c r="A282" s="70">
        <f t="shared" si="19"/>
        <v>0.44000000000000011</v>
      </c>
      <c r="B282" s="76">
        <f t="shared" si="21"/>
        <v>0.68319999999999992</v>
      </c>
      <c r="C282" s="76">
        <f t="shared" si="21"/>
        <v>0.68101375999999991</v>
      </c>
      <c r="D282" s="76">
        <f t="shared" si="21"/>
        <v>0.66598336000000002</v>
      </c>
      <c r="E282" s="76">
        <f t="shared" si="21"/>
        <v>0.6279291199999999</v>
      </c>
      <c r="F282" s="76">
        <f t="shared" si="21"/>
        <v>0.55954079999999995</v>
      </c>
      <c r="G282" s="76">
        <f t="shared" si="21"/>
        <v>0.45637759999999994</v>
      </c>
      <c r="H282" s="76">
        <f t="shared" si="21"/>
        <v>0.32383680000000004</v>
      </c>
      <c r="I282" s="76">
        <f t="shared" si="21"/>
        <v>0.16943359999999996</v>
      </c>
      <c r="J282" s="76">
        <f t="shared" si="21"/>
        <v>0</v>
      </c>
    </row>
    <row r="283" spans="1:10" ht="20.100000000000001" customHeight="1" x14ac:dyDescent="0.25">
      <c r="A283" s="70">
        <f t="shared" si="19"/>
        <v>0.46000000000000013</v>
      </c>
      <c r="B283" s="76">
        <f t="shared" si="21"/>
        <v>0.6641999999999999</v>
      </c>
      <c r="C283" s="76">
        <f t="shared" si="21"/>
        <v>0.66207455999999987</v>
      </c>
      <c r="D283" s="76">
        <f t="shared" si="21"/>
        <v>0.6474621599999999</v>
      </c>
      <c r="E283" s="76">
        <f t="shared" si="21"/>
        <v>0.61046621999999984</v>
      </c>
      <c r="F283" s="76">
        <f t="shared" si="21"/>
        <v>0.5439797999999999</v>
      </c>
      <c r="G283" s="76">
        <f t="shared" si="21"/>
        <v>0.4436855999999999</v>
      </c>
      <c r="H283" s="76">
        <f t="shared" si="21"/>
        <v>0.31483079999999997</v>
      </c>
      <c r="I283" s="76">
        <f t="shared" si="21"/>
        <v>0.16472159999999991</v>
      </c>
      <c r="J283" s="76">
        <f t="shared" si="21"/>
        <v>0</v>
      </c>
    </row>
    <row r="284" spans="1:10" ht="20.100000000000001" customHeight="1" x14ac:dyDescent="0.25">
      <c r="A284" s="70">
        <f t="shared" si="19"/>
        <v>0.48000000000000015</v>
      </c>
      <c r="B284" s="76">
        <f t="shared" si="21"/>
        <v>0.64479999999999982</v>
      </c>
      <c r="C284" s="76">
        <f t="shared" si="21"/>
        <v>0.64273663999999986</v>
      </c>
      <c r="D284" s="76">
        <f t="shared" si="21"/>
        <v>0.62855103999999984</v>
      </c>
      <c r="E284" s="76">
        <f t="shared" si="21"/>
        <v>0.59263567999999989</v>
      </c>
      <c r="F284" s="76">
        <f t="shared" si="21"/>
        <v>0.52809119999999998</v>
      </c>
      <c r="G284" s="76">
        <f t="shared" si="21"/>
        <v>0.43072639999999995</v>
      </c>
      <c r="H284" s="76">
        <f t="shared" si="21"/>
        <v>0.30563519999999977</v>
      </c>
      <c r="I284" s="76">
        <f t="shared" si="21"/>
        <v>0.15991040000000001</v>
      </c>
      <c r="J284" s="76">
        <f t="shared" si="21"/>
        <v>0</v>
      </c>
    </row>
    <row r="285" spans="1:10" ht="20.100000000000001" customHeight="1" x14ac:dyDescent="0.25">
      <c r="A285" s="70">
        <f t="shared" si="19"/>
        <v>0.50000000000000011</v>
      </c>
      <c r="B285" s="76">
        <f t="shared" si="21"/>
        <v>0.62499999999999978</v>
      </c>
      <c r="C285" s="76">
        <f t="shared" si="21"/>
        <v>0.62299999999999978</v>
      </c>
      <c r="D285" s="76">
        <f t="shared" si="21"/>
        <v>0.60924999999999985</v>
      </c>
      <c r="E285" s="76">
        <f t="shared" si="21"/>
        <v>0.57443749999999993</v>
      </c>
      <c r="F285" s="76">
        <f t="shared" si="21"/>
        <v>0.51187499999999986</v>
      </c>
      <c r="G285" s="76">
        <f t="shared" si="21"/>
        <v>0.41749999999999987</v>
      </c>
      <c r="H285" s="76">
        <f t="shared" si="21"/>
        <v>0.29625000000000001</v>
      </c>
      <c r="I285" s="76">
        <f t="shared" si="21"/>
        <v>0.15500000000000003</v>
      </c>
      <c r="J285" s="76">
        <f t="shared" si="21"/>
        <v>0</v>
      </c>
    </row>
    <row r="286" spans="1:10" ht="20.100000000000001" customHeight="1" x14ac:dyDescent="0.25">
      <c r="A286" s="70">
        <f t="shared" si="19"/>
        <v>0.52000000000000013</v>
      </c>
      <c r="B286" s="76">
        <f t="shared" si="21"/>
        <v>0.60479999999999989</v>
      </c>
      <c r="C286" s="76">
        <f t="shared" si="21"/>
        <v>0.60286463999999995</v>
      </c>
      <c r="D286" s="76">
        <f t="shared" si="21"/>
        <v>0.58955903999999992</v>
      </c>
      <c r="E286" s="76">
        <f t="shared" si="21"/>
        <v>0.55587167999999987</v>
      </c>
      <c r="F286" s="76">
        <f t="shared" si="21"/>
        <v>0.49533119999999986</v>
      </c>
      <c r="G286" s="76">
        <f t="shared" si="21"/>
        <v>0.40400639999999999</v>
      </c>
      <c r="H286" s="76">
        <f t="shared" si="21"/>
        <v>0.28667519999999991</v>
      </c>
      <c r="I286" s="76">
        <f t="shared" si="21"/>
        <v>0.14999039999999997</v>
      </c>
      <c r="J286" s="76">
        <f t="shared" si="21"/>
        <v>0</v>
      </c>
    </row>
    <row r="287" spans="1:10" ht="20.100000000000001" customHeight="1" x14ac:dyDescent="0.25">
      <c r="A287" s="70">
        <f t="shared" si="19"/>
        <v>0.54000000000000015</v>
      </c>
      <c r="B287" s="76">
        <f t="shared" si="21"/>
        <v>0.58419999999999983</v>
      </c>
      <c r="C287" s="76">
        <f t="shared" si="21"/>
        <v>0.58233055999999983</v>
      </c>
      <c r="D287" s="76">
        <f t="shared" si="21"/>
        <v>0.56947815999999984</v>
      </c>
      <c r="E287" s="76">
        <f t="shared" si="21"/>
        <v>0.53693821999999991</v>
      </c>
      <c r="F287" s="76">
        <f t="shared" si="21"/>
        <v>0.47845979999999988</v>
      </c>
      <c r="G287" s="76">
        <f t="shared" si="21"/>
        <v>0.39024559999999986</v>
      </c>
      <c r="H287" s="76">
        <f t="shared" si="21"/>
        <v>0.27691080000000001</v>
      </c>
      <c r="I287" s="76">
        <f t="shared" si="21"/>
        <v>0.14488159999999994</v>
      </c>
      <c r="J287" s="76">
        <f t="shared" si="21"/>
        <v>0</v>
      </c>
    </row>
    <row r="288" spans="1:10" ht="20.100000000000001" customHeight="1" x14ac:dyDescent="0.25">
      <c r="A288" s="70">
        <f t="shared" si="19"/>
        <v>0.56000000000000016</v>
      </c>
      <c r="B288" s="76">
        <f t="shared" si="21"/>
        <v>0.56319999999999981</v>
      </c>
      <c r="C288" s="76">
        <f t="shared" si="21"/>
        <v>0.56139775999999975</v>
      </c>
      <c r="D288" s="76">
        <f t="shared" si="21"/>
        <v>0.54900735999999983</v>
      </c>
      <c r="E288" s="76">
        <f t="shared" si="21"/>
        <v>0.51763711999999984</v>
      </c>
      <c r="F288" s="76">
        <f t="shared" si="21"/>
        <v>0.4612607999999998</v>
      </c>
      <c r="G288" s="76">
        <f t="shared" si="21"/>
        <v>0.37621759999999982</v>
      </c>
      <c r="H288" s="76">
        <f t="shared" si="21"/>
        <v>0.26695679999999977</v>
      </c>
      <c r="I288" s="76">
        <f t="shared" si="21"/>
        <v>0.13967359999999995</v>
      </c>
      <c r="J288" s="76">
        <f t="shared" si="21"/>
        <v>0</v>
      </c>
    </row>
    <row r="289" spans="1:10" ht="20.100000000000001" customHeight="1" x14ac:dyDescent="0.25">
      <c r="A289" s="70">
        <f t="shared" si="19"/>
        <v>0.58000000000000018</v>
      </c>
      <c r="B289" s="76">
        <f t="shared" si="21"/>
        <v>0.54179999999999984</v>
      </c>
      <c r="C289" s="76">
        <f t="shared" si="21"/>
        <v>0.54006623999999981</v>
      </c>
      <c r="D289" s="76">
        <f t="shared" si="21"/>
        <v>0.52814663999999989</v>
      </c>
      <c r="E289" s="76">
        <f t="shared" si="21"/>
        <v>0.49796837999999988</v>
      </c>
      <c r="F289" s="76">
        <f t="shared" si="21"/>
        <v>0.44373419999999986</v>
      </c>
      <c r="G289" s="76">
        <f t="shared" si="21"/>
        <v>0.36192239999999987</v>
      </c>
      <c r="H289" s="76">
        <f t="shared" si="21"/>
        <v>0.25681319999999996</v>
      </c>
      <c r="I289" s="76">
        <f t="shared" si="21"/>
        <v>0.1343664</v>
      </c>
      <c r="J289" s="76">
        <f t="shared" si="21"/>
        <v>0</v>
      </c>
    </row>
    <row r="290" spans="1:10" ht="20.100000000000001" customHeight="1" x14ac:dyDescent="0.25">
      <c r="A290" s="70">
        <f t="shared" si="19"/>
        <v>0.6000000000000002</v>
      </c>
      <c r="B290" s="76">
        <f t="shared" si="21"/>
        <v>0.5199999999999998</v>
      </c>
      <c r="C290" s="76">
        <f t="shared" si="21"/>
        <v>0.51833599999999969</v>
      </c>
      <c r="D290" s="76">
        <f t="shared" si="21"/>
        <v>0.50689599999999979</v>
      </c>
      <c r="E290" s="76">
        <f t="shared" si="21"/>
        <v>0.4779319999999998</v>
      </c>
      <c r="F290" s="76">
        <f t="shared" si="21"/>
        <v>0.42587999999999981</v>
      </c>
      <c r="G290" s="76">
        <f t="shared" si="21"/>
        <v>0.34735999999999989</v>
      </c>
      <c r="H290" s="76">
        <f t="shared" si="21"/>
        <v>0.24647999999999992</v>
      </c>
      <c r="I290" s="76">
        <f t="shared" si="21"/>
        <v>0.12895999999999985</v>
      </c>
      <c r="J290" s="76">
        <f t="shared" si="21"/>
        <v>0</v>
      </c>
    </row>
    <row r="291" spans="1:10" ht="20.100000000000001" customHeight="1" x14ac:dyDescent="0.25">
      <c r="A291" s="70">
        <f t="shared" si="19"/>
        <v>0.62000000000000022</v>
      </c>
      <c r="B291" s="76">
        <f t="shared" si="21"/>
        <v>0.4977999999999998</v>
      </c>
      <c r="C291" s="76">
        <f t="shared" si="21"/>
        <v>0.49620703999999982</v>
      </c>
      <c r="D291" s="76">
        <f t="shared" si="21"/>
        <v>0.48525543999999987</v>
      </c>
      <c r="E291" s="76">
        <f t="shared" si="21"/>
        <v>0.45752797999999983</v>
      </c>
      <c r="F291" s="76">
        <f t="shared" si="21"/>
        <v>0.40769819999999979</v>
      </c>
      <c r="G291" s="76">
        <f t="shared" si="21"/>
        <v>0.33253039999999989</v>
      </c>
      <c r="H291" s="76">
        <f t="shared" si="21"/>
        <v>0.23595719999999987</v>
      </c>
      <c r="I291" s="76">
        <f t="shared" si="21"/>
        <v>0.12345439999999996</v>
      </c>
      <c r="J291" s="76">
        <f t="shared" si="21"/>
        <v>0</v>
      </c>
    </row>
    <row r="292" spans="1:10" ht="20.100000000000001" customHeight="1" x14ac:dyDescent="0.25">
      <c r="A292" s="70">
        <f t="shared" si="19"/>
        <v>0.64000000000000024</v>
      </c>
      <c r="B292" s="76">
        <f t="shared" si="21"/>
        <v>0.47519999999999973</v>
      </c>
      <c r="C292" s="76">
        <f t="shared" si="21"/>
        <v>0.47367935999999977</v>
      </c>
      <c r="D292" s="76">
        <f t="shared" si="21"/>
        <v>0.46322495999999969</v>
      </c>
      <c r="E292" s="76">
        <f t="shared" si="21"/>
        <v>0.43675631999999975</v>
      </c>
      <c r="F292" s="76">
        <f t="shared" si="21"/>
        <v>0.38918879999999978</v>
      </c>
      <c r="G292" s="76">
        <f t="shared" si="21"/>
        <v>0.31743359999999976</v>
      </c>
      <c r="H292" s="76">
        <f t="shared" si="21"/>
        <v>0.2252447999999998</v>
      </c>
      <c r="I292" s="76">
        <f t="shared" si="21"/>
        <v>0.11784959999999989</v>
      </c>
      <c r="J292" s="76">
        <f t="shared" si="21"/>
        <v>0</v>
      </c>
    </row>
    <row r="293" spans="1:10" ht="20.100000000000001" customHeight="1" x14ac:dyDescent="0.25">
      <c r="A293" s="70">
        <f t="shared" si="19"/>
        <v>0.66000000000000025</v>
      </c>
      <c r="B293" s="76">
        <f t="shared" ref="B293:J308" si="22">1+B226</f>
        <v>0.45219999999999971</v>
      </c>
      <c r="C293" s="76">
        <f t="shared" si="22"/>
        <v>0.45075295999999976</v>
      </c>
      <c r="D293" s="76">
        <f t="shared" si="22"/>
        <v>0.44080455999999968</v>
      </c>
      <c r="E293" s="76">
        <f t="shared" si="22"/>
        <v>0.41561701999999978</v>
      </c>
      <c r="F293" s="76">
        <f t="shared" si="22"/>
        <v>0.37035179999999979</v>
      </c>
      <c r="G293" s="76">
        <f t="shared" si="22"/>
        <v>0.30206959999999983</v>
      </c>
      <c r="H293" s="76">
        <f t="shared" si="22"/>
        <v>0.21434279999999983</v>
      </c>
      <c r="I293" s="76">
        <f t="shared" si="22"/>
        <v>0.11214559999999996</v>
      </c>
      <c r="J293" s="76">
        <f t="shared" si="22"/>
        <v>0</v>
      </c>
    </row>
    <row r="294" spans="1:10" ht="20.100000000000001" customHeight="1" x14ac:dyDescent="0.25">
      <c r="A294" s="70">
        <f t="shared" si="19"/>
        <v>0.68000000000000027</v>
      </c>
      <c r="B294" s="76">
        <f t="shared" si="22"/>
        <v>0.42879999999999963</v>
      </c>
      <c r="C294" s="76">
        <f t="shared" si="22"/>
        <v>0.42742783999999956</v>
      </c>
      <c r="D294" s="76">
        <f t="shared" si="22"/>
        <v>0.41799423999999963</v>
      </c>
      <c r="E294" s="76">
        <f t="shared" si="22"/>
        <v>0.3941100799999997</v>
      </c>
      <c r="F294" s="76">
        <f t="shared" si="22"/>
        <v>0.3511871999999997</v>
      </c>
      <c r="G294" s="76">
        <f t="shared" si="22"/>
        <v>0.28643839999999965</v>
      </c>
      <c r="H294" s="76">
        <f t="shared" si="22"/>
        <v>0.20325119999999985</v>
      </c>
      <c r="I294" s="76">
        <f t="shared" si="22"/>
        <v>0.10634239999999973</v>
      </c>
      <c r="J294" s="76">
        <f t="shared" si="22"/>
        <v>0</v>
      </c>
    </row>
    <row r="295" spans="1:10" ht="20.100000000000001" customHeight="1" x14ac:dyDescent="0.25">
      <c r="A295" s="70">
        <f t="shared" si="19"/>
        <v>0.70000000000000029</v>
      </c>
      <c r="B295" s="76">
        <f t="shared" si="22"/>
        <v>0.40499999999999969</v>
      </c>
      <c r="C295" s="76">
        <f t="shared" si="22"/>
        <v>0.40370399999999973</v>
      </c>
      <c r="D295" s="76">
        <f t="shared" si="22"/>
        <v>0.39479399999999965</v>
      </c>
      <c r="E295" s="76">
        <f t="shared" si="22"/>
        <v>0.37223549999999972</v>
      </c>
      <c r="F295" s="76">
        <f t="shared" si="22"/>
        <v>0.33169499999999974</v>
      </c>
      <c r="G295" s="76">
        <f t="shared" si="22"/>
        <v>0.27053999999999978</v>
      </c>
      <c r="H295" s="76">
        <f t="shared" si="22"/>
        <v>0.19196999999999986</v>
      </c>
      <c r="I295" s="76">
        <f t="shared" si="22"/>
        <v>0.10043999999999986</v>
      </c>
      <c r="J295" s="76">
        <f t="shared" si="22"/>
        <v>0</v>
      </c>
    </row>
    <row r="296" spans="1:10" ht="20.100000000000001" customHeight="1" x14ac:dyDescent="0.25">
      <c r="A296" s="70">
        <f t="shared" si="19"/>
        <v>0.72000000000000031</v>
      </c>
      <c r="B296" s="76">
        <f t="shared" si="22"/>
        <v>0.38079999999999958</v>
      </c>
      <c r="C296" s="76">
        <f t="shared" si="22"/>
        <v>0.37958143999999949</v>
      </c>
      <c r="D296" s="76">
        <f t="shared" si="22"/>
        <v>0.37120383999999962</v>
      </c>
      <c r="E296" s="76">
        <f t="shared" si="22"/>
        <v>0.34999327999999963</v>
      </c>
      <c r="F296" s="76">
        <f t="shared" si="22"/>
        <v>0.31187519999999969</v>
      </c>
      <c r="G296" s="76">
        <f t="shared" si="22"/>
        <v>0.25437439999999967</v>
      </c>
      <c r="H296" s="76">
        <f t="shared" si="22"/>
        <v>0.18049919999999986</v>
      </c>
      <c r="I296" s="76">
        <f t="shared" si="22"/>
        <v>9.4438399999999922E-2</v>
      </c>
      <c r="J296" s="76">
        <f t="shared" si="22"/>
        <v>0</v>
      </c>
    </row>
    <row r="297" spans="1:10" ht="20.100000000000001" customHeight="1" x14ac:dyDescent="0.25">
      <c r="A297" s="70">
        <f t="shared" si="19"/>
        <v>0.74000000000000032</v>
      </c>
      <c r="B297" s="76">
        <f t="shared" si="22"/>
        <v>0.35619999999999963</v>
      </c>
      <c r="C297" s="76">
        <f t="shared" si="22"/>
        <v>0.35506015999999962</v>
      </c>
      <c r="D297" s="76">
        <f t="shared" si="22"/>
        <v>0.34722375999999966</v>
      </c>
      <c r="E297" s="76">
        <f t="shared" si="22"/>
        <v>0.32738341999999965</v>
      </c>
      <c r="F297" s="76">
        <f t="shared" si="22"/>
        <v>0.29172779999999965</v>
      </c>
      <c r="G297" s="76">
        <f t="shared" si="22"/>
        <v>0.23794159999999975</v>
      </c>
      <c r="H297" s="76">
        <f t="shared" si="22"/>
        <v>0.16883879999999973</v>
      </c>
      <c r="I297" s="76">
        <f t="shared" si="22"/>
        <v>8.8337599999999794E-2</v>
      </c>
      <c r="J297" s="76">
        <f t="shared" si="22"/>
        <v>0</v>
      </c>
    </row>
    <row r="298" spans="1:10" ht="20.100000000000001" customHeight="1" x14ac:dyDescent="0.25">
      <c r="A298" s="70">
        <f t="shared" si="19"/>
        <v>0.76000000000000034</v>
      </c>
      <c r="B298" s="76">
        <f t="shared" si="22"/>
        <v>0.33119999999999949</v>
      </c>
      <c r="C298" s="76">
        <f t="shared" si="22"/>
        <v>0.33014015999999946</v>
      </c>
      <c r="D298" s="76">
        <f t="shared" si="22"/>
        <v>0.32285375999999943</v>
      </c>
      <c r="E298" s="76">
        <f t="shared" si="22"/>
        <v>0.30440591999999955</v>
      </c>
      <c r="F298" s="76">
        <f t="shared" si="22"/>
        <v>0.27125279999999963</v>
      </c>
      <c r="G298" s="76">
        <f t="shared" si="22"/>
        <v>0.22124159999999959</v>
      </c>
      <c r="H298" s="76">
        <f t="shared" si="22"/>
        <v>0.15698879999999971</v>
      </c>
      <c r="I298" s="76">
        <f t="shared" si="22"/>
        <v>8.2137599999999811E-2</v>
      </c>
      <c r="J298" s="76">
        <f t="shared" si="22"/>
        <v>0</v>
      </c>
    </row>
    <row r="299" spans="1:10" ht="20.100000000000001" customHeight="1" x14ac:dyDescent="0.25">
      <c r="A299" s="70">
        <f t="shared" si="19"/>
        <v>0.78000000000000036</v>
      </c>
      <c r="B299" s="76">
        <f t="shared" si="22"/>
        <v>0.30579999999999952</v>
      </c>
      <c r="C299" s="76">
        <f t="shared" si="22"/>
        <v>0.30482143999999967</v>
      </c>
      <c r="D299" s="76">
        <f t="shared" si="22"/>
        <v>0.2980938399999995</v>
      </c>
      <c r="E299" s="76">
        <f t="shared" si="22"/>
        <v>0.28106077999999957</v>
      </c>
      <c r="F299" s="76">
        <f t="shared" si="22"/>
        <v>0.25045019999999962</v>
      </c>
      <c r="G299" s="76">
        <f t="shared" si="22"/>
        <v>0.20427439999999963</v>
      </c>
      <c r="H299" s="76">
        <f t="shared" si="22"/>
        <v>0.14494919999999978</v>
      </c>
      <c r="I299" s="76">
        <f t="shared" si="22"/>
        <v>7.5838399999999861E-2</v>
      </c>
      <c r="J299" s="76">
        <f t="shared" si="22"/>
        <v>0</v>
      </c>
    </row>
    <row r="300" spans="1:10" ht="20.100000000000001" customHeight="1" x14ac:dyDescent="0.25">
      <c r="A300" s="70">
        <f t="shared" si="19"/>
        <v>0.80000000000000038</v>
      </c>
      <c r="B300" s="76">
        <f t="shared" si="22"/>
        <v>0.27999999999999958</v>
      </c>
      <c r="C300" s="76">
        <f t="shared" si="22"/>
        <v>0.27910399999999957</v>
      </c>
      <c r="D300" s="76">
        <f t="shared" si="22"/>
        <v>0.27294399999999952</v>
      </c>
      <c r="E300" s="76">
        <f t="shared" si="22"/>
        <v>0.25734799999999969</v>
      </c>
      <c r="F300" s="76">
        <f t="shared" si="22"/>
        <v>0.22931999999999964</v>
      </c>
      <c r="G300" s="76">
        <f t="shared" si="22"/>
        <v>0.18703999999999965</v>
      </c>
      <c r="H300" s="76">
        <f t="shared" si="22"/>
        <v>0.13271999999999973</v>
      </c>
      <c r="I300" s="76">
        <f t="shared" si="22"/>
        <v>6.9439999999999835E-2</v>
      </c>
      <c r="J300" s="76">
        <f t="shared" si="22"/>
        <v>0</v>
      </c>
    </row>
    <row r="301" spans="1:10" ht="20.100000000000001" customHeight="1" x14ac:dyDescent="0.25">
      <c r="A301" s="70">
        <f t="shared" si="19"/>
        <v>0.8200000000000004</v>
      </c>
      <c r="B301" s="76">
        <f t="shared" si="22"/>
        <v>0.25379999999999958</v>
      </c>
      <c r="C301" s="76">
        <f t="shared" si="22"/>
        <v>0.25298783999999952</v>
      </c>
      <c r="D301" s="76">
        <f t="shared" si="22"/>
        <v>0.2474042399999995</v>
      </c>
      <c r="E301" s="76">
        <f t="shared" si="22"/>
        <v>0.23326757999999959</v>
      </c>
      <c r="F301" s="76">
        <f t="shared" si="22"/>
        <v>0.20786219999999955</v>
      </c>
      <c r="G301" s="76">
        <f t="shared" si="22"/>
        <v>0.16953839999999976</v>
      </c>
      <c r="H301" s="76">
        <f t="shared" si="22"/>
        <v>0.12030119999999977</v>
      </c>
      <c r="I301" s="76">
        <f t="shared" si="22"/>
        <v>6.2942399999999843E-2</v>
      </c>
      <c r="J301" s="76">
        <f t="shared" si="22"/>
        <v>0</v>
      </c>
    </row>
    <row r="302" spans="1:10" ht="20.100000000000001" customHeight="1" x14ac:dyDescent="0.25">
      <c r="A302" s="70">
        <f t="shared" si="19"/>
        <v>0.84000000000000041</v>
      </c>
      <c r="B302" s="76">
        <f t="shared" si="22"/>
        <v>0.2271999999999994</v>
      </c>
      <c r="C302" s="76">
        <f t="shared" si="22"/>
        <v>0.22647295999999939</v>
      </c>
      <c r="D302" s="76">
        <f t="shared" si="22"/>
        <v>0.22147455999999943</v>
      </c>
      <c r="E302" s="76">
        <f t="shared" si="22"/>
        <v>0.20881951999999937</v>
      </c>
      <c r="F302" s="76">
        <f t="shared" si="22"/>
        <v>0.1860767999999996</v>
      </c>
      <c r="G302" s="76">
        <f t="shared" si="22"/>
        <v>0.15176959999999962</v>
      </c>
      <c r="H302" s="76">
        <f t="shared" si="22"/>
        <v>0.10769279999999981</v>
      </c>
      <c r="I302" s="76">
        <f t="shared" si="22"/>
        <v>5.6345599999999774E-2</v>
      </c>
      <c r="J302" s="76">
        <f t="shared" si="22"/>
        <v>0</v>
      </c>
    </row>
    <row r="303" spans="1:10" ht="20.100000000000001" customHeight="1" x14ac:dyDescent="0.25">
      <c r="A303" s="70">
        <f t="shared" si="19"/>
        <v>0.86000000000000043</v>
      </c>
      <c r="B303" s="76">
        <f t="shared" si="22"/>
        <v>0.20019999999999949</v>
      </c>
      <c r="C303" s="76">
        <f t="shared" si="22"/>
        <v>0.19955935999999952</v>
      </c>
      <c r="D303" s="76">
        <f t="shared" si="22"/>
        <v>0.19515495999999954</v>
      </c>
      <c r="E303" s="76">
        <f t="shared" si="22"/>
        <v>0.18400381999999949</v>
      </c>
      <c r="F303" s="76">
        <f t="shared" si="22"/>
        <v>0.16396379999999966</v>
      </c>
      <c r="G303" s="76">
        <f t="shared" si="22"/>
        <v>0.13373359999999967</v>
      </c>
      <c r="H303" s="76">
        <f t="shared" si="22"/>
        <v>9.4894799999999724E-2</v>
      </c>
      <c r="I303" s="76">
        <f t="shared" si="22"/>
        <v>4.964959999999996E-2</v>
      </c>
      <c r="J303" s="76">
        <f t="shared" si="22"/>
        <v>0</v>
      </c>
    </row>
    <row r="304" spans="1:10" ht="20.100000000000001" customHeight="1" x14ac:dyDescent="0.25">
      <c r="A304" s="70">
        <f t="shared" si="19"/>
        <v>0.88000000000000045</v>
      </c>
      <c r="B304" s="76">
        <f t="shared" si="22"/>
        <v>0.1727999999999994</v>
      </c>
      <c r="C304" s="76">
        <f t="shared" si="22"/>
        <v>0.17224703999999946</v>
      </c>
      <c r="D304" s="76">
        <f t="shared" si="22"/>
        <v>0.16844543999999939</v>
      </c>
      <c r="E304" s="76">
        <f t="shared" si="22"/>
        <v>0.1588204799999996</v>
      </c>
      <c r="F304" s="76">
        <f t="shared" si="22"/>
        <v>0.14152319999999963</v>
      </c>
      <c r="G304" s="76">
        <f t="shared" si="22"/>
        <v>0.1154303999999996</v>
      </c>
      <c r="H304" s="76">
        <f t="shared" si="22"/>
        <v>8.1907199999999736E-2</v>
      </c>
      <c r="I304" s="76">
        <f t="shared" si="22"/>
        <v>4.2854399999999959E-2</v>
      </c>
      <c r="J304" s="76">
        <f t="shared" si="22"/>
        <v>0</v>
      </c>
    </row>
    <row r="305" spans="1:10" ht="20.100000000000001" customHeight="1" x14ac:dyDescent="0.25">
      <c r="A305" s="70">
        <f t="shared" si="19"/>
        <v>0.90000000000000047</v>
      </c>
      <c r="B305" s="76">
        <f t="shared" si="22"/>
        <v>0.14499999999999924</v>
      </c>
      <c r="C305" s="76">
        <f t="shared" si="22"/>
        <v>0.14453599999999922</v>
      </c>
      <c r="D305" s="76">
        <f t="shared" si="22"/>
        <v>0.14134599999999931</v>
      </c>
      <c r="E305" s="76">
        <f t="shared" si="22"/>
        <v>0.13326949999999937</v>
      </c>
      <c r="F305" s="76">
        <f t="shared" si="22"/>
        <v>0.1187549999999995</v>
      </c>
      <c r="G305" s="76">
        <f t="shared" si="22"/>
        <v>9.6859999999999502E-2</v>
      </c>
      <c r="H305" s="76">
        <f t="shared" si="22"/>
        <v>6.8729999999999625E-2</v>
      </c>
      <c r="I305" s="76">
        <f t="shared" si="22"/>
        <v>3.595999999999977E-2</v>
      </c>
      <c r="J305" s="76">
        <f t="shared" si="22"/>
        <v>0</v>
      </c>
    </row>
    <row r="306" spans="1:10" ht="20.100000000000001" customHeight="1" x14ac:dyDescent="0.25">
      <c r="A306" s="70">
        <f t="shared" si="19"/>
        <v>0.92000000000000048</v>
      </c>
      <c r="B306" s="76">
        <f t="shared" si="22"/>
        <v>0.11679999999999935</v>
      </c>
      <c r="C306" s="76">
        <f t="shared" si="22"/>
        <v>0.11642623999999946</v>
      </c>
      <c r="D306" s="76">
        <f t="shared" si="22"/>
        <v>0.1138566399999994</v>
      </c>
      <c r="E306" s="76">
        <f t="shared" si="22"/>
        <v>0.10735087999999948</v>
      </c>
      <c r="F306" s="76">
        <f t="shared" si="22"/>
        <v>9.56591999999995E-2</v>
      </c>
      <c r="G306" s="76">
        <f t="shared" si="22"/>
        <v>7.8022399999999603E-2</v>
      </c>
      <c r="H306" s="76">
        <f t="shared" si="22"/>
        <v>5.5363199999999724E-2</v>
      </c>
      <c r="I306" s="76">
        <f t="shared" si="22"/>
        <v>2.8966399999999948E-2</v>
      </c>
      <c r="J306" s="76">
        <f t="shared" si="22"/>
        <v>0</v>
      </c>
    </row>
    <row r="307" spans="1:10" ht="20.100000000000001" customHeight="1" x14ac:dyDescent="0.25">
      <c r="A307" s="70">
        <f t="shared" si="19"/>
        <v>0.9400000000000005</v>
      </c>
      <c r="B307" s="76">
        <f t="shared" si="22"/>
        <v>8.8199999999999168E-2</v>
      </c>
      <c r="C307" s="76">
        <f t="shared" si="22"/>
        <v>8.791775999999929E-2</v>
      </c>
      <c r="D307" s="76">
        <f t="shared" si="22"/>
        <v>8.5977359999999226E-2</v>
      </c>
      <c r="E307" s="76">
        <f t="shared" si="22"/>
        <v>8.1064619999999254E-2</v>
      </c>
      <c r="F307" s="76">
        <f t="shared" si="22"/>
        <v>7.2235799999999406E-2</v>
      </c>
      <c r="G307" s="76">
        <f t="shared" si="22"/>
        <v>5.8917599999999459E-2</v>
      </c>
      <c r="H307" s="76">
        <f t="shared" si="22"/>
        <v>4.18067999999997E-2</v>
      </c>
      <c r="I307" s="76">
        <f t="shared" si="22"/>
        <v>2.1873599999999827E-2</v>
      </c>
      <c r="J307" s="76">
        <f t="shared" si="22"/>
        <v>0</v>
      </c>
    </row>
    <row r="308" spans="1:10" ht="20.100000000000001" customHeight="1" x14ac:dyDescent="0.25">
      <c r="A308" s="70">
        <f t="shared" si="19"/>
        <v>0.96000000000000052</v>
      </c>
      <c r="B308" s="76">
        <f t="shared" si="22"/>
        <v>5.9199999999999253E-2</v>
      </c>
      <c r="C308" s="76">
        <f t="shared" si="22"/>
        <v>5.9010559999999268E-2</v>
      </c>
      <c r="D308" s="76">
        <f t="shared" si="22"/>
        <v>5.7708159999999231E-2</v>
      </c>
      <c r="E308" s="76">
        <f t="shared" si="22"/>
        <v>5.4410719999999357E-2</v>
      </c>
      <c r="F308" s="76">
        <f t="shared" si="22"/>
        <v>4.8484799999999328E-2</v>
      </c>
      <c r="G308" s="76">
        <f t="shared" si="22"/>
        <v>3.9545599999999625E-2</v>
      </c>
      <c r="H308" s="76">
        <f t="shared" si="22"/>
        <v>2.8060799999999664E-2</v>
      </c>
      <c r="I308" s="76">
        <f t="shared" si="22"/>
        <v>1.468159999999985E-2</v>
      </c>
      <c r="J308" s="76">
        <f t="shared" si="22"/>
        <v>0</v>
      </c>
    </row>
    <row r="309" spans="1:10" ht="20.100000000000001" customHeight="1" x14ac:dyDescent="0.25">
      <c r="A309" s="70">
        <f t="shared" si="19"/>
        <v>0.98000000000000054</v>
      </c>
      <c r="B309" s="76">
        <f t="shared" ref="B309:J310" si="23">1+B242</f>
        <v>2.979999999999916E-2</v>
      </c>
      <c r="C309" s="76">
        <f t="shared" si="23"/>
        <v>2.9704639999999172E-2</v>
      </c>
      <c r="D309" s="76">
        <f t="shared" si="23"/>
        <v>2.9049039999999193E-2</v>
      </c>
      <c r="E309" s="76">
        <f t="shared" si="23"/>
        <v>2.7389179999999236E-2</v>
      </c>
      <c r="F309" s="76">
        <f t="shared" si="23"/>
        <v>2.4406199999999378E-2</v>
      </c>
      <c r="G309" s="76">
        <f t="shared" si="23"/>
        <v>1.9906399999999436E-2</v>
      </c>
      <c r="H309" s="76">
        <f t="shared" si="23"/>
        <v>1.4125199999999616E-2</v>
      </c>
      <c r="I309" s="76">
        <f t="shared" si="23"/>
        <v>7.3903999999997971E-3</v>
      </c>
      <c r="J309" s="76">
        <f t="shared" si="23"/>
        <v>0</v>
      </c>
    </row>
    <row r="310" spans="1:10" ht="20.100000000000001" customHeight="1" x14ac:dyDescent="0.25">
      <c r="A310" s="70">
        <f t="shared" si="19"/>
        <v>1.0000000000000004</v>
      </c>
      <c r="B310" s="76">
        <f t="shared" si="23"/>
        <v>0</v>
      </c>
      <c r="C310" s="76">
        <f t="shared" si="23"/>
        <v>0</v>
      </c>
      <c r="D310" s="76">
        <f t="shared" si="23"/>
        <v>0</v>
      </c>
      <c r="E310" s="76">
        <f t="shared" si="23"/>
        <v>0</v>
      </c>
      <c r="F310" s="76">
        <f t="shared" si="23"/>
        <v>0</v>
      </c>
      <c r="G310" s="76">
        <f t="shared" si="23"/>
        <v>0</v>
      </c>
      <c r="H310" s="76">
        <f t="shared" si="23"/>
        <v>0</v>
      </c>
      <c r="I310" s="76">
        <f t="shared" si="23"/>
        <v>0</v>
      </c>
      <c r="J310" s="76">
        <f t="shared" si="23"/>
        <v>0</v>
      </c>
    </row>
    <row r="311" spans="1:10" ht="20.100000000000001" customHeight="1" x14ac:dyDescent="0.25">
      <c r="A311" s="1"/>
      <c r="B311" s="1"/>
      <c r="C311" s="1"/>
      <c r="D311" s="1"/>
      <c r="E311" s="1"/>
      <c r="F311" s="1"/>
      <c r="G311" s="1"/>
      <c r="H311" s="1"/>
      <c r="I311" s="1"/>
      <c r="J311" s="1"/>
    </row>
    <row r="312" spans="1:10" ht="20.100000000000001" customHeight="1" x14ac:dyDescent="0.25">
      <c r="A312" s="147" t="s">
        <v>361</v>
      </c>
      <c r="B312" s="147"/>
      <c r="C312" s="147"/>
      <c r="D312" s="147"/>
      <c r="E312" s="147"/>
      <c r="F312" s="147"/>
      <c r="G312" s="147"/>
      <c r="H312" s="147"/>
      <c r="I312" s="147"/>
      <c r="J312" s="147"/>
    </row>
    <row r="313" spans="1:10" ht="20.100000000000001" customHeight="1" x14ac:dyDescent="0.25">
      <c r="A313" s="147"/>
      <c r="B313" s="147"/>
      <c r="C313" s="147"/>
      <c r="D313" s="147"/>
      <c r="E313" s="147"/>
      <c r="F313" s="147"/>
      <c r="G313" s="147"/>
      <c r="H313" s="147"/>
      <c r="I313" s="147"/>
      <c r="J313" s="147"/>
    </row>
    <row r="314" spans="1:10" ht="20.100000000000001" customHeight="1" x14ac:dyDescent="0.25">
      <c r="A314" s="1"/>
      <c r="B314" s="1"/>
      <c r="C314" s="1"/>
      <c r="D314" s="1"/>
      <c r="E314" s="1"/>
      <c r="F314" s="1"/>
      <c r="G314" s="1"/>
      <c r="H314" s="1"/>
      <c r="I314" s="1"/>
      <c r="J314" s="1"/>
    </row>
    <row r="315" spans="1:10" ht="20.100000000000001" customHeight="1" x14ac:dyDescent="0.25">
      <c r="A315" s="1"/>
      <c r="B315" s="1"/>
      <c r="C315" s="75"/>
      <c r="D315" s="1"/>
      <c r="E315" s="1"/>
      <c r="F315" s="1"/>
      <c r="G315" s="1"/>
      <c r="H315" s="1"/>
      <c r="I315" s="1"/>
      <c r="J315" s="1"/>
    </row>
    <row r="316" spans="1:10" ht="20.100000000000001" customHeight="1" x14ac:dyDescent="0.25">
      <c r="A316" s="1"/>
      <c r="B316" s="1"/>
      <c r="C316" s="1"/>
      <c r="D316" s="1"/>
      <c r="E316" s="1"/>
      <c r="F316" s="1"/>
      <c r="G316" s="1"/>
      <c r="H316" s="1"/>
      <c r="I316" s="1"/>
      <c r="J316" s="1"/>
    </row>
    <row r="317" spans="1:10" ht="20.100000000000001" customHeight="1" x14ac:dyDescent="0.25">
      <c r="A317" s="1"/>
      <c r="B317" s="1"/>
      <c r="C317" s="1"/>
      <c r="D317" s="1"/>
      <c r="E317" s="1"/>
      <c r="F317" s="1"/>
      <c r="G317" s="1"/>
      <c r="H317" s="1"/>
      <c r="I317" s="1"/>
      <c r="J317" s="1"/>
    </row>
    <row r="318" spans="1:10" ht="20.100000000000001" customHeight="1" x14ac:dyDescent="0.25">
      <c r="A318" s="1"/>
      <c r="B318" s="1"/>
      <c r="C318" s="1"/>
      <c r="D318" s="1"/>
      <c r="E318" s="1"/>
      <c r="F318" s="1"/>
      <c r="G318" s="1"/>
      <c r="H318" s="1"/>
      <c r="I318" s="1"/>
      <c r="J318" s="1"/>
    </row>
    <row r="319" spans="1:10" ht="20.100000000000001" customHeight="1" x14ac:dyDescent="0.25">
      <c r="A319" s="1"/>
      <c r="B319" s="1"/>
      <c r="C319" s="1"/>
      <c r="D319" s="1"/>
      <c r="E319" s="1"/>
      <c r="F319" s="1"/>
      <c r="G319" s="1"/>
      <c r="H319" s="1"/>
      <c r="I319" s="1"/>
      <c r="J319" s="1"/>
    </row>
    <row r="320" spans="1:10" ht="20.100000000000001" customHeight="1" x14ac:dyDescent="0.25">
      <c r="A320" s="1"/>
      <c r="B320" s="1"/>
      <c r="C320" s="1"/>
      <c r="D320" s="1"/>
      <c r="E320" s="1"/>
      <c r="F320" s="1"/>
      <c r="G320" s="1"/>
      <c r="H320" s="1"/>
      <c r="I320" s="1"/>
      <c r="J320" s="1"/>
    </row>
    <row r="321" spans="1:21" ht="20.100000000000001" customHeight="1" x14ac:dyDescent="0.25">
      <c r="A321" s="1"/>
      <c r="B321" s="1"/>
      <c r="C321" s="1"/>
      <c r="D321" s="1"/>
      <c r="E321" s="1"/>
      <c r="F321" s="1"/>
      <c r="G321" s="1"/>
      <c r="H321" s="1"/>
      <c r="I321" s="1"/>
      <c r="J321" s="1"/>
    </row>
    <row r="322" spans="1:21" ht="20.100000000000001" customHeight="1" x14ac:dyDescent="0.25">
      <c r="A322" s="147" t="s">
        <v>80</v>
      </c>
      <c r="B322" s="147"/>
      <c r="C322" s="147"/>
      <c r="D322" s="147"/>
      <c r="E322" s="147"/>
      <c r="F322" s="147"/>
      <c r="G322" s="147"/>
      <c r="H322" s="147"/>
      <c r="I322" s="147"/>
      <c r="J322" s="147"/>
    </row>
    <row r="323" spans="1:21" ht="20.100000000000001" customHeight="1" x14ac:dyDescent="0.25">
      <c r="A323" s="147" t="s">
        <v>81</v>
      </c>
      <c r="B323" s="147"/>
      <c r="C323" s="147"/>
      <c r="D323" s="147"/>
      <c r="E323" s="147"/>
      <c r="F323" s="147"/>
      <c r="G323" s="147"/>
      <c r="H323" s="147"/>
      <c r="I323" s="147"/>
      <c r="J323" s="147"/>
      <c r="K323" s="61"/>
      <c r="L323" s="61"/>
      <c r="M323" s="61"/>
      <c r="N323" s="61"/>
      <c r="O323" s="61"/>
      <c r="P323" s="61"/>
      <c r="Q323" s="61"/>
      <c r="R323" s="61"/>
    </row>
    <row r="324" spans="1:21" ht="39.950000000000003" customHeight="1" x14ac:dyDescent="0.25">
      <c r="A324" s="147" t="s">
        <v>103</v>
      </c>
      <c r="B324" s="147"/>
      <c r="C324" s="147"/>
      <c r="D324" s="147"/>
      <c r="E324" s="147"/>
      <c r="F324" s="147"/>
      <c r="G324" s="147"/>
      <c r="H324" s="147"/>
      <c r="I324" s="147"/>
      <c r="J324" s="147"/>
    </row>
    <row r="325" spans="1:21" ht="20.100000000000001" customHeight="1" x14ac:dyDescent="0.25">
      <c r="A325" s="147" t="s">
        <v>464</v>
      </c>
      <c r="B325" s="147"/>
      <c r="C325" s="147"/>
      <c r="D325" s="147"/>
      <c r="E325" s="147"/>
      <c r="F325" s="147"/>
      <c r="G325" s="147"/>
      <c r="H325" s="147"/>
      <c r="I325" s="147"/>
      <c r="J325" s="147"/>
    </row>
    <row r="326" spans="1:21" ht="20.100000000000001" customHeight="1" x14ac:dyDescent="0.25">
      <c r="A326" s="147" t="s">
        <v>465</v>
      </c>
      <c r="B326" s="147"/>
      <c r="C326" s="147"/>
      <c r="D326" s="147"/>
      <c r="E326" s="147"/>
      <c r="F326" s="147"/>
      <c r="G326" s="147"/>
      <c r="H326" s="147"/>
      <c r="I326" s="147"/>
      <c r="J326" s="147"/>
    </row>
    <row r="327" spans="1:21" ht="39.950000000000003" customHeight="1" x14ac:dyDescent="0.25">
      <c r="A327" s="147" t="s">
        <v>466</v>
      </c>
      <c r="B327" s="147"/>
      <c r="C327" s="147"/>
      <c r="D327" s="147"/>
      <c r="E327" s="147"/>
      <c r="F327" s="147"/>
      <c r="G327" s="147"/>
      <c r="H327" s="147"/>
      <c r="I327" s="147"/>
      <c r="J327" s="147"/>
    </row>
    <row r="328" spans="1:21" ht="39.950000000000003" customHeight="1" x14ac:dyDescent="0.25">
      <c r="A328" s="147" t="s">
        <v>467</v>
      </c>
      <c r="B328" s="147"/>
      <c r="C328" s="147"/>
      <c r="D328" s="147"/>
      <c r="E328" s="147"/>
      <c r="F328" s="147"/>
      <c r="G328" s="147"/>
      <c r="H328" s="147"/>
      <c r="I328" s="147"/>
      <c r="J328" s="147"/>
    </row>
    <row r="329" spans="1:21" ht="20.100000000000001" customHeight="1" x14ac:dyDescent="0.25">
      <c r="A329" s="147" t="s">
        <v>468</v>
      </c>
      <c r="B329" s="147"/>
      <c r="C329" s="147"/>
      <c r="D329" s="147"/>
      <c r="E329" s="147"/>
      <c r="F329" s="147"/>
      <c r="G329" s="147"/>
      <c r="H329" s="147"/>
      <c r="I329" s="147"/>
      <c r="J329" s="147"/>
    </row>
    <row r="330" spans="1:21" ht="20.100000000000001" customHeight="1" x14ac:dyDescent="0.25">
      <c r="A330" s="147" t="s">
        <v>104</v>
      </c>
      <c r="B330" s="147"/>
      <c r="C330" s="147"/>
      <c r="D330" s="147"/>
      <c r="E330" s="147"/>
      <c r="F330" s="147"/>
      <c r="G330" s="147"/>
      <c r="H330" s="147"/>
      <c r="I330" s="147"/>
      <c r="J330" s="147"/>
    </row>
    <row r="331" spans="1:21" ht="39.950000000000003" customHeight="1" x14ac:dyDescent="0.25">
      <c r="A331" s="147" t="s">
        <v>469</v>
      </c>
      <c r="B331" s="147"/>
      <c r="C331" s="147"/>
      <c r="D331" s="147"/>
      <c r="E331" s="147"/>
      <c r="F331" s="147"/>
      <c r="G331" s="147"/>
      <c r="H331" s="147"/>
      <c r="I331" s="147"/>
      <c r="J331" s="147"/>
    </row>
    <row r="332" spans="1:21" ht="39.950000000000003" customHeight="1" x14ac:dyDescent="0.25">
      <c r="A332" s="147" t="s">
        <v>470</v>
      </c>
      <c r="B332" s="147"/>
      <c r="C332" s="147"/>
      <c r="D332" s="147"/>
      <c r="E332" s="147"/>
      <c r="F332" s="147"/>
      <c r="G332" s="147"/>
      <c r="H332" s="147"/>
      <c r="I332" s="147"/>
      <c r="J332" s="147"/>
    </row>
    <row r="333" spans="1:21" ht="39.950000000000003" customHeight="1" x14ac:dyDescent="0.25">
      <c r="A333" s="147" t="s">
        <v>106</v>
      </c>
      <c r="B333" s="147"/>
      <c r="C333" s="147"/>
      <c r="D333" s="147"/>
      <c r="E333" s="147"/>
      <c r="F333" s="147"/>
      <c r="G333" s="147"/>
      <c r="H333" s="147"/>
      <c r="I333" s="147"/>
      <c r="J333" s="147"/>
    </row>
    <row r="334" spans="1:21" ht="39.950000000000003" customHeight="1" x14ac:dyDescent="0.25">
      <c r="A334" s="147" t="s">
        <v>471</v>
      </c>
      <c r="B334" s="147"/>
      <c r="C334" s="147"/>
      <c r="D334" s="147"/>
      <c r="E334" s="147"/>
      <c r="F334" s="147"/>
      <c r="G334" s="147"/>
      <c r="H334" s="147"/>
      <c r="I334" s="147"/>
      <c r="J334" s="147"/>
      <c r="L334" s="63"/>
      <c r="M334" s="63"/>
      <c r="N334" s="63"/>
      <c r="O334" s="63"/>
      <c r="P334" s="63"/>
      <c r="Q334" s="63"/>
      <c r="R334" s="63"/>
      <c r="S334" s="63"/>
      <c r="T334" s="63"/>
      <c r="U334" s="63"/>
    </row>
    <row r="335" spans="1:21" ht="39.950000000000003" customHeight="1" x14ac:dyDescent="0.25">
      <c r="A335" s="147" t="s">
        <v>105</v>
      </c>
      <c r="B335" s="147"/>
      <c r="C335" s="147"/>
      <c r="D335" s="147"/>
      <c r="E335" s="147"/>
      <c r="F335" s="147"/>
      <c r="G335" s="147"/>
      <c r="H335" s="147"/>
      <c r="I335" s="147"/>
      <c r="J335" s="147"/>
      <c r="L335" s="63"/>
      <c r="M335" s="63"/>
      <c r="N335" s="63"/>
      <c r="O335" s="63"/>
      <c r="P335" s="63"/>
      <c r="Q335" s="63"/>
      <c r="R335" s="63"/>
      <c r="S335" s="63"/>
      <c r="T335" s="63"/>
      <c r="U335" s="63"/>
    </row>
    <row r="336" spans="1:21" ht="39.950000000000003" customHeight="1" x14ac:dyDescent="0.25">
      <c r="A336" s="147" t="s">
        <v>472</v>
      </c>
      <c r="B336" s="147"/>
      <c r="C336" s="147"/>
      <c r="D336" s="147"/>
      <c r="E336" s="147"/>
      <c r="F336" s="147"/>
      <c r="G336" s="147"/>
      <c r="H336" s="147"/>
      <c r="I336" s="147"/>
      <c r="J336" s="147"/>
      <c r="L336" s="63"/>
      <c r="M336" s="63"/>
      <c r="N336" s="63"/>
      <c r="O336" s="63"/>
      <c r="P336" s="63"/>
      <c r="Q336" s="63"/>
      <c r="R336" s="63"/>
      <c r="S336" s="63"/>
      <c r="T336" s="63"/>
      <c r="U336" s="63"/>
    </row>
    <row r="337" spans="1:10" ht="20.100000000000001" customHeight="1" x14ac:dyDescent="0.25">
      <c r="A337" s="147" t="s">
        <v>473</v>
      </c>
      <c r="B337" s="147"/>
      <c r="C337" s="147"/>
      <c r="D337" s="147"/>
      <c r="E337" s="147"/>
      <c r="F337" s="147"/>
      <c r="G337" s="147"/>
      <c r="H337" s="147"/>
      <c r="I337" s="147"/>
      <c r="J337" s="147"/>
    </row>
    <row r="338" spans="1:10" ht="20.100000000000001" customHeight="1" x14ac:dyDescent="0.25">
      <c r="A338" s="147" t="s">
        <v>474</v>
      </c>
      <c r="B338" s="147"/>
      <c r="C338" s="147"/>
      <c r="D338" s="147"/>
      <c r="E338" s="147"/>
      <c r="F338" s="147"/>
      <c r="G338" s="147"/>
      <c r="H338" s="147"/>
      <c r="I338" s="147"/>
      <c r="J338" s="147"/>
    </row>
    <row r="339" spans="1:10" ht="39.950000000000003" customHeight="1" x14ac:dyDescent="0.25">
      <c r="A339" s="147" t="s">
        <v>475</v>
      </c>
      <c r="B339" s="147"/>
      <c r="C339" s="147"/>
      <c r="D339" s="147"/>
      <c r="E339" s="147"/>
      <c r="F339" s="147"/>
      <c r="G339" s="147"/>
      <c r="H339" s="147"/>
      <c r="I339" s="147"/>
      <c r="J339" s="147"/>
    </row>
    <row r="340" spans="1:10" ht="20.100000000000001" customHeight="1" x14ac:dyDescent="0.25">
      <c r="A340" s="147" t="s">
        <v>476</v>
      </c>
      <c r="B340" s="147"/>
      <c r="C340" s="147"/>
      <c r="D340" s="147"/>
      <c r="E340" s="147"/>
      <c r="F340" s="147"/>
      <c r="G340" s="147"/>
      <c r="H340" s="147"/>
      <c r="I340" s="147"/>
      <c r="J340" s="147"/>
    </row>
    <row r="341" spans="1:10" ht="20.100000000000001" customHeight="1" x14ac:dyDescent="0.25">
      <c r="A341" s="147"/>
      <c r="B341" s="147"/>
      <c r="C341" s="147"/>
      <c r="D341" s="147"/>
      <c r="E341" s="147"/>
      <c r="F341" s="147"/>
      <c r="G341" s="147"/>
      <c r="H341" s="147"/>
      <c r="I341" s="147"/>
      <c r="J341" s="147"/>
    </row>
  </sheetData>
  <mergeCells count="239">
    <mergeCell ref="A1:J1"/>
    <mergeCell ref="A3:A5"/>
    <mergeCell ref="B3:C5"/>
    <mergeCell ref="D3:F5"/>
    <mergeCell ref="G3:H4"/>
    <mergeCell ref="I3:J5"/>
    <mergeCell ref="G5:H5"/>
    <mergeCell ref="G8:H8"/>
    <mergeCell ref="I8:J8"/>
    <mergeCell ref="D9:F9"/>
    <mergeCell ref="G9:H9"/>
    <mergeCell ref="I9:J9"/>
    <mergeCell ref="D10:F10"/>
    <mergeCell ref="G10:H10"/>
    <mergeCell ref="I10:J10"/>
    <mergeCell ref="A6:A21"/>
    <mergeCell ref="B6:C7"/>
    <mergeCell ref="D6:F6"/>
    <mergeCell ref="G6:H6"/>
    <mergeCell ref="I6:J6"/>
    <mergeCell ref="D7:F7"/>
    <mergeCell ref="G7:H7"/>
    <mergeCell ref="I7:J7"/>
    <mergeCell ref="B8:C15"/>
    <mergeCell ref="D8:F8"/>
    <mergeCell ref="D13:F13"/>
    <mergeCell ref="G13:H13"/>
    <mergeCell ref="I13:J13"/>
    <mergeCell ref="D14:F14"/>
    <mergeCell ref="G14:H14"/>
    <mergeCell ref="I14:J14"/>
    <mergeCell ref="D11:F11"/>
    <mergeCell ref="G11:H11"/>
    <mergeCell ref="I11:J11"/>
    <mergeCell ref="D12:F12"/>
    <mergeCell ref="G12:H12"/>
    <mergeCell ref="I12:J12"/>
    <mergeCell ref="D15:F15"/>
    <mergeCell ref="G15:H15"/>
    <mergeCell ref="I15:J15"/>
    <mergeCell ref="B16:C21"/>
    <mergeCell ref="D16:F16"/>
    <mergeCell ref="G16:H16"/>
    <mergeCell ref="I16:J16"/>
    <mergeCell ref="D17:F17"/>
    <mergeCell ref="G17:H17"/>
    <mergeCell ref="I17:J17"/>
    <mergeCell ref="D20:F20"/>
    <mergeCell ref="G20:H20"/>
    <mergeCell ref="I20:J20"/>
    <mergeCell ref="D21:F21"/>
    <mergeCell ref="G21:H21"/>
    <mergeCell ref="I21:J21"/>
    <mergeCell ref="D18:F18"/>
    <mergeCell ref="G18:H18"/>
    <mergeCell ref="I18:J18"/>
    <mergeCell ref="D19:F19"/>
    <mergeCell ref="G19:H19"/>
    <mergeCell ref="I19:J19"/>
    <mergeCell ref="A22:A34"/>
    <mergeCell ref="B22:C27"/>
    <mergeCell ref="D22:F22"/>
    <mergeCell ref="G22:H22"/>
    <mergeCell ref="I22:J22"/>
    <mergeCell ref="D23:F23"/>
    <mergeCell ref="G23:H23"/>
    <mergeCell ref="I23:J23"/>
    <mergeCell ref="D24:F24"/>
    <mergeCell ref="G24:H24"/>
    <mergeCell ref="B28:C31"/>
    <mergeCell ref="D28:F28"/>
    <mergeCell ref="G28:H28"/>
    <mergeCell ref="I28:J28"/>
    <mergeCell ref="D29:F29"/>
    <mergeCell ref="G29:H29"/>
    <mergeCell ref="I29:J29"/>
    <mergeCell ref="I24:J24"/>
    <mergeCell ref="D25:F25"/>
    <mergeCell ref="G25:H25"/>
    <mergeCell ref="I25:J25"/>
    <mergeCell ref="D26:F26"/>
    <mergeCell ref="G26:H26"/>
    <mergeCell ref="I26:J26"/>
    <mergeCell ref="D30:F30"/>
    <mergeCell ref="G30:H30"/>
    <mergeCell ref="I30:J30"/>
    <mergeCell ref="D31:F31"/>
    <mergeCell ref="G31:H31"/>
    <mergeCell ref="I31:J31"/>
    <mergeCell ref="D27:F27"/>
    <mergeCell ref="G27:H27"/>
    <mergeCell ref="I27:J27"/>
    <mergeCell ref="B32:C34"/>
    <mergeCell ref="D32:F32"/>
    <mergeCell ref="G32:H32"/>
    <mergeCell ref="I32:J32"/>
    <mergeCell ref="D33:F33"/>
    <mergeCell ref="G33:H33"/>
    <mergeCell ref="I33:J33"/>
    <mergeCell ref="D34:F34"/>
    <mergeCell ref="G34:H34"/>
    <mergeCell ref="I34:J34"/>
    <mergeCell ref="A47:A49"/>
    <mergeCell ref="B47:D49"/>
    <mergeCell ref="E47:E49"/>
    <mergeCell ref="F47:J49"/>
    <mergeCell ref="A50:A52"/>
    <mergeCell ref="B50:D52"/>
    <mergeCell ref="E50:E52"/>
    <mergeCell ref="F50:J52"/>
    <mergeCell ref="A36:J36"/>
    <mergeCell ref="A37:J37"/>
    <mergeCell ref="A38:J39"/>
    <mergeCell ref="A42:J43"/>
    <mergeCell ref="A45:A46"/>
    <mergeCell ref="B45:D46"/>
    <mergeCell ref="E45:E46"/>
    <mergeCell ref="F45:J46"/>
    <mergeCell ref="A59:A62"/>
    <mergeCell ref="B59:D62"/>
    <mergeCell ref="E59:E62"/>
    <mergeCell ref="F59:J62"/>
    <mergeCell ref="A63:A68"/>
    <mergeCell ref="B63:D68"/>
    <mergeCell ref="E63:E68"/>
    <mergeCell ref="F63:J68"/>
    <mergeCell ref="A53:A55"/>
    <mergeCell ref="B53:D55"/>
    <mergeCell ref="E53:E55"/>
    <mergeCell ref="F53:J55"/>
    <mergeCell ref="A56:A58"/>
    <mergeCell ref="B56:D58"/>
    <mergeCell ref="E56:E58"/>
    <mergeCell ref="F56:J58"/>
    <mergeCell ref="B79:D79"/>
    <mergeCell ref="F79:J79"/>
    <mergeCell ref="A81:J81"/>
    <mergeCell ref="A82:J82"/>
    <mergeCell ref="A83:J83"/>
    <mergeCell ref="A84:J84"/>
    <mergeCell ref="A69:A74"/>
    <mergeCell ref="B69:D74"/>
    <mergeCell ref="E69:E74"/>
    <mergeCell ref="F69:J74"/>
    <mergeCell ref="A75:A78"/>
    <mergeCell ref="B75:D78"/>
    <mergeCell ref="E75:E78"/>
    <mergeCell ref="F75:J78"/>
    <mergeCell ref="I106:J106"/>
    <mergeCell ref="A107:B107"/>
    <mergeCell ref="C107:D107"/>
    <mergeCell ref="E107:F107"/>
    <mergeCell ref="G107:H107"/>
    <mergeCell ref="I107:J107"/>
    <mergeCell ref="A86:J86"/>
    <mergeCell ref="A87:J89"/>
    <mergeCell ref="A92:J92"/>
    <mergeCell ref="A94:J99"/>
    <mergeCell ref="A101:J103"/>
    <mergeCell ref="A104:B106"/>
    <mergeCell ref="C104:D106"/>
    <mergeCell ref="E104:F106"/>
    <mergeCell ref="G104:J105"/>
    <mergeCell ref="G106:H106"/>
    <mergeCell ref="A108:B108"/>
    <mergeCell ref="C108:D108"/>
    <mergeCell ref="E108:F108"/>
    <mergeCell ref="G108:H108"/>
    <mergeCell ref="I108:J108"/>
    <mergeCell ref="A109:B109"/>
    <mergeCell ref="C109:D109"/>
    <mergeCell ref="E109:F109"/>
    <mergeCell ref="G109:H109"/>
    <mergeCell ref="I109:J109"/>
    <mergeCell ref="A110:B110"/>
    <mergeCell ref="C110:D110"/>
    <mergeCell ref="E110:F110"/>
    <mergeCell ref="G110:H110"/>
    <mergeCell ref="I110:J110"/>
    <mergeCell ref="A111:B111"/>
    <mergeCell ref="C111:D111"/>
    <mergeCell ref="E111:F111"/>
    <mergeCell ref="G111:H111"/>
    <mergeCell ref="I111:J111"/>
    <mergeCell ref="A112:B112"/>
    <mergeCell ref="C112:D112"/>
    <mergeCell ref="E112:F112"/>
    <mergeCell ref="G112:H112"/>
    <mergeCell ref="I112:J112"/>
    <mergeCell ref="A113:B113"/>
    <mergeCell ref="C113:D113"/>
    <mergeCell ref="E113:F113"/>
    <mergeCell ref="G113:H113"/>
    <mergeCell ref="I113:J113"/>
    <mergeCell ref="A114:B114"/>
    <mergeCell ref="C114:D114"/>
    <mergeCell ref="E114:F114"/>
    <mergeCell ref="G114:H114"/>
    <mergeCell ref="I114:J114"/>
    <mergeCell ref="A115:B115"/>
    <mergeCell ref="C115:D115"/>
    <mergeCell ref="E115:F115"/>
    <mergeCell ref="G115:H115"/>
    <mergeCell ref="I115:J115"/>
    <mergeCell ref="A118:A121"/>
    <mergeCell ref="B118:J118"/>
    <mergeCell ref="B119:J119"/>
    <mergeCell ref="B120:J120"/>
    <mergeCell ref="A174:J174"/>
    <mergeCell ref="A189:A192"/>
    <mergeCell ref="B189:J189"/>
    <mergeCell ref="B190:J190"/>
    <mergeCell ref="B191:J191"/>
    <mergeCell ref="A322:J322"/>
    <mergeCell ref="A323:J323"/>
    <mergeCell ref="A324:J324"/>
    <mergeCell ref="A325:J325"/>
    <mergeCell ref="A326:J326"/>
    <mergeCell ref="A327:J327"/>
    <mergeCell ref="A245:J247"/>
    <mergeCell ref="A256:A259"/>
    <mergeCell ref="B256:J256"/>
    <mergeCell ref="B257:J257"/>
    <mergeCell ref="B258:J258"/>
    <mergeCell ref="A312:J313"/>
    <mergeCell ref="A340:J340"/>
    <mergeCell ref="A341:J341"/>
    <mergeCell ref="A334:J334"/>
    <mergeCell ref="A335:J335"/>
    <mergeCell ref="A336:J336"/>
    <mergeCell ref="A337:J337"/>
    <mergeCell ref="A338:J338"/>
    <mergeCell ref="A339:J339"/>
    <mergeCell ref="A328:J328"/>
    <mergeCell ref="A329:J329"/>
    <mergeCell ref="A330:J330"/>
    <mergeCell ref="A331:J331"/>
    <mergeCell ref="A332:J332"/>
    <mergeCell ref="A333:J333"/>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9B16-6CE1-41E3-8928-3191FECE01C8}">
  <dimension ref="A1:AQ144"/>
  <sheetViews>
    <sheetView workbookViewId="0">
      <selection sqref="A1:AM1"/>
    </sheetView>
  </sheetViews>
  <sheetFormatPr defaultColWidth="3.625" defaultRowHeight="20.100000000000001" customHeight="1" x14ac:dyDescent="0.25"/>
  <cols>
    <col min="1" max="41" width="3.625" style="9"/>
    <col min="42" max="43" width="3.625" style="77"/>
    <col min="44" max="16384" width="3.625" style="105"/>
  </cols>
  <sheetData>
    <row r="1" spans="1:39" s="77" customFormat="1" ht="20.100000000000001" customHeight="1" x14ac:dyDescent="0.25">
      <c r="A1" s="305" t="s">
        <v>225</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row>
    <row r="2" spans="1:39" s="77" customFormat="1" ht="20.100000000000001" customHeight="1" x14ac:dyDescent="0.25">
      <c r="A2" s="305" t="s">
        <v>226</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row>
    <row r="3" spans="1:39" s="77" customFormat="1" ht="20.100000000000001" customHeight="1" x14ac:dyDescent="0.2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row>
    <row r="4" spans="1:39" s="77" customFormat="1" ht="20.100000000000001" customHeight="1" x14ac:dyDescent="0.25">
      <c r="A4" s="306" t="s">
        <v>107</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row>
    <row r="5" spans="1:39" s="77" customFormat="1" ht="20.100000000000001" customHeight="1" thickBot="1" x14ac:dyDescent="0.3">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row>
    <row r="6" spans="1:39" s="77" customFormat="1" ht="20.100000000000001" customHeight="1" x14ac:dyDescent="0.25">
      <c r="A6" s="282" t="s">
        <v>108</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4"/>
    </row>
    <row r="7" spans="1:39" s="77" customFormat="1" ht="20.100000000000001" customHeight="1" x14ac:dyDescent="0.25">
      <c r="A7" s="80"/>
      <c r="B7" s="9"/>
      <c r="C7" s="9"/>
      <c r="D7" s="9"/>
      <c r="E7" s="9"/>
      <c r="F7" s="9"/>
      <c r="G7" s="9"/>
      <c r="H7" s="9"/>
      <c r="I7" s="9"/>
      <c r="J7" s="9"/>
      <c r="K7" s="81"/>
      <c r="L7" s="9"/>
      <c r="M7" s="9"/>
      <c r="N7" s="9"/>
      <c r="O7" s="9"/>
      <c r="P7" s="9"/>
      <c r="Q7" s="9"/>
      <c r="R7" s="9"/>
      <c r="S7" s="9"/>
      <c r="T7" s="9"/>
      <c r="U7" s="9"/>
      <c r="V7" s="9"/>
      <c r="W7" s="9"/>
      <c r="X7" s="9"/>
      <c r="Y7" s="9"/>
      <c r="Z7" s="9"/>
      <c r="AA7" s="9"/>
      <c r="AB7" s="9"/>
      <c r="AC7" s="9"/>
      <c r="AD7" s="9"/>
      <c r="AE7" s="9"/>
      <c r="AF7" s="9"/>
      <c r="AG7" s="9"/>
      <c r="AH7" s="9"/>
      <c r="AI7" s="9"/>
      <c r="AJ7" s="9"/>
      <c r="AK7" s="9"/>
      <c r="AL7" s="9"/>
      <c r="AM7" s="82"/>
    </row>
    <row r="8" spans="1:39" s="77" customFormat="1" ht="20.100000000000001" customHeight="1" x14ac:dyDescent="0.25">
      <c r="A8" s="80"/>
      <c r="B8" s="286" t="s">
        <v>232</v>
      </c>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82"/>
    </row>
    <row r="9" spans="1:39" s="77" customFormat="1" ht="20.100000000000001" customHeight="1" x14ac:dyDescent="0.25">
      <c r="A9" s="80"/>
      <c r="B9" s="298" t="s">
        <v>109</v>
      </c>
      <c r="C9" s="299"/>
      <c r="D9" s="299"/>
      <c r="E9" s="299"/>
      <c r="F9" s="299"/>
      <c r="G9" s="299"/>
      <c r="H9" s="299"/>
      <c r="I9" s="299"/>
      <c r="J9" s="299"/>
      <c r="K9" s="300"/>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82"/>
    </row>
    <row r="10" spans="1:39" s="77" customFormat="1" ht="20.100000000000001" customHeight="1" x14ac:dyDescent="0.25">
      <c r="A10" s="80"/>
      <c r="B10" s="298" t="s">
        <v>110</v>
      </c>
      <c r="C10" s="299"/>
      <c r="D10" s="299"/>
      <c r="E10" s="299"/>
      <c r="F10" s="299"/>
      <c r="G10" s="299"/>
      <c r="H10" s="299"/>
      <c r="I10" s="299"/>
      <c r="J10" s="299"/>
      <c r="K10" s="300"/>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82"/>
    </row>
    <row r="11" spans="1:39" s="77" customFormat="1" ht="20.100000000000001" customHeight="1" x14ac:dyDescent="0.25">
      <c r="A11" s="80"/>
      <c r="B11" s="298" t="s">
        <v>111</v>
      </c>
      <c r="C11" s="299"/>
      <c r="D11" s="299"/>
      <c r="E11" s="299"/>
      <c r="F11" s="299"/>
      <c r="G11" s="299"/>
      <c r="H11" s="299"/>
      <c r="I11" s="299"/>
      <c r="J11" s="299"/>
      <c r="K11" s="300"/>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82"/>
    </row>
    <row r="12" spans="1:39" s="77" customFormat="1" ht="20.100000000000001" customHeight="1" x14ac:dyDescent="0.25">
      <c r="A12" s="80"/>
      <c r="B12" s="298" t="s">
        <v>233</v>
      </c>
      <c r="C12" s="299"/>
      <c r="D12" s="299"/>
      <c r="E12" s="299"/>
      <c r="F12" s="299"/>
      <c r="G12" s="299"/>
      <c r="H12" s="299"/>
      <c r="I12" s="299"/>
      <c r="J12" s="299"/>
      <c r="K12" s="300"/>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82"/>
    </row>
    <row r="13" spans="1:39" s="77" customFormat="1" ht="20.100000000000001" customHeight="1" x14ac:dyDescent="0.25">
      <c r="A13" s="80"/>
      <c r="B13" s="298" t="s">
        <v>234</v>
      </c>
      <c r="C13" s="299"/>
      <c r="D13" s="299"/>
      <c r="E13" s="299"/>
      <c r="F13" s="299"/>
      <c r="G13" s="299"/>
      <c r="H13" s="299"/>
      <c r="I13" s="299"/>
      <c r="J13" s="299"/>
      <c r="K13" s="300"/>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82"/>
    </row>
    <row r="14" spans="1:39" s="77" customFormat="1" ht="20.100000000000001" customHeight="1" x14ac:dyDescent="0.25">
      <c r="A14" s="80"/>
      <c r="B14" s="302" t="s">
        <v>112</v>
      </c>
      <c r="C14" s="303"/>
      <c r="D14" s="303"/>
      <c r="E14" s="303"/>
      <c r="F14" s="303"/>
      <c r="G14" s="303"/>
      <c r="H14" s="303"/>
      <c r="I14" s="303"/>
      <c r="J14" s="303"/>
      <c r="K14" s="304"/>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82"/>
    </row>
    <row r="15" spans="1:39" s="77" customFormat="1" ht="20.100000000000001" customHeight="1" x14ac:dyDescent="0.25">
      <c r="A15" s="80"/>
      <c r="B15" s="302" t="s">
        <v>113</v>
      </c>
      <c r="C15" s="303"/>
      <c r="D15" s="303"/>
      <c r="E15" s="303"/>
      <c r="F15" s="303"/>
      <c r="G15" s="303"/>
      <c r="H15" s="303"/>
      <c r="I15" s="303"/>
      <c r="J15" s="303"/>
      <c r="K15" s="304"/>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82"/>
    </row>
    <row r="16" spans="1:39" s="77" customFormat="1" ht="20.100000000000001" customHeight="1" x14ac:dyDescent="0.25">
      <c r="A16" s="80"/>
      <c r="B16" s="302" t="s">
        <v>235</v>
      </c>
      <c r="C16" s="303"/>
      <c r="D16" s="303"/>
      <c r="E16" s="303"/>
      <c r="F16" s="303"/>
      <c r="G16" s="303"/>
      <c r="H16" s="303"/>
      <c r="I16" s="303"/>
      <c r="J16" s="303"/>
      <c r="K16" s="304"/>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82"/>
    </row>
    <row r="17" spans="1:39" s="77" customFormat="1" ht="20.100000000000001" customHeight="1" thickBot="1" x14ac:dyDescent="0.3">
      <c r="A17" s="84"/>
      <c r="B17" s="79"/>
      <c r="C17" s="79"/>
      <c r="D17" s="79"/>
      <c r="E17" s="79"/>
      <c r="F17" s="79"/>
      <c r="G17" s="79"/>
      <c r="H17" s="79"/>
      <c r="I17" s="79"/>
      <c r="J17" s="79"/>
      <c r="K17" s="85"/>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86"/>
    </row>
    <row r="18" spans="1:39" s="77" customFormat="1" ht="20.100000000000001" customHeight="1" thickBot="1" x14ac:dyDescent="0.3">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row>
    <row r="19" spans="1:39" s="77" customFormat="1" ht="20.100000000000001" customHeight="1" x14ac:dyDescent="0.25">
      <c r="A19" s="282" t="s">
        <v>230</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4"/>
    </row>
    <row r="20" spans="1:39" s="77" customFormat="1" ht="20.100000000000001" customHeight="1" x14ac:dyDescent="0.25">
      <c r="A20" s="80"/>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82"/>
    </row>
    <row r="21" spans="1:39" s="77" customFormat="1" ht="20.100000000000001" customHeight="1" x14ac:dyDescent="0.25">
      <c r="A21" s="80"/>
      <c r="B21" s="297" t="s">
        <v>114</v>
      </c>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82"/>
    </row>
    <row r="22" spans="1:39" s="77" customFormat="1" ht="20.100000000000001" customHeight="1" x14ac:dyDescent="0.25">
      <c r="A22" s="80"/>
      <c r="B22" s="297" t="s">
        <v>115</v>
      </c>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82"/>
    </row>
    <row r="23" spans="1:39" s="77" customFormat="1" ht="20.100000000000001" customHeight="1" x14ac:dyDescent="0.25">
      <c r="A23" s="80"/>
      <c r="B23" s="297" t="s">
        <v>116</v>
      </c>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82"/>
    </row>
    <row r="24" spans="1:39" s="77" customFormat="1" ht="20.100000000000001" customHeight="1" thickBot="1" x14ac:dyDescent="0.3">
      <c r="A24" s="84"/>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86"/>
    </row>
    <row r="25" spans="1:39" s="77" customFormat="1" ht="20.100000000000001" customHeight="1" x14ac:dyDescent="0.25">
      <c r="A25" s="292" t="s">
        <v>117</v>
      </c>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4"/>
    </row>
    <row r="26" spans="1:39" s="77" customFormat="1" ht="20.100000000000001" customHeight="1" x14ac:dyDescent="0.25">
      <c r="A26" s="80"/>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82"/>
    </row>
    <row r="27" spans="1:39" s="77" customFormat="1" ht="20.100000000000001" customHeight="1" x14ac:dyDescent="0.25">
      <c r="A27" s="80"/>
      <c r="B27" s="295" t="s">
        <v>118</v>
      </c>
      <c r="C27" s="295"/>
      <c r="D27" s="295"/>
      <c r="E27" s="295"/>
      <c r="F27" s="295"/>
      <c r="G27" s="295"/>
      <c r="H27" s="295"/>
      <c r="I27" s="295"/>
      <c r="J27" s="295"/>
      <c r="K27" s="295"/>
      <c r="L27" s="295"/>
      <c r="M27" s="295"/>
      <c r="N27" s="295"/>
      <c r="O27" s="9"/>
      <c r="P27" s="9"/>
      <c r="Q27" s="9"/>
      <c r="R27" s="9"/>
      <c r="S27" s="9"/>
      <c r="T27" s="9"/>
      <c r="U27" s="9"/>
      <c r="V27" s="296" t="s">
        <v>119</v>
      </c>
      <c r="W27" s="296"/>
      <c r="X27" s="296"/>
      <c r="Y27" s="296"/>
      <c r="Z27" s="296"/>
      <c r="AA27" s="296"/>
      <c r="AB27" s="296"/>
      <c r="AC27" s="296"/>
      <c r="AD27" s="296"/>
      <c r="AE27" s="296"/>
      <c r="AF27" s="296"/>
      <c r="AG27" s="296"/>
      <c r="AH27" s="296"/>
      <c r="AI27" s="296"/>
      <c r="AJ27" s="296"/>
      <c r="AK27" s="296"/>
      <c r="AL27" s="296"/>
      <c r="AM27" s="89"/>
    </row>
    <row r="28" spans="1:39" s="77" customFormat="1" ht="20.100000000000001" customHeight="1" x14ac:dyDescent="0.25">
      <c r="A28" s="80"/>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82"/>
    </row>
    <row r="29" spans="1:39" s="77" customFormat="1" ht="20.100000000000001" customHeight="1" x14ac:dyDescent="0.25">
      <c r="A29" s="80"/>
      <c r="B29" s="83"/>
      <c r="C29" s="90" t="s">
        <v>120</v>
      </c>
      <c r="D29" s="9"/>
      <c r="E29" s="9"/>
      <c r="J29" s="83"/>
      <c r="K29" s="90" t="s">
        <v>121</v>
      </c>
      <c r="L29" s="9"/>
      <c r="M29" s="9"/>
      <c r="N29" s="9"/>
      <c r="O29" s="9"/>
      <c r="P29" s="9"/>
      <c r="Q29" s="9"/>
      <c r="R29" s="9"/>
      <c r="S29" s="9"/>
      <c r="T29" s="9"/>
      <c r="U29" s="9"/>
      <c r="V29" s="83"/>
      <c r="W29" s="91" t="s">
        <v>122</v>
      </c>
      <c r="X29" s="90"/>
      <c r="Y29" s="90"/>
      <c r="Z29" s="90"/>
      <c r="AA29" s="90"/>
      <c r="AB29" s="90"/>
      <c r="AC29" s="90"/>
      <c r="AD29" s="90"/>
      <c r="AE29" s="83"/>
      <c r="AF29" s="91" t="s">
        <v>64</v>
      </c>
      <c r="AH29" s="9"/>
      <c r="AI29" s="9"/>
      <c r="AJ29" s="90"/>
      <c r="AK29" s="90"/>
      <c r="AL29" s="90"/>
      <c r="AM29" s="92"/>
    </row>
    <row r="30" spans="1:39" s="77" customFormat="1" ht="20.100000000000001" customHeight="1" x14ac:dyDescent="0.25">
      <c r="A30" s="9"/>
      <c r="B30" s="9"/>
      <c r="C30" s="9"/>
      <c r="D30" s="9"/>
      <c r="E30" s="9"/>
      <c r="J30" s="9"/>
      <c r="K30" s="90"/>
      <c r="L30" s="9"/>
      <c r="M30" s="9"/>
      <c r="N30" s="9"/>
      <c r="O30" s="9"/>
      <c r="P30" s="9"/>
      <c r="Q30" s="9"/>
      <c r="R30" s="9"/>
      <c r="S30" s="9"/>
      <c r="T30" s="9"/>
      <c r="U30" s="9"/>
      <c r="V30" s="9"/>
      <c r="W30" s="9"/>
      <c r="X30" s="90"/>
      <c r="Y30" s="90"/>
      <c r="Z30" s="90"/>
      <c r="AA30" s="90"/>
      <c r="AB30" s="90"/>
      <c r="AC30" s="90"/>
      <c r="AD30" s="90"/>
      <c r="AE30" s="9"/>
      <c r="AF30" s="9"/>
      <c r="AH30" s="9"/>
      <c r="AI30" s="9"/>
      <c r="AJ30" s="90"/>
      <c r="AK30" s="90"/>
      <c r="AL30" s="90"/>
      <c r="AM30" s="92"/>
    </row>
    <row r="31" spans="1:39" s="77" customFormat="1" ht="20.100000000000001" customHeight="1" x14ac:dyDescent="0.25">
      <c r="A31" s="80"/>
      <c r="B31" s="83"/>
      <c r="C31" s="90" t="s">
        <v>123</v>
      </c>
      <c r="D31" s="9"/>
      <c r="E31" s="9"/>
      <c r="J31" s="83"/>
      <c r="K31" s="90" t="s">
        <v>124</v>
      </c>
      <c r="L31" s="9"/>
      <c r="M31" s="9"/>
      <c r="N31" s="9"/>
      <c r="O31" s="9"/>
      <c r="P31" s="9"/>
      <c r="Q31" s="9"/>
      <c r="R31" s="9"/>
      <c r="S31" s="9"/>
      <c r="T31" s="9"/>
      <c r="U31" s="9"/>
      <c r="V31" s="83"/>
      <c r="W31" s="91" t="s">
        <v>125</v>
      </c>
      <c r="X31" s="90"/>
      <c r="Y31" s="90"/>
      <c r="Z31" s="90"/>
      <c r="AA31" s="90"/>
      <c r="AB31" s="90"/>
      <c r="AC31" s="90"/>
      <c r="AD31" s="90"/>
      <c r="AE31" s="83"/>
      <c r="AF31" s="91" t="s">
        <v>126</v>
      </c>
      <c r="AG31" s="90"/>
      <c r="AH31" s="90"/>
      <c r="AI31" s="90"/>
      <c r="AJ31" s="90"/>
      <c r="AK31" s="90"/>
      <c r="AL31" s="90"/>
      <c r="AM31" s="82"/>
    </row>
    <row r="32" spans="1:39" s="77" customFormat="1" ht="20.100000000000001" customHeight="1" x14ac:dyDescent="0.25">
      <c r="A32" s="80"/>
      <c r="C32" s="90"/>
      <c r="D32" s="9"/>
      <c r="E32" s="9"/>
      <c r="K32" s="90"/>
      <c r="L32" s="9"/>
      <c r="M32" s="9"/>
      <c r="N32" s="9"/>
      <c r="O32" s="9"/>
      <c r="P32" s="9"/>
      <c r="Q32" s="9"/>
      <c r="R32" s="9"/>
      <c r="S32" s="9"/>
      <c r="T32" s="9"/>
      <c r="U32" s="9"/>
      <c r="V32" s="9"/>
      <c r="W32" s="9"/>
      <c r="X32" s="90"/>
      <c r="Y32" s="90"/>
      <c r="Z32" s="90"/>
      <c r="AA32" s="90"/>
      <c r="AB32" s="90"/>
      <c r="AC32" s="90"/>
      <c r="AD32" s="90"/>
      <c r="AF32" s="90"/>
      <c r="AG32" s="90"/>
      <c r="AH32" s="90"/>
      <c r="AI32" s="90"/>
      <c r="AJ32" s="90"/>
      <c r="AK32" s="90"/>
      <c r="AL32" s="90"/>
      <c r="AM32" s="82"/>
    </row>
    <row r="33" spans="1:39" s="77" customFormat="1" ht="20.100000000000001" customHeight="1" x14ac:dyDescent="0.25">
      <c r="A33" s="80"/>
      <c r="B33" s="9"/>
      <c r="C33" s="9"/>
      <c r="D33" s="9"/>
      <c r="E33" s="9"/>
      <c r="F33" s="9"/>
      <c r="G33" s="9"/>
      <c r="H33" s="9"/>
      <c r="I33" s="9"/>
      <c r="J33" s="9"/>
      <c r="K33" s="9"/>
      <c r="L33" s="9"/>
      <c r="M33" s="9"/>
      <c r="N33" s="9"/>
      <c r="O33" s="9"/>
      <c r="P33" s="9"/>
      <c r="Q33" s="9"/>
      <c r="R33" s="9"/>
      <c r="S33" s="9"/>
      <c r="T33" s="9"/>
      <c r="U33" s="9"/>
      <c r="V33" s="83"/>
      <c r="W33" s="91" t="s">
        <v>231</v>
      </c>
      <c r="X33" s="9"/>
      <c r="Y33" s="9"/>
      <c r="Z33" s="9"/>
      <c r="AA33" s="9"/>
      <c r="AB33" s="9"/>
      <c r="AC33" s="9"/>
      <c r="AD33" s="9"/>
      <c r="AE33" s="9"/>
      <c r="AF33" s="9"/>
      <c r="AG33" s="9"/>
      <c r="AH33" s="9"/>
      <c r="AI33" s="9"/>
      <c r="AJ33" s="9"/>
      <c r="AK33" s="9"/>
      <c r="AL33" s="9"/>
      <c r="AM33" s="82"/>
    </row>
    <row r="34" spans="1:39" s="77" customFormat="1" ht="20.100000000000001" customHeight="1" x14ac:dyDescent="0.25">
      <c r="A34" s="80"/>
      <c r="B34" s="9"/>
      <c r="C34" s="9"/>
      <c r="D34" s="9"/>
      <c r="E34" s="9"/>
      <c r="F34" s="9"/>
      <c r="G34" s="9"/>
      <c r="H34" s="9"/>
      <c r="J34" s="9"/>
      <c r="K34" s="9"/>
      <c r="L34" s="9"/>
      <c r="M34" s="9"/>
      <c r="N34" s="9"/>
      <c r="O34" s="9"/>
      <c r="P34" s="9"/>
      <c r="Q34" s="9"/>
      <c r="R34" s="9"/>
      <c r="S34" s="9"/>
      <c r="T34" s="9"/>
      <c r="U34" s="9"/>
      <c r="W34" s="90"/>
      <c r="X34" s="9"/>
      <c r="Y34" s="9"/>
      <c r="Z34" s="9"/>
      <c r="AA34" s="9"/>
      <c r="AB34" s="9"/>
      <c r="AC34" s="9"/>
      <c r="AD34" s="9"/>
      <c r="AE34" s="9"/>
      <c r="AF34" s="9"/>
      <c r="AG34" s="9"/>
      <c r="AH34" s="9"/>
      <c r="AI34" s="9"/>
      <c r="AJ34" s="9"/>
      <c r="AK34" s="9"/>
      <c r="AL34" s="9"/>
      <c r="AM34" s="82"/>
    </row>
    <row r="35" spans="1:39" s="77" customFormat="1" ht="20.100000000000001" customHeight="1" x14ac:dyDescent="0.25">
      <c r="A35" s="80"/>
      <c r="B35" s="289" t="s">
        <v>127</v>
      </c>
      <c r="C35" s="290"/>
      <c r="D35" s="290"/>
      <c r="E35" s="290"/>
      <c r="F35" s="290"/>
      <c r="G35" s="290"/>
      <c r="H35" s="291"/>
      <c r="J35" s="83"/>
      <c r="K35" s="90" t="s">
        <v>65</v>
      </c>
      <c r="L35" s="9"/>
      <c r="M35" s="9"/>
      <c r="O35" s="9"/>
      <c r="P35" s="9"/>
      <c r="Q35" s="9"/>
      <c r="R35" s="9"/>
      <c r="S35" s="9"/>
      <c r="T35" s="9"/>
      <c r="U35" s="9"/>
      <c r="V35" s="83"/>
      <c r="W35" s="90" t="s">
        <v>66</v>
      </c>
      <c r="X35" s="9"/>
      <c r="Y35" s="9"/>
      <c r="AC35" s="9"/>
      <c r="AD35" s="9"/>
      <c r="AE35" s="9"/>
      <c r="AF35" s="9"/>
      <c r="AG35" s="9"/>
      <c r="AH35" s="9"/>
      <c r="AI35" s="9"/>
      <c r="AJ35" s="9"/>
      <c r="AK35" s="9"/>
      <c r="AL35" s="9"/>
      <c r="AM35" s="82"/>
    </row>
    <row r="36" spans="1:39" s="77" customFormat="1" ht="20.100000000000001" customHeight="1" thickBot="1" x14ac:dyDescent="0.3">
      <c r="A36" s="84"/>
      <c r="B36" s="79"/>
      <c r="C36" s="79"/>
      <c r="D36" s="79"/>
      <c r="E36" s="79"/>
      <c r="F36" s="79"/>
      <c r="G36" s="79"/>
      <c r="H36" s="79"/>
      <c r="J36" s="79"/>
      <c r="K36" s="79"/>
      <c r="L36" s="79"/>
      <c r="M36" s="79"/>
      <c r="N36" s="79"/>
      <c r="O36" s="79"/>
      <c r="P36" s="79"/>
      <c r="Q36" s="79"/>
      <c r="R36" s="79"/>
      <c r="S36" s="79"/>
      <c r="T36" s="79"/>
      <c r="U36" s="79"/>
      <c r="V36" s="93"/>
      <c r="W36" s="94"/>
      <c r="X36" s="79"/>
      <c r="Y36" s="79"/>
      <c r="Z36" s="79"/>
      <c r="AA36" s="79"/>
      <c r="AB36" s="79"/>
      <c r="AC36" s="79"/>
      <c r="AD36" s="79"/>
      <c r="AE36" s="79"/>
      <c r="AF36" s="79"/>
      <c r="AG36" s="79"/>
      <c r="AH36" s="79"/>
      <c r="AI36" s="79"/>
      <c r="AJ36" s="79"/>
      <c r="AK36" s="79"/>
      <c r="AL36" s="79"/>
      <c r="AM36" s="86"/>
    </row>
    <row r="37" spans="1:39" s="77" customFormat="1" ht="20.100000000000001" customHeight="1" x14ac:dyDescent="0.25">
      <c r="A37" s="282" t="s">
        <v>128</v>
      </c>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4"/>
    </row>
    <row r="38" spans="1:39" s="77" customFormat="1" ht="20.100000000000001" customHeight="1" x14ac:dyDescent="0.25">
      <c r="A38" s="80"/>
      <c r="B38" s="32"/>
      <c r="C38" s="95"/>
      <c r="D38" s="95"/>
      <c r="E38" s="95"/>
      <c r="F38" s="95"/>
      <c r="G38" s="95"/>
      <c r="H38" s="95"/>
      <c r="I38" s="95"/>
      <c r="J38" s="96"/>
      <c r="K38" s="96"/>
      <c r="L38" s="96"/>
      <c r="M38" s="96"/>
      <c r="N38" s="96"/>
      <c r="O38" s="96"/>
      <c r="P38" s="96"/>
      <c r="Q38" s="96"/>
      <c r="R38" s="96"/>
      <c r="S38" s="96"/>
      <c r="T38" s="96"/>
      <c r="U38" s="96"/>
      <c r="V38" s="95"/>
      <c r="W38" s="95"/>
      <c r="X38" s="95"/>
      <c r="Y38" s="95"/>
      <c r="Z38" s="95"/>
      <c r="AA38" s="95"/>
      <c r="AB38" s="95"/>
      <c r="AC38" s="97"/>
      <c r="AD38" s="97"/>
      <c r="AE38" s="97"/>
      <c r="AF38" s="97"/>
      <c r="AG38" s="97"/>
      <c r="AH38" s="97"/>
      <c r="AI38" s="95"/>
      <c r="AJ38" s="95"/>
      <c r="AK38" s="95"/>
      <c r="AL38" s="95"/>
      <c r="AM38" s="98"/>
    </row>
    <row r="39" spans="1:39" s="77" customFormat="1" ht="20.100000000000001" customHeight="1" x14ac:dyDescent="0.25">
      <c r="A39" s="80"/>
      <c r="B39" s="99"/>
      <c r="C39" s="90" t="s">
        <v>129</v>
      </c>
      <c r="D39" s="95"/>
      <c r="E39" s="95"/>
      <c r="F39" s="95"/>
      <c r="G39" s="95"/>
      <c r="H39" s="95"/>
      <c r="I39" s="95"/>
      <c r="J39" s="88"/>
      <c r="K39" s="99"/>
      <c r="L39" s="90" t="s">
        <v>130</v>
      </c>
      <c r="M39" s="90"/>
      <c r="N39" s="90"/>
      <c r="O39" s="90"/>
      <c r="P39" s="90"/>
      <c r="Q39" s="9"/>
      <c r="R39" s="99"/>
      <c r="S39" s="90" t="s">
        <v>131</v>
      </c>
      <c r="V39" s="9"/>
      <c r="W39" s="9"/>
      <c r="X39" s="90"/>
      <c r="Y39" s="90"/>
      <c r="Z39" s="99"/>
      <c r="AA39" s="90" t="s">
        <v>132</v>
      </c>
      <c r="AD39" s="90"/>
      <c r="AE39" s="90"/>
      <c r="AG39" s="9"/>
      <c r="AH39" s="9"/>
      <c r="AI39" s="100"/>
      <c r="AL39" s="90"/>
      <c r="AM39" s="92"/>
    </row>
    <row r="40" spans="1:39" s="77" customFormat="1" ht="20.100000000000001" customHeight="1" x14ac:dyDescent="0.25">
      <c r="A40" s="80"/>
      <c r="B40" s="88"/>
      <c r="C40" s="90"/>
      <c r="D40" s="95"/>
      <c r="E40" s="95"/>
      <c r="F40" s="95"/>
      <c r="G40" s="95"/>
      <c r="H40" s="95"/>
      <c r="I40" s="95"/>
      <c r="J40" s="88"/>
      <c r="K40" s="90"/>
      <c r="L40" s="90"/>
      <c r="M40" s="90"/>
      <c r="N40" s="90"/>
      <c r="O40" s="90"/>
      <c r="P40" s="90"/>
      <c r="Q40" s="9"/>
      <c r="R40" s="90"/>
      <c r="S40" s="90"/>
      <c r="V40" s="9"/>
      <c r="W40" s="9"/>
      <c r="X40" s="90"/>
      <c r="Y40" s="90"/>
      <c r="Z40" s="90"/>
      <c r="AA40" s="90"/>
      <c r="AD40" s="90"/>
      <c r="AE40" s="90"/>
      <c r="AG40" s="9"/>
      <c r="AH40" s="9"/>
      <c r="AI40" s="90"/>
      <c r="AL40" s="90"/>
      <c r="AM40" s="92"/>
    </row>
    <row r="41" spans="1:39" s="77" customFormat="1" ht="20.100000000000001" customHeight="1" x14ac:dyDescent="0.25">
      <c r="A41" s="80"/>
      <c r="B41" s="99"/>
      <c r="C41" s="90" t="s">
        <v>133</v>
      </c>
      <c r="D41" s="95"/>
      <c r="E41" s="95"/>
      <c r="F41" s="95"/>
      <c r="G41" s="95"/>
      <c r="H41" s="95"/>
      <c r="I41" s="95"/>
      <c r="J41" s="88"/>
      <c r="K41" s="99"/>
      <c r="L41" s="90" t="s">
        <v>134</v>
      </c>
      <c r="M41" s="90"/>
      <c r="N41" s="90"/>
      <c r="O41" s="90"/>
      <c r="P41" s="90"/>
      <c r="Q41" s="9"/>
      <c r="R41" s="99"/>
      <c r="S41" s="90" t="s">
        <v>135</v>
      </c>
      <c r="V41" s="9"/>
      <c r="W41" s="9"/>
      <c r="X41" s="90"/>
      <c r="Y41" s="90"/>
      <c r="Z41" s="99"/>
      <c r="AA41" s="90" t="s">
        <v>136</v>
      </c>
      <c r="AD41" s="90"/>
      <c r="AE41" s="90"/>
      <c r="AG41" s="9"/>
      <c r="AH41" s="9"/>
      <c r="AI41" s="90"/>
      <c r="AL41" s="90"/>
      <c r="AM41" s="92"/>
    </row>
    <row r="42" spans="1:39" s="77" customFormat="1" ht="20.100000000000001" customHeight="1" thickBot="1" x14ac:dyDescent="0.3">
      <c r="A42" s="84"/>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86"/>
    </row>
    <row r="43" spans="1:39" s="77" customFormat="1" ht="20.100000000000001" customHeight="1" x14ac:dyDescent="0.25">
      <c r="A43" s="292" t="s">
        <v>137</v>
      </c>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4"/>
    </row>
    <row r="44" spans="1:39" s="77" customFormat="1" ht="20.100000000000001" customHeight="1" x14ac:dyDescent="0.25">
      <c r="A44" s="80"/>
      <c r="B44" s="32"/>
      <c r="C44" s="95"/>
      <c r="D44" s="95"/>
      <c r="E44" s="95"/>
      <c r="F44" s="95"/>
      <c r="G44" s="95"/>
      <c r="H44" s="95"/>
      <c r="I44" s="95"/>
      <c r="J44" s="96"/>
      <c r="K44" s="96"/>
      <c r="L44" s="96"/>
      <c r="M44" s="96"/>
      <c r="N44" s="96"/>
      <c r="O44" s="96"/>
      <c r="P44" s="96"/>
      <c r="Q44" s="96"/>
      <c r="R44" s="96"/>
      <c r="S44" s="96"/>
      <c r="T44" s="96"/>
      <c r="U44" s="96"/>
      <c r="V44" s="95"/>
      <c r="W44" s="95"/>
      <c r="X44" s="95"/>
      <c r="Y44" s="95"/>
      <c r="Z44" s="95"/>
      <c r="AA44" s="95"/>
      <c r="AB44" s="95"/>
      <c r="AC44" s="97"/>
      <c r="AD44" s="97"/>
      <c r="AE44" s="97"/>
      <c r="AF44" s="97"/>
      <c r="AG44" s="97"/>
      <c r="AH44" s="97"/>
      <c r="AI44" s="95"/>
      <c r="AJ44" s="95"/>
      <c r="AK44" s="95"/>
      <c r="AL44" s="95"/>
      <c r="AM44" s="98"/>
    </row>
    <row r="45" spans="1:39" s="77" customFormat="1" ht="20.100000000000001" customHeight="1" x14ac:dyDescent="0.25">
      <c r="A45" s="80"/>
      <c r="B45" s="99"/>
      <c r="C45" s="90" t="s">
        <v>138</v>
      </c>
      <c r="D45" s="95"/>
      <c r="E45" s="95"/>
      <c r="F45" s="95"/>
      <c r="G45" s="95"/>
      <c r="H45" s="95"/>
      <c r="I45" s="95"/>
      <c r="J45" s="88"/>
      <c r="K45" s="99"/>
      <c r="L45" s="90" t="s">
        <v>139</v>
      </c>
      <c r="M45" s="90"/>
      <c r="N45" s="90"/>
      <c r="O45" s="90"/>
      <c r="P45" s="90"/>
      <c r="Q45" s="9"/>
      <c r="R45" s="99"/>
      <c r="S45" s="90" t="s">
        <v>140</v>
      </c>
      <c r="V45" s="9"/>
      <c r="W45" s="9"/>
      <c r="X45" s="90"/>
      <c r="Y45" s="90"/>
      <c r="Z45" s="99"/>
      <c r="AA45" s="90" t="s">
        <v>141</v>
      </c>
      <c r="AD45" s="90"/>
      <c r="AE45" s="90"/>
      <c r="AG45" s="9"/>
      <c r="AH45" s="9"/>
      <c r="AI45" s="100"/>
      <c r="AL45" s="90"/>
      <c r="AM45" s="92"/>
    </row>
    <row r="46" spans="1:39" s="77" customFormat="1" ht="20.100000000000001" customHeight="1" x14ac:dyDescent="0.25">
      <c r="A46" s="80"/>
      <c r="B46" s="88"/>
      <c r="C46" s="90"/>
      <c r="D46" s="95"/>
      <c r="E46" s="95"/>
      <c r="F46" s="95"/>
      <c r="G46" s="95"/>
      <c r="H46" s="95"/>
      <c r="I46" s="95"/>
      <c r="J46" s="88"/>
      <c r="K46" s="90"/>
      <c r="L46" s="90"/>
      <c r="M46" s="90"/>
      <c r="N46" s="90"/>
      <c r="O46" s="90"/>
      <c r="P46" s="90"/>
      <c r="Q46" s="9"/>
      <c r="R46" s="90"/>
      <c r="S46" s="90"/>
      <c r="V46" s="9"/>
      <c r="W46" s="9"/>
      <c r="X46" s="90"/>
      <c r="Y46" s="90"/>
      <c r="Z46" s="90"/>
      <c r="AA46" s="90"/>
      <c r="AD46" s="90"/>
      <c r="AE46" s="90"/>
      <c r="AG46" s="9"/>
      <c r="AH46" s="9"/>
      <c r="AI46" s="90"/>
      <c r="AL46" s="90"/>
      <c r="AM46" s="92"/>
    </row>
    <row r="47" spans="1:39" s="77" customFormat="1" ht="20.100000000000001" customHeight="1" x14ac:dyDescent="0.25">
      <c r="A47" s="80"/>
      <c r="B47" s="99"/>
      <c r="C47" s="90" t="s">
        <v>142</v>
      </c>
      <c r="D47" s="95"/>
      <c r="E47" s="95"/>
      <c r="F47" s="95"/>
      <c r="G47" s="95"/>
      <c r="H47" s="95"/>
      <c r="I47" s="95"/>
      <c r="J47" s="88"/>
      <c r="K47" s="99"/>
      <c r="L47" s="90" t="s">
        <v>143</v>
      </c>
      <c r="M47" s="90"/>
      <c r="N47" s="90"/>
      <c r="O47" s="90"/>
      <c r="P47" s="90"/>
      <c r="Q47" s="9"/>
      <c r="R47" s="99"/>
      <c r="S47" s="90" t="s">
        <v>144</v>
      </c>
      <c r="V47" s="9"/>
      <c r="W47" s="9"/>
      <c r="X47" s="90"/>
      <c r="Y47" s="90"/>
      <c r="Z47" s="99"/>
      <c r="AA47" s="90" t="s">
        <v>145</v>
      </c>
      <c r="AD47" s="90"/>
      <c r="AE47" s="90"/>
      <c r="AG47" s="9"/>
      <c r="AH47" s="9"/>
      <c r="AI47" s="90"/>
      <c r="AL47" s="90"/>
      <c r="AM47" s="92"/>
    </row>
    <row r="48" spans="1:39" s="77" customFormat="1" ht="20.100000000000001" customHeight="1" thickBot="1" x14ac:dyDescent="0.3">
      <c r="A48" s="84"/>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86"/>
    </row>
    <row r="49" spans="1:39" s="77" customFormat="1" ht="20.100000000000001" customHeight="1" x14ac:dyDescent="0.25">
      <c r="A49" s="282" t="s">
        <v>146</v>
      </c>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4"/>
    </row>
    <row r="50" spans="1:39" s="77" customFormat="1" ht="20.100000000000001" customHeight="1" x14ac:dyDescent="0.25">
      <c r="A50" s="80"/>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82"/>
    </row>
    <row r="51" spans="1:39" s="77" customFormat="1" ht="20.100000000000001" customHeight="1" x14ac:dyDescent="0.25">
      <c r="A51" s="80"/>
      <c r="B51" s="287" t="s">
        <v>236</v>
      </c>
      <c r="C51" s="288"/>
      <c r="D51" s="288"/>
      <c r="E51" s="288"/>
      <c r="F51" s="288"/>
      <c r="G51" s="288"/>
      <c r="H51" s="288"/>
      <c r="I51" s="288"/>
      <c r="J51" s="288"/>
      <c r="K51" s="286"/>
      <c r="L51" s="286"/>
      <c r="M51" s="286"/>
      <c r="N51" s="286"/>
      <c r="O51" s="286"/>
      <c r="P51" s="9"/>
      <c r="Q51" s="287" t="s">
        <v>237</v>
      </c>
      <c r="R51" s="288"/>
      <c r="S51" s="288"/>
      <c r="T51" s="288"/>
      <c r="U51" s="288"/>
      <c r="V51" s="288"/>
      <c r="W51" s="288"/>
      <c r="X51" s="285"/>
      <c r="Y51" s="285"/>
      <c r="Z51" s="285"/>
      <c r="AA51" s="285"/>
      <c r="AB51" s="9"/>
      <c r="AC51" s="287" t="s">
        <v>5</v>
      </c>
      <c r="AD51" s="288"/>
      <c r="AE51" s="288"/>
      <c r="AF51" s="288"/>
      <c r="AG51" s="288"/>
      <c r="AH51" s="288"/>
      <c r="AI51" s="288"/>
      <c r="AJ51" s="285"/>
      <c r="AK51" s="285"/>
      <c r="AL51" s="285"/>
      <c r="AM51" s="82"/>
    </row>
    <row r="52" spans="1:39" s="77" customFormat="1" ht="20.100000000000001" customHeight="1" x14ac:dyDescent="0.25">
      <c r="A52" s="80"/>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82"/>
    </row>
    <row r="53" spans="1:39" s="77" customFormat="1" ht="20.100000000000001" customHeight="1" x14ac:dyDescent="0.25">
      <c r="A53" s="80"/>
      <c r="B53" s="285" t="s">
        <v>3</v>
      </c>
      <c r="C53" s="285"/>
      <c r="D53" s="285"/>
      <c r="E53" s="285"/>
      <c r="F53" s="285"/>
      <c r="G53" s="285"/>
      <c r="H53" s="285"/>
      <c r="I53" s="285"/>
      <c r="J53" s="285"/>
      <c r="K53" s="9"/>
      <c r="L53" s="83"/>
      <c r="M53" s="90" t="s">
        <v>147</v>
      </c>
      <c r="N53" s="9"/>
      <c r="O53" s="9"/>
      <c r="P53" s="9"/>
      <c r="Q53" s="83"/>
      <c r="R53" s="90" t="s">
        <v>148</v>
      </c>
      <c r="S53" s="9"/>
      <c r="T53" s="9"/>
      <c r="U53" s="9"/>
      <c r="V53" s="9"/>
      <c r="W53" s="83"/>
      <c r="X53" s="90" t="s">
        <v>149</v>
      </c>
      <c r="Y53" s="9"/>
      <c r="Z53" s="9"/>
      <c r="AA53" s="9"/>
      <c r="AB53" s="9"/>
      <c r="AE53" s="9"/>
      <c r="AF53" s="9"/>
      <c r="AG53" s="9"/>
      <c r="AH53" s="9"/>
      <c r="AI53" s="9"/>
      <c r="AJ53" s="9"/>
      <c r="AK53" s="9"/>
      <c r="AL53" s="9"/>
      <c r="AM53" s="82"/>
    </row>
    <row r="54" spans="1:39" s="77" customFormat="1" ht="20.100000000000001" customHeight="1" x14ac:dyDescent="0.25">
      <c r="A54" s="80"/>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82"/>
    </row>
    <row r="55" spans="1:39" s="77" customFormat="1" ht="20.100000000000001" customHeight="1" x14ac:dyDescent="0.25">
      <c r="A55" s="80"/>
      <c r="B55" s="285" t="s">
        <v>4</v>
      </c>
      <c r="C55" s="285"/>
      <c r="D55" s="285"/>
      <c r="E55" s="285"/>
      <c r="F55" s="285"/>
      <c r="G55" s="285"/>
      <c r="H55" s="285"/>
      <c r="I55" s="285"/>
      <c r="J55" s="285"/>
      <c r="K55" s="9"/>
      <c r="L55" s="83"/>
      <c r="M55" s="90" t="s">
        <v>67</v>
      </c>
      <c r="N55" s="9"/>
      <c r="O55" s="9"/>
      <c r="P55" s="9"/>
      <c r="Q55" s="83"/>
      <c r="R55" s="90" t="s">
        <v>150</v>
      </c>
      <c r="S55" s="9"/>
      <c r="T55" s="9"/>
      <c r="U55" s="9"/>
      <c r="V55" s="9"/>
      <c r="W55" s="9"/>
      <c r="X55" s="9"/>
      <c r="Y55" s="9"/>
      <c r="Z55" s="9"/>
      <c r="AA55" s="9"/>
      <c r="AB55" s="9"/>
      <c r="AC55" s="9"/>
      <c r="AD55" s="9"/>
      <c r="AE55" s="9"/>
      <c r="AF55" s="9"/>
      <c r="AG55" s="9"/>
      <c r="AH55" s="9"/>
      <c r="AI55" s="9"/>
      <c r="AJ55" s="9"/>
      <c r="AK55" s="9"/>
      <c r="AL55" s="9"/>
      <c r="AM55" s="82"/>
    </row>
    <row r="56" spans="1:39" s="77" customFormat="1" ht="20.100000000000001" customHeight="1" x14ac:dyDescent="0.25">
      <c r="A56" s="80"/>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82"/>
    </row>
    <row r="57" spans="1:39" s="77" customFormat="1" ht="20.100000000000001" customHeight="1" x14ac:dyDescent="0.25">
      <c r="A57" s="80"/>
      <c r="B57" s="285" t="s">
        <v>0</v>
      </c>
      <c r="C57" s="285"/>
      <c r="D57" s="285"/>
      <c r="E57" s="285"/>
      <c r="F57" s="285"/>
      <c r="G57" s="285"/>
      <c r="H57" s="285"/>
      <c r="I57" s="285"/>
      <c r="J57" s="285"/>
      <c r="K57" s="9"/>
      <c r="L57" s="83"/>
      <c r="M57" s="90" t="s">
        <v>151</v>
      </c>
      <c r="N57" s="9"/>
      <c r="O57" s="9"/>
      <c r="P57" s="9"/>
      <c r="Q57" s="83"/>
      <c r="R57" s="90" t="s">
        <v>238</v>
      </c>
      <c r="S57" s="9"/>
      <c r="T57" s="9"/>
      <c r="U57" s="9"/>
      <c r="V57" s="9"/>
      <c r="W57" s="83"/>
      <c r="X57" s="90" t="s">
        <v>239</v>
      </c>
      <c r="Y57" s="9"/>
      <c r="Z57" s="9"/>
      <c r="AA57" s="9"/>
      <c r="AB57" s="9"/>
      <c r="AC57" s="9"/>
      <c r="AD57" s="9"/>
      <c r="AE57" s="9"/>
      <c r="AF57" s="9"/>
      <c r="AG57" s="9"/>
      <c r="AH57" s="9"/>
      <c r="AI57" s="9"/>
      <c r="AJ57" s="9"/>
      <c r="AK57" s="9"/>
      <c r="AL57" s="9"/>
      <c r="AM57" s="82"/>
    </row>
    <row r="58" spans="1:39" s="77" customFormat="1" ht="20.100000000000001" customHeight="1" x14ac:dyDescent="0.25">
      <c r="A58" s="80"/>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82"/>
    </row>
    <row r="59" spans="1:39" s="77" customFormat="1" ht="20.100000000000001" customHeight="1" x14ac:dyDescent="0.25">
      <c r="A59" s="80"/>
      <c r="B59" s="285" t="s">
        <v>152</v>
      </c>
      <c r="C59" s="285"/>
      <c r="D59" s="285"/>
      <c r="E59" s="285"/>
      <c r="F59" s="285"/>
      <c r="G59" s="285"/>
      <c r="H59" s="285"/>
      <c r="I59" s="285"/>
      <c r="J59" s="285"/>
      <c r="K59" s="9"/>
      <c r="L59" s="83"/>
      <c r="M59" s="90" t="s">
        <v>153</v>
      </c>
      <c r="N59" s="9"/>
      <c r="O59" s="9"/>
      <c r="P59" s="9"/>
      <c r="Q59" s="83"/>
      <c r="R59" s="90" t="s">
        <v>154</v>
      </c>
      <c r="S59" s="9"/>
      <c r="T59" s="9"/>
      <c r="U59" s="9"/>
      <c r="V59" s="9"/>
      <c r="W59" s="83"/>
      <c r="X59" s="90" t="s">
        <v>155</v>
      </c>
      <c r="Y59" s="9"/>
      <c r="Z59" s="9"/>
      <c r="AA59" s="9"/>
      <c r="AB59" s="9"/>
      <c r="AC59" s="83"/>
      <c r="AD59" s="90" t="s">
        <v>156</v>
      </c>
      <c r="AE59" s="9"/>
      <c r="AF59" s="9"/>
      <c r="AG59" s="9"/>
      <c r="AH59" s="9"/>
      <c r="AI59" s="9"/>
      <c r="AJ59" s="9"/>
      <c r="AK59" s="9"/>
      <c r="AL59" s="9"/>
      <c r="AM59" s="82"/>
    </row>
    <row r="60" spans="1:39" s="77" customFormat="1" ht="20.100000000000001" customHeight="1" x14ac:dyDescent="0.25">
      <c r="A60" s="80"/>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82"/>
    </row>
    <row r="61" spans="1:39" s="77" customFormat="1" ht="20.100000000000001" customHeight="1" x14ac:dyDescent="0.25">
      <c r="A61" s="80"/>
      <c r="B61" s="285" t="s">
        <v>6</v>
      </c>
      <c r="C61" s="285"/>
      <c r="D61" s="285"/>
      <c r="E61" s="285"/>
      <c r="F61" s="285"/>
      <c r="G61" s="285"/>
      <c r="H61" s="285"/>
      <c r="I61" s="285"/>
      <c r="J61" s="285"/>
      <c r="K61" s="9"/>
      <c r="L61" s="83"/>
      <c r="M61" s="90" t="s">
        <v>157</v>
      </c>
      <c r="N61" s="9"/>
      <c r="O61" s="9"/>
      <c r="P61" s="9"/>
      <c r="Q61" s="83"/>
      <c r="R61" s="90" t="s">
        <v>158</v>
      </c>
      <c r="S61" s="9"/>
      <c r="T61" s="9"/>
      <c r="U61" s="9"/>
      <c r="V61" s="9"/>
      <c r="W61" s="9"/>
      <c r="X61" s="9"/>
      <c r="Y61" s="9"/>
      <c r="Z61" s="9"/>
      <c r="AA61" s="9"/>
      <c r="AB61" s="9"/>
      <c r="AC61" s="9"/>
      <c r="AD61" s="9"/>
      <c r="AE61" s="9"/>
      <c r="AF61" s="9"/>
      <c r="AG61" s="9"/>
      <c r="AH61" s="9"/>
      <c r="AI61" s="9"/>
      <c r="AJ61" s="9"/>
      <c r="AK61" s="9"/>
      <c r="AL61" s="9"/>
      <c r="AM61" s="82"/>
    </row>
    <row r="62" spans="1:39" s="77" customFormat="1" ht="20.100000000000001" customHeight="1" x14ac:dyDescent="0.25">
      <c r="A62" s="80"/>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82"/>
    </row>
    <row r="63" spans="1:39" s="77" customFormat="1" ht="20.100000000000001" customHeight="1" x14ac:dyDescent="0.25">
      <c r="A63" s="80"/>
      <c r="B63" s="285" t="s">
        <v>240</v>
      </c>
      <c r="C63" s="285"/>
      <c r="D63" s="285"/>
      <c r="E63" s="285"/>
      <c r="F63" s="285"/>
      <c r="G63" s="285"/>
      <c r="H63" s="285"/>
      <c r="I63" s="285"/>
      <c r="J63" s="285"/>
      <c r="K63" s="9"/>
      <c r="L63" s="83"/>
      <c r="M63" s="90" t="s">
        <v>159</v>
      </c>
      <c r="N63" s="9"/>
      <c r="O63" s="9"/>
      <c r="P63" s="9"/>
      <c r="Q63" s="83"/>
      <c r="R63" s="90" t="s">
        <v>160</v>
      </c>
      <c r="S63" s="9"/>
      <c r="T63" s="9"/>
      <c r="U63" s="9"/>
      <c r="V63" s="9"/>
      <c r="W63" s="83"/>
      <c r="X63" s="90" t="s">
        <v>161</v>
      </c>
      <c r="Y63" s="9"/>
      <c r="Z63" s="9"/>
      <c r="AA63" s="9"/>
      <c r="AB63" s="9"/>
      <c r="AD63" s="90"/>
      <c r="AE63" s="9"/>
      <c r="AF63" s="9"/>
      <c r="AG63" s="9"/>
      <c r="AH63" s="9"/>
      <c r="AI63" s="9"/>
      <c r="AJ63" s="9"/>
      <c r="AK63" s="9"/>
      <c r="AL63" s="9"/>
      <c r="AM63" s="82"/>
    </row>
    <row r="64" spans="1:39" s="77" customFormat="1" ht="20.100000000000001" customHeight="1" thickBot="1" x14ac:dyDescent="0.3">
      <c r="A64" s="84"/>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86"/>
    </row>
    <row r="65" spans="1:39" s="77" customFormat="1" ht="20.100000000000001" customHeight="1" x14ac:dyDescent="0.25">
      <c r="A65" s="282" t="s">
        <v>162</v>
      </c>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4"/>
    </row>
    <row r="66" spans="1:39" s="77" customFormat="1" ht="20.100000000000001" customHeight="1" x14ac:dyDescent="0.25">
      <c r="A66" s="80"/>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82"/>
    </row>
    <row r="67" spans="1:39" s="77" customFormat="1" ht="20.100000000000001" customHeight="1" x14ac:dyDescent="0.25">
      <c r="A67" s="80"/>
      <c r="B67" s="285" t="s">
        <v>163</v>
      </c>
      <c r="C67" s="285"/>
      <c r="D67" s="285"/>
      <c r="E67" s="285"/>
      <c r="F67" s="285"/>
      <c r="G67" s="285"/>
      <c r="H67" s="285"/>
      <c r="I67" s="285"/>
      <c r="J67" s="285"/>
      <c r="K67" s="9"/>
      <c r="L67" s="83"/>
      <c r="M67" s="90" t="s">
        <v>164</v>
      </c>
      <c r="N67" s="9"/>
      <c r="O67" s="9"/>
      <c r="P67" s="9"/>
      <c r="Q67" s="83"/>
      <c r="R67" s="90" t="s">
        <v>165</v>
      </c>
      <c r="S67" s="9"/>
      <c r="T67" s="9"/>
      <c r="U67" s="9"/>
      <c r="V67" s="9"/>
      <c r="W67" s="83"/>
      <c r="X67" s="90" t="s">
        <v>67</v>
      </c>
      <c r="Y67" s="9"/>
      <c r="Z67" s="9"/>
      <c r="AA67" s="9"/>
      <c r="AB67" s="9"/>
      <c r="AC67" s="83"/>
      <c r="AD67" s="90" t="s">
        <v>166</v>
      </c>
      <c r="AE67" s="9"/>
      <c r="AF67" s="9"/>
      <c r="AG67" s="9"/>
      <c r="AH67" s="9"/>
      <c r="AI67" s="9"/>
      <c r="AJ67" s="9"/>
      <c r="AK67" s="9"/>
      <c r="AL67" s="9"/>
      <c r="AM67" s="82"/>
    </row>
    <row r="68" spans="1:39" s="77" customFormat="1" ht="20.100000000000001" customHeight="1" x14ac:dyDescent="0.25">
      <c r="A68" s="80"/>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82"/>
    </row>
    <row r="69" spans="1:39" s="77" customFormat="1" ht="20.100000000000001" customHeight="1" x14ac:dyDescent="0.25">
      <c r="A69" s="80"/>
      <c r="B69" s="285" t="s">
        <v>8</v>
      </c>
      <c r="C69" s="285"/>
      <c r="D69" s="285"/>
      <c r="E69" s="285"/>
      <c r="F69" s="285"/>
      <c r="G69" s="285"/>
      <c r="H69" s="285"/>
      <c r="I69" s="285"/>
      <c r="J69" s="285"/>
      <c r="K69" s="9"/>
      <c r="L69" s="83"/>
      <c r="M69" s="90" t="s">
        <v>167</v>
      </c>
      <c r="N69" s="9"/>
      <c r="O69" s="9"/>
      <c r="P69" s="9"/>
      <c r="Q69" s="83"/>
      <c r="R69" s="90" t="s">
        <v>168</v>
      </c>
      <c r="S69" s="9"/>
      <c r="T69" s="9"/>
      <c r="U69" s="9"/>
      <c r="V69" s="9"/>
      <c r="W69" s="83"/>
      <c r="X69" s="90" t="s">
        <v>169</v>
      </c>
      <c r="Y69" s="9"/>
      <c r="Z69" s="9"/>
      <c r="AA69" s="9"/>
      <c r="AB69" s="9"/>
      <c r="AC69" s="83"/>
      <c r="AD69" s="90" t="s">
        <v>170</v>
      </c>
      <c r="AE69" s="9"/>
      <c r="AF69" s="9"/>
      <c r="AG69" s="9"/>
      <c r="AH69" s="9"/>
      <c r="AI69" s="9"/>
      <c r="AJ69" s="9"/>
      <c r="AK69" s="9"/>
      <c r="AL69" s="9"/>
      <c r="AM69" s="82"/>
    </row>
    <row r="70" spans="1:39" s="77" customFormat="1" ht="20.100000000000001" customHeight="1" x14ac:dyDescent="0.25">
      <c r="A70" s="80"/>
      <c r="B70" s="95"/>
      <c r="C70" s="95"/>
      <c r="D70" s="95"/>
      <c r="E70" s="95"/>
      <c r="F70" s="95"/>
      <c r="G70" s="95"/>
      <c r="H70" s="95"/>
      <c r="I70" s="95"/>
      <c r="J70" s="95"/>
      <c r="K70" s="9"/>
      <c r="M70" s="90"/>
      <c r="N70" s="9"/>
      <c r="O70" s="9"/>
      <c r="P70" s="9"/>
      <c r="R70" s="90"/>
      <c r="S70" s="9"/>
      <c r="T70" s="9"/>
      <c r="U70" s="9"/>
      <c r="V70" s="9"/>
      <c r="X70" s="90"/>
      <c r="Y70" s="9"/>
      <c r="Z70" s="9"/>
      <c r="AA70" s="9"/>
      <c r="AB70" s="9"/>
      <c r="AD70" s="90"/>
      <c r="AE70" s="9"/>
      <c r="AF70" s="9"/>
      <c r="AG70" s="9"/>
      <c r="AH70" s="9"/>
      <c r="AI70" s="9"/>
      <c r="AJ70" s="9"/>
      <c r="AK70" s="9"/>
      <c r="AL70" s="9"/>
      <c r="AM70" s="82"/>
    </row>
    <row r="71" spans="1:39" s="77" customFormat="1" ht="20.100000000000001" customHeight="1" x14ac:dyDescent="0.25">
      <c r="A71" s="80"/>
      <c r="B71" s="95"/>
      <c r="C71" s="95"/>
      <c r="D71" s="95"/>
      <c r="E71" s="95"/>
      <c r="F71" s="95"/>
      <c r="G71" s="95"/>
      <c r="H71" s="95"/>
      <c r="I71" s="95"/>
      <c r="J71" s="95"/>
      <c r="K71" s="9"/>
      <c r="L71" s="83"/>
      <c r="M71" s="90" t="s">
        <v>171</v>
      </c>
      <c r="N71" s="9"/>
      <c r="O71" s="9"/>
      <c r="P71" s="9"/>
      <c r="Q71" s="83"/>
      <c r="R71" s="90" t="s">
        <v>172</v>
      </c>
      <c r="S71" s="9"/>
      <c r="T71" s="9"/>
      <c r="U71" s="9"/>
      <c r="V71" s="9"/>
      <c r="W71" s="83"/>
      <c r="X71" s="90" t="s">
        <v>173</v>
      </c>
      <c r="Y71" s="9"/>
      <c r="Z71" s="9"/>
      <c r="AA71" s="9"/>
      <c r="AB71" s="9"/>
      <c r="AD71" s="90"/>
      <c r="AE71" s="9"/>
      <c r="AF71" s="9"/>
      <c r="AG71" s="9"/>
      <c r="AH71" s="9"/>
      <c r="AI71" s="9"/>
      <c r="AJ71" s="9"/>
      <c r="AK71" s="9"/>
      <c r="AL71" s="9"/>
      <c r="AM71" s="82"/>
    </row>
    <row r="72" spans="1:39" s="77" customFormat="1" ht="20.100000000000001" customHeight="1" thickBot="1" x14ac:dyDescent="0.3">
      <c r="A72" s="84"/>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86"/>
    </row>
    <row r="73" spans="1:39" s="77" customFormat="1" ht="20.100000000000001" customHeight="1" x14ac:dyDescent="0.25">
      <c r="A73" s="282" t="s">
        <v>174</v>
      </c>
      <c r="B73" s="283"/>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4"/>
    </row>
    <row r="74" spans="1:39" s="77" customFormat="1" ht="20.100000000000001" customHeight="1" x14ac:dyDescent="0.25">
      <c r="A74" s="80"/>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82"/>
    </row>
    <row r="75" spans="1:39" s="77" customFormat="1" ht="20.100000000000001" customHeight="1" x14ac:dyDescent="0.25">
      <c r="A75" s="80"/>
      <c r="B75" s="285" t="s">
        <v>175</v>
      </c>
      <c r="C75" s="285"/>
      <c r="D75" s="285"/>
      <c r="E75" s="285"/>
      <c r="F75" s="285"/>
      <c r="G75" s="285"/>
      <c r="H75" s="285"/>
      <c r="I75" s="285"/>
      <c r="J75" s="285"/>
      <c r="K75" s="9"/>
      <c r="L75" s="83"/>
      <c r="M75" s="90" t="s">
        <v>176</v>
      </c>
      <c r="N75" s="9"/>
      <c r="O75" s="9"/>
      <c r="P75" s="9"/>
      <c r="Q75" s="9"/>
      <c r="R75" s="83"/>
      <c r="S75" s="90" t="s">
        <v>177</v>
      </c>
      <c r="T75" s="9"/>
      <c r="U75" s="9"/>
      <c r="V75" s="9"/>
      <c r="W75" s="9"/>
      <c r="X75" s="9"/>
      <c r="Y75" s="83"/>
      <c r="Z75" s="90" t="s">
        <v>178</v>
      </c>
      <c r="AA75" s="9"/>
      <c r="AB75" s="9"/>
      <c r="AC75" s="9"/>
      <c r="AD75" s="9"/>
      <c r="AF75" s="9"/>
      <c r="AG75" s="9"/>
      <c r="AH75" s="9"/>
      <c r="AI75" s="9"/>
      <c r="AJ75" s="9"/>
      <c r="AK75" s="9"/>
      <c r="AL75" s="9"/>
      <c r="AM75" s="82"/>
    </row>
    <row r="76" spans="1:39" s="77" customFormat="1" ht="20.100000000000001" customHeight="1" x14ac:dyDescent="0.25">
      <c r="A76" s="80"/>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82"/>
    </row>
    <row r="77" spans="1:39" s="77" customFormat="1" ht="20.100000000000001" customHeight="1" x14ac:dyDescent="0.25">
      <c r="A77" s="80"/>
      <c r="B77" s="285" t="s">
        <v>179</v>
      </c>
      <c r="C77" s="285"/>
      <c r="D77" s="285"/>
      <c r="E77" s="285"/>
      <c r="F77" s="285"/>
      <c r="G77" s="285"/>
      <c r="H77" s="285"/>
      <c r="I77" s="285"/>
      <c r="J77" s="285"/>
      <c r="K77" s="9"/>
      <c r="L77" s="83"/>
      <c r="M77" s="90" t="s">
        <v>176</v>
      </c>
      <c r="N77" s="9"/>
      <c r="O77" s="9"/>
      <c r="P77" s="9"/>
      <c r="Q77" s="9"/>
      <c r="R77" s="83"/>
      <c r="S77" s="90" t="s">
        <v>134</v>
      </c>
      <c r="T77" s="9"/>
      <c r="U77" s="9"/>
      <c r="V77" s="9"/>
      <c r="W77" s="9"/>
      <c r="X77" s="9"/>
      <c r="Y77" s="83"/>
      <c r="Z77" s="90" t="s">
        <v>180</v>
      </c>
      <c r="AA77" s="9"/>
      <c r="AC77" s="90"/>
      <c r="AD77" s="9"/>
      <c r="AE77" s="9"/>
      <c r="AF77" s="9"/>
      <c r="AG77" s="9"/>
      <c r="AH77" s="9"/>
      <c r="AI77" s="9"/>
      <c r="AJ77" s="9"/>
      <c r="AK77" s="9"/>
      <c r="AL77" s="9"/>
      <c r="AM77" s="82"/>
    </row>
    <row r="78" spans="1:39" s="77" customFormat="1" ht="20.100000000000001" customHeight="1" thickBot="1" x14ac:dyDescent="0.3">
      <c r="A78" s="101"/>
      <c r="B78" s="102"/>
      <c r="C78" s="102"/>
      <c r="D78" s="102"/>
      <c r="E78" s="102"/>
      <c r="F78" s="102"/>
      <c r="G78" s="102"/>
      <c r="H78" s="102"/>
      <c r="I78" s="102"/>
      <c r="J78" s="79"/>
      <c r="K78" s="93"/>
      <c r="L78" s="94"/>
      <c r="M78" s="79"/>
      <c r="N78" s="79"/>
      <c r="O78" s="79"/>
      <c r="P78" s="93"/>
      <c r="Q78" s="94"/>
      <c r="R78" s="79"/>
      <c r="S78" s="79"/>
      <c r="T78" s="79"/>
      <c r="U78" s="79"/>
      <c r="V78" s="93"/>
      <c r="W78" s="94"/>
      <c r="X78" s="79"/>
      <c r="Y78" s="79"/>
      <c r="Z78" s="79"/>
      <c r="AA78" s="79"/>
      <c r="AB78" s="93"/>
      <c r="AC78" s="94"/>
      <c r="AD78" s="79"/>
      <c r="AE78" s="79"/>
      <c r="AF78" s="79"/>
      <c r="AG78" s="79"/>
      <c r="AH78" s="79"/>
      <c r="AI78" s="79"/>
      <c r="AJ78" s="79"/>
      <c r="AK78" s="79"/>
      <c r="AL78" s="79"/>
      <c r="AM78" s="86"/>
    </row>
    <row r="79" spans="1:39" s="77" customFormat="1" ht="20.100000000000001" customHeight="1" x14ac:dyDescent="0.25">
      <c r="A79" s="282" t="s">
        <v>181</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4"/>
    </row>
    <row r="80" spans="1:39" s="77" customFormat="1" ht="20.100000000000001" customHeight="1" x14ac:dyDescent="0.25">
      <c r="A80" s="80"/>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82"/>
    </row>
    <row r="81" spans="1:39" s="77" customFormat="1" ht="20.100000000000001" customHeight="1" x14ac:dyDescent="0.25">
      <c r="A81" s="80"/>
      <c r="B81" s="95"/>
      <c r="C81" s="99"/>
      <c r="D81" s="90" t="s">
        <v>182</v>
      </c>
      <c r="E81" s="95"/>
      <c r="F81" s="95"/>
      <c r="G81" s="95"/>
      <c r="H81" s="95"/>
      <c r="I81" s="99"/>
      <c r="J81" s="90" t="s">
        <v>183</v>
      </c>
      <c r="K81" s="9"/>
      <c r="M81" s="90"/>
      <c r="N81" s="9"/>
      <c r="O81" s="99"/>
      <c r="P81" s="90" t="s">
        <v>184</v>
      </c>
      <c r="Q81" s="9"/>
      <c r="S81" s="90"/>
      <c r="T81" s="9"/>
      <c r="U81" s="9"/>
      <c r="V81" s="9"/>
      <c r="X81" s="99"/>
      <c r="Y81" s="90" t="s">
        <v>185</v>
      </c>
      <c r="Z81" s="9"/>
      <c r="AA81" s="9"/>
      <c r="AB81" s="9"/>
      <c r="AD81" s="99"/>
      <c r="AE81" s="90" t="s">
        <v>186</v>
      </c>
      <c r="AF81" s="9"/>
      <c r="AG81" s="9"/>
      <c r="AH81" s="9"/>
      <c r="AI81" s="9"/>
      <c r="AJ81" s="9"/>
      <c r="AK81" s="9"/>
      <c r="AL81" s="9"/>
      <c r="AM81" s="82"/>
    </row>
    <row r="82" spans="1:39" s="77" customFormat="1" ht="20.100000000000001" customHeight="1" x14ac:dyDescent="0.25">
      <c r="A82" s="80"/>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82"/>
    </row>
    <row r="83" spans="1:39" s="77" customFormat="1" ht="20.100000000000001" customHeight="1" x14ac:dyDescent="0.25">
      <c r="A83" s="80"/>
      <c r="B83" s="95"/>
      <c r="C83" s="99"/>
      <c r="D83" s="90" t="s">
        <v>187</v>
      </c>
      <c r="E83" s="95"/>
      <c r="F83" s="95"/>
      <c r="G83" s="95"/>
      <c r="H83" s="95"/>
      <c r="I83" s="95"/>
      <c r="J83" s="95"/>
      <c r="K83" s="9"/>
      <c r="L83" s="99"/>
      <c r="M83" s="90" t="s">
        <v>188</v>
      </c>
      <c r="N83" s="9"/>
      <c r="O83" s="9"/>
      <c r="P83" s="9"/>
      <c r="Q83" s="9"/>
      <c r="S83" s="90"/>
      <c r="T83" s="9"/>
      <c r="U83" s="9"/>
      <c r="V83" s="9"/>
      <c r="W83" s="9"/>
      <c r="X83" s="9"/>
      <c r="Z83" s="90"/>
      <c r="AA83" s="9"/>
      <c r="AC83" s="90"/>
      <c r="AD83" s="9"/>
      <c r="AE83" s="9"/>
      <c r="AF83" s="9"/>
      <c r="AG83" s="9"/>
      <c r="AH83" s="9"/>
      <c r="AI83" s="9"/>
      <c r="AJ83" s="9"/>
      <c r="AK83" s="9"/>
      <c r="AL83" s="9"/>
      <c r="AM83" s="82"/>
    </row>
    <row r="84" spans="1:39" s="77" customFormat="1" ht="20.100000000000001" customHeight="1" thickBot="1" x14ac:dyDescent="0.3">
      <c r="A84" s="101"/>
      <c r="B84" s="102"/>
      <c r="C84" s="102"/>
      <c r="D84" s="102"/>
      <c r="E84" s="102"/>
      <c r="F84" s="102"/>
      <c r="G84" s="102"/>
      <c r="H84" s="102"/>
      <c r="I84" s="102"/>
      <c r="J84" s="79"/>
      <c r="K84" s="93"/>
      <c r="L84" s="94"/>
      <c r="M84" s="79"/>
      <c r="N84" s="79"/>
      <c r="O84" s="79"/>
      <c r="P84" s="93"/>
      <c r="Q84" s="94"/>
      <c r="R84" s="79"/>
      <c r="S84" s="79"/>
      <c r="T84" s="79"/>
      <c r="U84" s="79"/>
      <c r="V84" s="93"/>
      <c r="W84" s="94"/>
      <c r="X84" s="79"/>
      <c r="Y84" s="79"/>
      <c r="Z84" s="79"/>
      <c r="AA84" s="79"/>
      <c r="AB84" s="93"/>
      <c r="AC84" s="94"/>
      <c r="AD84" s="79"/>
      <c r="AE84" s="79"/>
      <c r="AF84" s="79"/>
      <c r="AG84" s="79"/>
      <c r="AH84" s="79"/>
      <c r="AI84" s="79"/>
      <c r="AJ84" s="79"/>
      <c r="AK84" s="79"/>
      <c r="AL84" s="79"/>
      <c r="AM84" s="86"/>
    </row>
    <row r="85" spans="1:39" s="77" customFormat="1" ht="20.100000000000001" customHeight="1" x14ac:dyDescent="0.25">
      <c r="A85" s="282" t="s">
        <v>227</v>
      </c>
      <c r="B85" s="283"/>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4"/>
    </row>
    <row r="86" spans="1:39" s="77" customFormat="1" ht="20.100000000000001" customHeight="1" x14ac:dyDescent="0.25">
      <c r="A86" s="80"/>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82"/>
    </row>
    <row r="87" spans="1:39" s="77" customFormat="1" ht="20.100000000000001" customHeight="1" x14ac:dyDescent="0.25">
      <c r="A87" s="80"/>
      <c r="B87" s="285" t="s">
        <v>189</v>
      </c>
      <c r="C87" s="285"/>
      <c r="D87" s="285"/>
      <c r="E87" s="285"/>
      <c r="F87" s="285"/>
      <c r="G87" s="285"/>
      <c r="H87" s="285"/>
      <c r="I87" s="285"/>
      <c r="J87" s="285"/>
      <c r="K87" s="285"/>
      <c r="L87" s="285"/>
      <c r="M87" s="285"/>
      <c r="N87" s="285"/>
      <c r="O87" s="285"/>
      <c r="P87" s="285"/>
      <c r="Q87" s="95"/>
      <c r="R87" s="95"/>
      <c r="S87" s="95"/>
      <c r="T87" s="285" t="s">
        <v>190</v>
      </c>
      <c r="U87" s="285"/>
      <c r="V87" s="285"/>
      <c r="W87" s="285"/>
      <c r="X87" s="285"/>
      <c r="Y87" s="285"/>
      <c r="Z87" s="285"/>
      <c r="AA87" s="285"/>
      <c r="AB87" s="285"/>
      <c r="AC87" s="285"/>
      <c r="AD87" s="285"/>
      <c r="AE87" s="285"/>
      <c r="AF87" s="285"/>
      <c r="AG87" s="285"/>
      <c r="AH87" s="285"/>
      <c r="AI87" s="95"/>
      <c r="AJ87" s="95"/>
      <c r="AK87" s="95"/>
      <c r="AL87" s="95"/>
      <c r="AM87" s="82"/>
    </row>
    <row r="88" spans="1:39" s="77" customFormat="1" ht="20.100000000000001" customHeight="1" x14ac:dyDescent="0.25">
      <c r="A88" s="80"/>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82"/>
    </row>
    <row r="89" spans="1:39" s="77" customFormat="1" ht="20.100000000000001" customHeight="1" x14ac:dyDescent="0.25">
      <c r="A89" s="80"/>
      <c r="B89" s="285" t="s">
        <v>191</v>
      </c>
      <c r="C89" s="285"/>
      <c r="D89" s="285"/>
      <c r="E89" s="285"/>
      <c r="F89" s="285"/>
      <c r="G89" s="285"/>
      <c r="H89" s="285"/>
      <c r="I89" s="285"/>
      <c r="J89" s="285"/>
      <c r="K89" s="9"/>
      <c r="L89" s="286"/>
      <c r="M89" s="286"/>
      <c r="N89" s="286"/>
      <c r="O89" s="286"/>
      <c r="P89" s="286"/>
      <c r="R89" s="90"/>
      <c r="S89" s="9"/>
      <c r="T89" s="285" t="s">
        <v>191</v>
      </c>
      <c r="U89" s="285"/>
      <c r="V89" s="285"/>
      <c r="W89" s="285"/>
      <c r="X89" s="285"/>
      <c r="Y89" s="285"/>
      <c r="Z89" s="285"/>
      <c r="AA89" s="285"/>
      <c r="AB89" s="285"/>
      <c r="AC89" s="9"/>
      <c r="AD89" s="286"/>
      <c r="AE89" s="286"/>
      <c r="AF89" s="286"/>
      <c r="AG89" s="286"/>
      <c r="AH89" s="286"/>
      <c r="AI89" s="9"/>
      <c r="AJ89" s="9"/>
      <c r="AK89" s="9"/>
      <c r="AL89" s="9"/>
      <c r="AM89" s="82"/>
    </row>
    <row r="90" spans="1:39" s="77" customFormat="1" ht="20.100000000000001" customHeight="1" x14ac:dyDescent="0.25">
      <c r="A90" s="80"/>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82"/>
    </row>
    <row r="91" spans="1:39" s="77" customFormat="1" ht="20.100000000000001" customHeight="1" x14ac:dyDescent="0.25">
      <c r="A91" s="80"/>
      <c r="B91" s="285" t="s">
        <v>192</v>
      </c>
      <c r="C91" s="285"/>
      <c r="D91" s="285"/>
      <c r="E91" s="285"/>
      <c r="F91" s="285"/>
      <c r="G91" s="285"/>
      <c r="H91" s="285"/>
      <c r="I91" s="285"/>
      <c r="J91" s="285"/>
      <c r="K91" s="9"/>
      <c r="L91" s="286"/>
      <c r="M91" s="286"/>
      <c r="N91" s="286"/>
      <c r="O91" s="286"/>
      <c r="P91" s="286"/>
      <c r="R91" s="90"/>
      <c r="S91" s="9"/>
      <c r="T91" s="285" t="s">
        <v>228</v>
      </c>
      <c r="U91" s="285"/>
      <c r="V91" s="285"/>
      <c r="W91" s="285"/>
      <c r="X91" s="285"/>
      <c r="Y91" s="285"/>
      <c r="Z91" s="285"/>
      <c r="AA91" s="285"/>
      <c r="AB91" s="285"/>
      <c r="AC91" s="95"/>
      <c r="AD91" s="285"/>
      <c r="AE91" s="285"/>
      <c r="AF91" s="285"/>
      <c r="AG91" s="285"/>
      <c r="AH91" s="285"/>
      <c r="AI91" s="9"/>
      <c r="AJ91" s="9"/>
      <c r="AK91" s="9"/>
      <c r="AL91" s="9"/>
      <c r="AM91" s="82"/>
    </row>
    <row r="92" spans="1:39" s="77" customFormat="1" ht="20.100000000000001" customHeight="1" x14ac:dyDescent="0.25">
      <c r="A92" s="80"/>
      <c r="B92" s="9"/>
      <c r="C92" s="9"/>
      <c r="D92" s="9"/>
      <c r="E92" s="9"/>
      <c r="F92" s="9"/>
      <c r="G92" s="9"/>
      <c r="H92" s="9"/>
      <c r="I92" s="9"/>
      <c r="J92" s="9"/>
      <c r="K92" s="9"/>
      <c r="L92" s="9"/>
      <c r="M92" s="9"/>
      <c r="N92" s="9"/>
      <c r="O92" s="9"/>
      <c r="P92" s="9"/>
      <c r="Q92" s="9"/>
      <c r="R92" s="9"/>
      <c r="S92" s="9"/>
      <c r="T92" s="285"/>
      <c r="U92" s="285"/>
      <c r="V92" s="285"/>
      <c r="W92" s="285"/>
      <c r="X92" s="285"/>
      <c r="Y92" s="285"/>
      <c r="Z92" s="285"/>
      <c r="AA92" s="285"/>
      <c r="AB92" s="285"/>
      <c r="AC92" s="9"/>
      <c r="AD92" s="285"/>
      <c r="AE92" s="285"/>
      <c r="AF92" s="285"/>
      <c r="AG92" s="285"/>
      <c r="AH92" s="285"/>
      <c r="AI92" s="9"/>
      <c r="AJ92" s="9"/>
      <c r="AK92" s="9"/>
      <c r="AL92" s="9"/>
      <c r="AM92" s="82"/>
    </row>
    <row r="93" spans="1:39" s="77" customFormat="1" ht="20.100000000000001" customHeight="1" x14ac:dyDescent="0.25">
      <c r="A93" s="80"/>
      <c r="B93" s="285" t="s">
        <v>193</v>
      </c>
      <c r="C93" s="285"/>
      <c r="D93" s="285"/>
      <c r="E93" s="285"/>
      <c r="F93" s="285"/>
      <c r="G93" s="285"/>
      <c r="H93" s="285"/>
      <c r="I93" s="285"/>
      <c r="J93" s="285"/>
      <c r="K93" s="9"/>
      <c r="L93" s="286"/>
      <c r="M93" s="286"/>
      <c r="N93" s="286"/>
      <c r="O93" s="286"/>
      <c r="P93" s="286"/>
      <c r="R93" s="90"/>
      <c r="S93" s="9"/>
      <c r="T93" s="285"/>
      <c r="U93" s="285"/>
      <c r="V93" s="285"/>
      <c r="W93" s="285"/>
      <c r="X93" s="285"/>
      <c r="Y93" s="285"/>
      <c r="Z93" s="285"/>
      <c r="AA93" s="285"/>
      <c r="AB93" s="285"/>
      <c r="AC93" s="9"/>
      <c r="AD93" s="285"/>
      <c r="AE93" s="285"/>
      <c r="AF93" s="285"/>
      <c r="AG93" s="285"/>
      <c r="AH93" s="285"/>
      <c r="AI93" s="9"/>
      <c r="AJ93" s="9"/>
      <c r="AK93" s="9"/>
      <c r="AL93" s="9"/>
      <c r="AM93" s="82"/>
    </row>
    <row r="94" spans="1:39" s="77" customFormat="1" ht="20.100000000000001" customHeight="1" thickBot="1" x14ac:dyDescent="0.3">
      <c r="A94" s="84"/>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86"/>
    </row>
    <row r="95" spans="1:39" s="77" customFormat="1" ht="20.100000000000001" customHeight="1" x14ac:dyDescent="0.25">
      <c r="A95" s="282" t="s">
        <v>196</v>
      </c>
      <c r="B95" s="283"/>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4"/>
    </row>
    <row r="96" spans="1:39" s="77" customFormat="1" ht="20.100000000000001" customHeight="1" x14ac:dyDescent="0.25">
      <c r="A96" s="80"/>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82"/>
    </row>
    <row r="97" spans="1:39" s="77" customFormat="1" ht="20.100000000000001" customHeight="1" x14ac:dyDescent="0.25">
      <c r="A97" s="80"/>
      <c r="B97" s="285" t="s">
        <v>197</v>
      </c>
      <c r="C97" s="285"/>
      <c r="D97" s="285"/>
      <c r="E97" s="285"/>
      <c r="F97" s="285"/>
      <c r="G97" s="285"/>
      <c r="H97" s="285"/>
      <c r="I97" s="285"/>
      <c r="J97" s="285"/>
      <c r="K97" s="9"/>
      <c r="L97" s="83"/>
      <c r="M97" s="90" t="s">
        <v>68</v>
      </c>
      <c r="Q97" s="83"/>
      <c r="R97" s="90" t="s">
        <v>7</v>
      </c>
      <c r="T97" s="30"/>
      <c r="U97" s="30"/>
      <c r="V97" s="30"/>
      <c r="W97" s="83"/>
      <c r="X97" s="9" t="s">
        <v>194</v>
      </c>
      <c r="Y97" s="30"/>
      <c r="Z97" s="30"/>
      <c r="AA97" s="30"/>
      <c r="AB97" s="9"/>
      <c r="AC97" s="83"/>
      <c r="AD97" s="9" t="s">
        <v>198</v>
      </c>
      <c r="AE97" s="9"/>
      <c r="AF97" s="9"/>
      <c r="AG97" s="9"/>
      <c r="AH97" s="9"/>
      <c r="AI97" s="9"/>
      <c r="AJ97" s="9"/>
      <c r="AK97" s="9"/>
      <c r="AL97" s="9"/>
      <c r="AM97" s="82"/>
    </row>
    <row r="98" spans="1:39" s="77" customFormat="1" ht="20.100000000000001" customHeight="1" x14ac:dyDescent="0.25">
      <c r="A98" s="80"/>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82"/>
    </row>
    <row r="99" spans="1:39" s="77" customFormat="1" ht="20.100000000000001" customHeight="1" x14ac:dyDescent="0.25">
      <c r="A99" s="80"/>
      <c r="B99" s="285" t="s">
        <v>199</v>
      </c>
      <c r="C99" s="285"/>
      <c r="D99" s="285"/>
      <c r="E99" s="285"/>
      <c r="F99" s="285"/>
      <c r="G99" s="285"/>
      <c r="H99" s="285"/>
      <c r="I99" s="285"/>
      <c r="J99" s="285"/>
      <c r="K99" s="9"/>
      <c r="P99" s="9"/>
      <c r="R99" s="90"/>
      <c r="S99" s="9"/>
      <c r="T99" s="9"/>
      <c r="U99" s="9"/>
      <c r="V99" s="9"/>
      <c r="X99" s="90"/>
      <c r="Y99" s="9"/>
      <c r="Z99" s="9"/>
      <c r="AA99" s="9"/>
      <c r="AB99" s="9"/>
      <c r="AC99" s="9"/>
      <c r="AE99" s="9"/>
      <c r="AF99" s="9"/>
      <c r="AG99" s="9"/>
      <c r="AH99" s="9"/>
      <c r="AI99" s="9"/>
      <c r="AJ99" s="9"/>
      <c r="AK99" s="9"/>
      <c r="AL99" s="9"/>
      <c r="AM99" s="82"/>
    </row>
    <row r="100" spans="1:39" s="77" customFormat="1" ht="20.100000000000001" customHeight="1" x14ac:dyDescent="0.25">
      <c r="A100" s="80"/>
      <c r="B100" s="285"/>
      <c r="C100" s="285"/>
      <c r="D100" s="285"/>
      <c r="E100" s="285"/>
      <c r="F100" s="285"/>
      <c r="G100" s="285"/>
      <c r="H100" s="285"/>
      <c r="I100" s="285"/>
      <c r="J100" s="285"/>
      <c r="K100" s="9"/>
      <c r="L100" s="83"/>
      <c r="M100" s="90" t="s">
        <v>9</v>
      </c>
      <c r="Q100" s="83"/>
      <c r="R100" s="90" t="s">
        <v>200</v>
      </c>
      <c r="T100" s="30"/>
      <c r="U100" s="30"/>
      <c r="V100" s="30"/>
      <c r="W100" s="83"/>
      <c r="X100" s="90" t="s">
        <v>11</v>
      </c>
      <c r="Y100" s="30"/>
      <c r="Z100" s="30"/>
      <c r="AA100" s="30"/>
      <c r="AB100" s="9"/>
      <c r="AC100" s="83"/>
      <c r="AD100" s="77" t="s">
        <v>195</v>
      </c>
      <c r="AE100" s="9"/>
      <c r="AF100" s="9"/>
      <c r="AG100" s="9"/>
      <c r="AH100" s="9"/>
      <c r="AI100" s="9"/>
      <c r="AJ100" s="9"/>
      <c r="AK100" s="9"/>
      <c r="AL100" s="9"/>
      <c r="AM100" s="82"/>
    </row>
    <row r="101" spans="1:39" s="77" customFormat="1" ht="20.100000000000001" customHeight="1" x14ac:dyDescent="0.25">
      <c r="A101" s="80"/>
      <c r="B101" s="285"/>
      <c r="C101" s="285"/>
      <c r="D101" s="285"/>
      <c r="E101" s="285"/>
      <c r="F101" s="285"/>
      <c r="G101" s="285"/>
      <c r="H101" s="285"/>
      <c r="I101" s="285"/>
      <c r="J101" s="285"/>
      <c r="K101" s="9"/>
      <c r="P101" s="9"/>
      <c r="R101" s="90"/>
      <c r="S101" s="9"/>
      <c r="T101" s="9"/>
      <c r="U101" s="9"/>
      <c r="V101" s="9"/>
      <c r="X101" s="90"/>
      <c r="Y101" s="9"/>
      <c r="Z101" s="9"/>
      <c r="AA101" s="9"/>
      <c r="AB101" s="9"/>
      <c r="AC101" s="9"/>
      <c r="AE101" s="9"/>
      <c r="AF101" s="9"/>
      <c r="AG101" s="9"/>
      <c r="AH101" s="9"/>
      <c r="AI101" s="9"/>
      <c r="AJ101" s="9"/>
      <c r="AK101" s="9"/>
      <c r="AL101" s="9"/>
      <c r="AM101" s="82"/>
    </row>
    <row r="102" spans="1:39" s="77" customFormat="1" ht="20.100000000000001" customHeight="1" x14ac:dyDescent="0.25">
      <c r="A102" s="80"/>
      <c r="B102" s="285"/>
      <c r="C102" s="285"/>
      <c r="D102" s="285"/>
      <c r="E102" s="285"/>
      <c r="F102" s="285"/>
      <c r="G102" s="285"/>
      <c r="H102" s="285"/>
      <c r="I102" s="285"/>
      <c r="J102" s="285"/>
      <c r="K102" s="9"/>
      <c r="L102" s="83"/>
      <c r="M102" s="90" t="s">
        <v>12</v>
      </c>
      <c r="Q102" s="83"/>
      <c r="R102" s="90" t="s">
        <v>10</v>
      </c>
      <c r="T102" s="30"/>
      <c r="U102" s="30"/>
      <c r="V102" s="30"/>
      <c r="W102" s="83"/>
      <c r="X102" s="90" t="s">
        <v>13</v>
      </c>
      <c r="Y102" s="30"/>
      <c r="Z102" s="30"/>
      <c r="AA102" s="30"/>
      <c r="AB102" s="9"/>
      <c r="AC102" s="83"/>
      <c r="AD102" s="77" t="s">
        <v>201</v>
      </c>
      <c r="AE102" s="9"/>
      <c r="AF102" s="9"/>
      <c r="AG102" s="9"/>
      <c r="AH102" s="9"/>
      <c r="AI102" s="9"/>
      <c r="AJ102" s="9"/>
      <c r="AK102" s="9"/>
      <c r="AL102" s="9"/>
      <c r="AM102" s="82"/>
    </row>
    <row r="103" spans="1:39" s="77" customFormat="1" ht="20.100000000000001" customHeight="1" x14ac:dyDescent="0.25">
      <c r="A103" s="80"/>
      <c r="B103" s="285"/>
      <c r="C103" s="285"/>
      <c r="D103" s="285"/>
      <c r="E103" s="285"/>
      <c r="F103" s="285"/>
      <c r="G103" s="285"/>
      <c r="H103" s="285"/>
      <c r="I103" s="285"/>
      <c r="J103" s="285"/>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82"/>
    </row>
    <row r="104" spans="1:39" s="77" customFormat="1" ht="20.100000000000001" customHeight="1" x14ac:dyDescent="0.25">
      <c r="A104" s="80"/>
      <c r="B104" s="285"/>
      <c r="C104" s="285"/>
      <c r="D104" s="285"/>
      <c r="E104" s="285"/>
      <c r="F104" s="285"/>
      <c r="G104" s="285"/>
      <c r="H104" s="285"/>
      <c r="I104" s="285"/>
      <c r="J104" s="285"/>
      <c r="K104" s="9"/>
      <c r="L104" s="83"/>
      <c r="M104" s="90" t="s">
        <v>202</v>
      </c>
      <c r="R104" s="90"/>
      <c r="T104" s="30"/>
      <c r="U104" s="30"/>
      <c r="V104" s="30"/>
      <c r="W104" s="83"/>
      <c r="X104" s="90" t="s">
        <v>203</v>
      </c>
      <c r="Y104" s="30"/>
      <c r="Z104" s="30"/>
      <c r="AA104" s="30"/>
      <c r="AB104" s="9"/>
      <c r="AC104" s="83"/>
      <c r="AD104" s="90" t="s">
        <v>204</v>
      </c>
      <c r="AE104" s="9"/>
      <c r="AF104" s="9"/>
      <c r="AG104" s="9"/>
      <c r="AH104" s="9"/>
      <c r="AI104" s="9"/>
      <c r="AJ104" s="9"/>
      <c r="AK104" s="9"/>
      <c r="AL104" s="9"/>
      <c r="AM104" s="82"/>
    </row>
    <row r="105" spans="1:39" s="77" customFormat="1" ht="20.100000000000001" customHeight="1" x14ac:dyDescent="0.25">
      <c r="A105" s="80"/>
      <c r="B105" s="285"/>
      <c r="C105" s="285"/>
      <c r="D105" s="285"/>
      <c r="E105" s="285"/>
      <c r="F105" s="285"/>
      <c r="G105" s="285"/>
      <c r="H105" s="285"/>
      <c r="I105" s="285"/>
      <c r="J105" s="285"/>
      <c r="K105" s="9"/>
      <c r="M105" s="90"/>
      <c r="R105" s="90"/>
      <c r="T105" s="30"/>
      <c r="U105" s="30"/>
      <c r="V105" s="30"/>
      <c r="X105" s="90"/>
      <c r="Y105" s="30"/>
      <c r="Z105" s="30"/>
      <c r="AA105" s="30"/>
      <c r="AB105" s="9"/>
      <c r="AD105" s="9"/>
      <c r="AE105" s="9"/>
      <c r="AF105" s="9"/>
      <c r="AG105" s="9"/>
      <c r="AH105" s="9"/>
      <c r="AI105" s="9"/>
      <c r="AJ105" s="9"/>
      <c r="AK105" s="9"/>
      <c r="AL105" s="9"/>
      <c r="AM105" s="82"/>
    </row>
    <row r="106" spans="1:39" s="77" customFormat="1" ht="20.100000000000001" customHeight="1" x14ac:dyDescent="0.25">
      <c r="A106" s="80"/>
      <c r="B106" s="285"/>
      <c r="C106" s="285"/>
      <c r="D106" s="285"/>
      <c r="E106" s="285"/>
      <c r="F106" s="285"/>
      <c r="G106" s="285"/>
      <c r="H106" s="285"/>
      <c r="I106" s="285"/>
      <c r="J106" s="285"/>
      <c r="K106" s="9"/>
      <c r="L106" s="83"/>
      <c r="M106" s="90" t="s">
        <v>205</v>
      </c>
      <c r="P106" s="9"/>
      <c r="R106" s="90"/>
      <c r="S106" s="9"/>
      <c r="T106" s="9"/>
      <c r="U106" s="9"/>
      <c r="V106" s="9"/>
      <c r="X106" s="90"/>
      <c r="Y106" s="9"/>
      <c r="Z106" s="9"/>
      <c r="AA106" s="9"/>
      <c r="AB106" s="9"/>
      <c r="AD106" s="90"/>
      <c r="AE106" s="9"/>
      <c r="AF106" s="9"/>
      <c r="AG106" s="9"/>
      <c r="AH106" s="9"/>
      <c r="AI106" s="9"/>
      <c r="AJ106" s="9"/>
      <c r="AK106" s="9"/>
      <c r="AL106" s="9"/>
      <c r="AM106" s="82"/>
    </row>
    <row r="107" spans="1:39" s="77" customFormat="1" ht="20.100000000000001" customHeight="1" thickBot="1" x14ac:dyDescent="0.3">
      <c r="A107" s="84"/>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86"/>
    </row>
    <row r="108" spans="1:39" s="77" customFormat="1" ht="20.100000000000001" customHeight="1" x14ac:dyDescent="0.25">
      <c r="A108" s="282" t="s">
        <v>229</v>
      </c>
      <c r="B108" s="283"/>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4"/>
    </row>
    <row r="109" spans="1:39" s="77" customFormat="1" ht="20.100000000000001" customHeight="1" x14ac:dyDescent="0.25">
      <c r="A109" s="80"/>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82"/>
    </row>
    <row r="110" spans="1:39" s="77" customFormat="1" ht="20.100000000000001" customHeight="1" x14ac:dyDescent="0.25">
      <c r="A110" s="80"/>
      <c r="B110" s="9"/>
      <c r="C110" s="99"/>
      <c r="D110" s="103" t="s">
        <v>206</v>
      </c>
      <c r="E110" s="88"/>
      <c r="F110" s="88"/>
      <c r="G110" s="88"/>
      <c r="H110" s="99"/>
      <c r="I110" s="90" t="s">
        <v>207</v>
      </c>
      <c r="J110" s="88"/>
      <c r="K110" s="88"/>
      <c r="L110" s="88"/>
      <c r="M110" s="88"/>
      <c r="N110" s="88"/>
      <c r="O110" s="88"/>
      <c r="P110" s="104"/>
      <c r="Q110" s="90" t="s">
        <v>208</v>
      </c>
      <c r="R110" s="88"/>
      <c r="S110" s="90"/>
      <c r="T110" s="90"/>
      <c r="U110" s="90"/>
      <c r="V110" s="90"/>
      <c r="W110" s="9"/>
      <c r="X110" s="9"/>
      <c r="Y110" s="9"/>
      <c r="Z110" s="9"/>
      <c r="AA110" s="9"/>
      <c r="AB110" s="9"/>
      <c r="AC110" s="9"/>
      <c r="AD110" s="9"/>
      <c r="AE110" s="9"/>
      <c r="AF110" s="9"/>
      <c r="AG110" s="9"/>
      <c r="AH110" s="9"/>
      <c r="AI110" s="9"/>
      <c r="AJ110" s="9"/>
      <c r="AK110" s="9"/>
      <c r="AL110" s="9"/>
      <c r="AM110" s="82"/>
    </row>
    <row r="111" spans="1:39" s="77" customFormat="1" ht="20.100000000000001" customHeight="1" x14ac:dyDescent="0.25">
      <c r="A111" s="80"/>
      <c r="B111" s="9"/>
      <c r="C111" s="30"/>
      <c r="D111" s="88"/>
      <c r="E111" s="88"/>
      <c r="F111" s="88"/>
      <c r="G111" s="88"/>
      <c r="H111" s="88"/>
      <c r="I111" s="88"/>
      <c r="J111" s="88"/>
      <c r="K111" s="88"/>
      <c r="L111" s="88"/>
      <c r="M111" s="88"/>
      <c r="N111" s="88"/>
      <c r="O111" s="88"/>
      <c r="P111" s="88"/>
      <c r="Q111" s="88"/>
      <c r="R111" s="88"/>
      <c r="S111" s="90"/>
      <c r="T111" s="90"/>
      <c r="U111" s="90"/>
      <c r="V111" s="90"/>
      <c r="W111" s="9"/>
      <c r="X111" s="9"/>
      <c r="Y111" s="9"/>
      <c r="Z111" s="9"/>
      <c r="AA111" s="9"/>
      <c r="AB111" s="9"/>
      <c r="AC111" s="9"/>
      <c r="AD111" s="9"/>
      <c r="AE111" s="9"/>
      <c r="AF111" s="9"/>
      <c r="AG111" s="9"/>
      <c r="AH111" s="9"/>
      <c r="AI111" s="9"/>
      <c r="AJ111" s="9"/>
      <c r="AK111" s="9"/>
      <c r="AL111" s="9"/>
      <c r="AM111" s="82"/>
    </row>
    <row r="112" spans="1:39" s="77" customFormat="1" ht="20.100000000000001" customHeight="1" x14ac:dyDescent="0.25">
      <c r="A112" s="80"/>
      <c r="B112" s="9"/>
      <c r="C112" s="83"/>
      <c r="D112" s="90" t="s">
        <v>209</v>
      </c>
      <c r="I112" s="90"/>
      <c r="J112" s="90"/>
      <c r="K112" s="90"/>
      <c r="L112" s="90"/>
      <c r="P112" s="83"/>
      <c r="Q112" s="90" t="s">
        <v>2</v>
      </c>
      <c r="R112" s="90"/>
      <c r="T112" s="90"/>
      <c r="U112" s="9"/>
      <c r="V112" s="9"/>
      <c r="W112" s="9"/>
      <c r="X112" s="9"/>
      <c r="Y112" s="9"/>
      <c r="Z112" s="9"/>
      <c r="AA112" s="9"/>
      <c r="AB112" s="9"/>
      <c r="AC112" s="9"/>
      <c r="AD112" s="9"/>
      <c r="AE112" s="9"/>
      <c r="AF112" s="9"/>
      <c r="AG112" s="9"/>
      <c r="AH112" s="9"/>
      <c r="AI112" s="9"/>
      <c r="AJ112" s="9"/>
      <c r="AK112" s="9"/>
      <c r="AL112" s="9"/>
      <c r="AM112" s="82"/>
    </row>
    <row r="113" spans="1:39" s="77" customFormat="1" ht="20.100000000000001" customHeight="1" x14ac:dyDescent="0.25">
      <c r="A113" s="80"/>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82"/>
    </row>
    <row r="114" spans="1:39" s="77" customFormat="1" ht="20.100000000000001" customHeight="1" x14ac:dyDescent="0.25">
      <c r="A114" s="80"/>
      <c r="B114" s="9"/>
      <c r="C114" s="83"/>
      <c r="D114" s="90" t="s">
        <v>210</v>
      </c>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82"/>
    </row>
    <row r="115" spans="1:39" s="77" customFormat="1" ht="20.100000000000001" customHeight="1" thickBot="1" x14ac:dyDescent="0.3">
      <c r="A115" s="84"/>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86"/>
    </row>
    <row r="116" spans="1:39" s="77" customFormat="1" ht="20.100000000000001" customHeight="1" x14ac:dyDescent="0.25">
      <c r="A116" s="282" t="s">
        <v>241</v>
      </c>
      <c r="B116" s="283"/>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4"/>
    </row>
    <row r="117" spans="1:39" s="77" customFormat="1" ht="20.100000000000001" customHeight="1" x14ac:dyDescent="0.25">
      <c r="A117" s="80"/>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82"/>
    </row>
    <row r="118" spans="1:39" s="77" customFormat="1" ht="20.100000000000001" customHeight="1" x14ac:dyDescent="0.25">
      <c r="A118" s="80"/>
      <c r="B118" s="9"/>
      <c r="C118" s="99"/>
      <c r="D118" s="103" t="s">
        <v>206</v>
      </c>
      <c r="E118" s="88"/>
      <c r="F118" s="88"/>
      <c r="G118" s="88"/>
      <c r="H118" s="99"/>
      <c r="I118" s="90" t="s">
        <v>211</v>
      </c>
      <c r="J118" s="88"/>
      <c r="K118" s="88"/>
      <c r="L118" s="88"/>
      <c r="M118" s="88"/>
      <c r="N118" s="88"/>
      <c r="O118" s="88"/>
      <c r="P118" s="104"/>
      <c r="Q118" s="90" t="s">
        <v>212</v>
      </c>
      <c r="R118" s="88"/>
      <c r="S118" s="90"/>
      <c r="T118" s="90"/>
      <c r="U118" s="90"/>
      <c r="V118" s="90"/>
      <c r="W118" s="83"/>
      <c r="X118" s="90" t="s">
        <v>213</v>
      </c>
      <c r="Y118" s="9"/>
      <c r="Z118" s="9"/>
      <c r="AA118" s="9"/>
      <c r="AB118" s="9"/>
      <c r="AC118" s="83"/>
      <c r="AD118" s="90" t="s">
        <v>214</v>
      </c>
      <c r="AE118" s="9"/>
      <c r="AF118" s="9"/>
      <c r="AG118" s="9"/>
      <c r="AH118" s="9"/>
      <c r="AI118" s="9"/>
      <c r="AJ118" s="9"/>
      <c r="AK118" s="9"/>
      <c r="AL118" s="9"/>
      <c r="AM118" s="82"/>
    </row>
    <row r="119" spans="1:39" s="77" customFormat="1" ht="20.100000000000001" customHeight="1" x14ac:dyDescent="0.25">
      <c r="A119" s="80"/>
      <c r="B119" s="9"/>
      <c r="C119" s="30"/>
      <c r="D119" s="88"/>
      <c r="E119" s="88"/>
      <c r="F119" s="88"/>
      <c r="G119" s="88"/>
      <c r="H119" s="88"/>
      <c r="I119" s="88"/>
      <c r="J119" s="88"/>
      <c r="K119" s="88"/>
      <c r="L119" s="88"/>
      <c r="M119" s="88"/>
      <c r="N119" s="88"/>
      <c r="O119" s="88"/>
      <c r="P119" s="88"/>
      <c r="Q119" s="88"/>
      <c r="R119" s="88"/>
      <c r="S119" s="90"/>
      <c r="T119" s="90"/>
      <c r="U119" s="90"/>
      <c r="V119" s="90"/>
      <c r="W119" s="9"/>
      <c r="X119" s="9"/>
      <c r="Y119" s="9"/>
      <c r="Z119" s="9"/>
      <c r="AA119" s="9"/>
      <c r="AB119" s="9"/>
      <c r="AC119" s="9"/>
      <c r="AD119" s="9"/>
      <c r="AE119" s="9"/>
      <c r="AF119" s="9"/>
      <c r="AG119" s="9"/>
      <c r="AH119" s="9"/>
      <c r="AI119" s="9"/>
      <c r="AJ119" s="9"/>
      <c r="AK119" s="9"/>
      <c r="AL119" s="9"/>
      <c r="AM119" s="82"/>
    </row>
    <row r="120" spans="1:39" s="77" customFormat="1" ht="20.100000000000001" customHeight="1" x14ac:dyDescent="0.25">
      <c r="A120" s="80"/>
      <c r="B120" s="9"/>
      <c r="C120" s="83"/>
      <c r="D120" s="90" t="s">
        <v>215</v>
      </c>
      <c r="H120" s="83"/>
      <c r="I120" s="90" t="s">
        <v>210</v>
      </c>
      <c r="J120" s="90"/>
      <c r="K120" s="90"/>
      <c r="L120" s="90"/>
      <c r="P120" s="9"/>
      <c r="Q120" s="9"/>
      <c r="R120" s="9"/>
      <c r="T120" s="90"/>
      <c r="U120" s="9"/>
      <c r="V120" s="9"/>
      <c r="W120" s="9"/>
      <c r="X120" s="9"/>
      <c r="Y120" s="9"/>
      <c r="Z120" s="9"/>
      <c r="AA120" s="9"/>
      <c r="AB120" s="9"/>
      <c r="AC120" s="9"/>
      <c r="AD120" s="9"/>
      <c r="AE120" s="9"/>
      <c r="AF120" s="9"/>
      <c r="AG120" s="9"/>
      <c r="AH120" s="9"/>
      <c r="AI120" s="9"/>
      <c r="AJ120" s="9"/>
      <c r="AK120" s="9"/>
      <c r="AL120" s="9"/>
      <c r="AM120" s="82"/>
    </row>
    <row r="121" spans="1:39" s="77" customFormat="1" ht="20.100000000000001" customHeight="1" thickBot="1" x14ac:dyDescent="0.3">
      <c r="A121" s="84"/>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86"/>
    </row>
    <row r="122" spans="1:39" s="77" customFormat="1" ht="20.100000000000001" customHeight="1" x14ac:dyDescent="0.25">
      <c r="A122" s="282" t="s">
        <v>242</v>
      </c>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4"/>
    </row>
    <row r="123" spans="1:39" s="77" customFormat="1" ht="20.100000000000001" customHeight="1" x14ac:dyDescent="0.25">
      <c r="A123" s="80"/>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82"/>
    </row>
    <row r="124" spans="1:39" s="77" customFormat="1" ht="20.100000000000001" customHeight="1" x14ac:dyDescent="0.25">
      <c r="A124" s="80"/>
      <c r="B124" s="309" t="s">
        <v>216</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9"/>
      <c r="AG124" s="99"/>
      <c r="AH124" s="90" t="s">
        <v>217</v>
      </c>
      <c r="AI124" s="9"/>
      <c r="AJ124" s="99"/>
      <c r="AK124" s="90" t="s">
        <v>218</v>
      </c>
      <c r="AL124" s="9"/>
      <c r="AM124" s="82"/>
    </row>
    <row r="125" spans="1:39" s="77" customFormat="1" ht="20.100000000000001" customHeight="1" x14ac:dyDescent="0.25">
      <c r="A125" s="8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9"/>
      <c r="AD125" s="9"/>
      <c r="AE125" s="9"/>
      <c r="AF125" s="9"/>
      <c r="AG125" s="30"/>
      <c r="AH125" s="30"/>
      <c r="AI125" s="9"/>
      <c r="AJ125" s="30"/>
      <c r="AK125" s="30"/>
      <c r="AL125" s="9"/>
      <c r="AM125" s="82"/>
    </row>
    <row r="126" spans="1:39" s="9" customFormat="1" ht="20.100000000000001" customHeight="1" x14ac:dyDescent="0.25">
      <c r="A126" s="80"/>
      <c r="B126" s="310" t="s">
        <v>219</v>
      </c>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G126" s="99"/>
      <c r="AH126" s="90" t="s">
        <v>217</v>
      </c>
      <c r="AJ126" s="99"/>
      <c r="AK126" s="90" t="s">
        <v>218</v>
      </c>
      <c r="AM126" s="82"/>
    </row>
    <row r="127" spans="1:39" s="9" customFormat="1" ht="20.100000000000001" customHeight="1" x14ac:dyDescent="0.25">
      <c r="A127" s="80"/>
      <c r="B127" s="310"/>
      <c r="C127" s="310"/>
      <c r="D127" s="310"/>
      <c r="E127" s="310"/>
      <c r="F127" s="90"/>
      <c r="G127" s="30"/>
      <c r="H127" s="30"/>
      <c r="I127" s="30"/>
      <c r="J127" s="30"/>
      <c r="K127" s="30"/>
      <c r="L127" s="30"/>
      <c r="M127" s="30"/>
      <c r="N127" s="30"/>
      <c r="O127" s="30"/>
      <c r="P127" s="30"/>
      <c r="Q127" s="30"/>
      <c r="R127" s="30"/>
      <c r="S127" s="30"/>
      <c r="T127" s="30"/>
      <c r="U127" s="30"/>
      <c r="V127" s="30"/>
      <c r="W127" s="30"/>
      <c r="X127" s="30"/>
      <c r="Y127" s="30"/>
      <c r="Z127" s="30"/>
      <c r="AA127" s="30"/>
      <c r="AB127" s="30"/>
      <c r="AG127" s="30"/>
      <c r="AH127" s="30"/>
      <c r="AJ127" s="30"/>
      <c r="AK127" s="30"/>
      <c r="AM127" s="82"/>
    </row>
    <row r="128" spans="1:39" s="9" customFormat="1" ht="20.100000000000001" customHeight="1" x14ac:dyDescent="0.25">
      <c r="A128" s="80"/>
      <c r="B128" s="310" t="s">
        <v>220</v>
      </c>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G128" s="99"/>
      <c r="AH128" s="90" t="s">
        <v>217</v>
      </c>
      <c r="AJ128" s="99"/>
      <c r="AK128" s="90" t="s">
        <v>218</v>
      </c>
      <c r="AM128" s="82"/>
    </row>
    <row r="129" spans="1:39" s="9" customFormat="1" ht="20.100000000000001" customHeight="1" x14ac:dyDescent="0.25">
      <c r="A129" s="80"/>
      <c r="B129" s="310"/>
      <c r="C129" s="310"/>
      <c r="D129" s="310"/>
      <c r="E129" s="310"/>
      <c r="F129" s="90"/>
      <c r="G129" s="30"/>
      <c r="H129" s="30"/>
      <c r="I129" s="30"/>
      <c r="J129" s="30"/>
      <c r="K129" s="30"/>
      <c r="L129" s="30"/>
      <c r="M129" s="30"/>
      <c r="N129" s="30"/>
      <c r="O129" s="30"/>
      <c r="P129" s="30"/>
      <c r="Q129" s="30"/>
      <c r="R129" s="30"/>
      <c r="S129" s="30"/>
      <c r="T129" s="30"/>
      <c r="U129" s="30"/>
      <c r="V129" s="30"/>
      <c r="W129" s="30"/>
      <c r="X129" s="30"/>
      <c r="Y129" s="30"/>
      <c r="Z129" s="30"/>
      <c r="AA129" s="30"/>
      <c r="AB129" s="30"/>
      <c r="AG129" s="30"/>
      <c r="AH129" s="30"/>
      <c r="AJ129" s="30"/>
      <c r="AK129" s="30"/>
      <c r="AM129" s="82"/>
    </row>
    <row r="130" spans="1:39" s="9" customFormat="1" ht="20.100000000000001" customHeight="1" x14ac:dyDescent="0.25">
      <c r="A130" s="80"/>
      <c r="B130" s="310" t="s">
        <v>221</v>
      </c>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G130" s="99"/>
      <c r="AH130" s="90" t="s">
        <v>217</v>
      </c>
      <c r="AJ130" s="99"/>
      <c r="AK130" s="90" t="s">
        <v>218</v>
      </c>
      <c r="AM130" s="82"/>
    </row>
    <row r="131" spans="1:39" s="9" customFormat="1" ht="20.100000000000001" customHeight="1" x14ac:dyDescent="0.25">
      <c r="A131" s="80"/>
      <c r="B131" s="310"/>
      <c r="C131" s="310"/>
      <c r="D131" s="310"/>
      <c r="E131" s="310"/>
      <c r="F131" s="90"/>
      <c r="G131" s="30"/>
      <c r="H131" s="30"/>
      <c r="I131" s="30"/>
      <c r="J131" s="30"/>
      <c r="K131" s="30"/>
      <c r="L131" s="30"/>
      <c r="M131" s="30"/>
      <c r="N131" s="30"/>
      <c r="O131" s="30"/>
      <c r="P131" s="30"/>
      <c r="Q131" s="30"/>
      <c r="R131" s="30"/>
      <c r="S131" s="30"/>
      <c r="T131" s="30"/>
      <c r="U131" s="30"/>
      <c r="V131" s="30"/>
      <c r="W131" s="30"/>
      <c r="X131" s="30"/>
      <c r="Y131" s="30"/>
      <c r="Z131" s="30"/>
      <c r="AA131" s="30"/>
      <c r="AB131" s="30"/>
      <c r="AG131" s="30"/>
      <c r="AH131" s="30"/>
      <c r="AJ131" s="30"/>
      <c r="AK131" s="30"/>
      <c r="AM131" s="82"/>
    </row>
    <row r="132" spans="1:39" s="9" customFormat="1" ht="20.100000000000001" customHeight="1" x14ac:dyDescent="0.25">
      <c r="A132" s="80"/>
      <c r="B132" s="309" t="s">
        <v>222</v>
      </c>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G132" s="99"/>
      <c r="AH132" s="90" t="s">
        <v>217</v>
      </c>
      <c r="AJ132" s="99"/>
      <c r="AK132" s="90" t="s">
        <v>218</v>
      </c>
      <c r="AM132" s="82"/>
    </row>
    <row r="133" spans="1:39" s="9" customFormat="1" ht="20.100000000000001" customHeight="1" x14ac:dyDescent="0.25">
      <c r="A133" s="80"/>
      <c r="AM133" s="82"/>
    </row>
    <row r="134" spans="1:39" s="9" customFormat="1" ht="20.100000000000001" customHeight="1" x14ac:dyDescent="0.25">
      <c r="A134" s="80"/>
      <c r="B134" s="309" t="s">
        <v>223</v>
      </c>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M134" s="82"/>
    </row>
    <row r="135" spans="1:39" s="9" customFormat="1" ht="20.100000000000001" customHeight="1" x14ac:dyDescent="0.25">
      <c r="A135" s="80"/>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c r="AJ135" s="308"/>
      <c r="AK135" s="308"/>
      <c r="AM135" s="82"/>
    </row>
    <row r="136" spans="1:39" s="9" customFormat="1" ht="20.100000000000001" customHeight="1" x14ac:dyDescent="0.25">
      <c r="A136" s="80"/>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c r="AJ136" s="308"/>
      <c r="AK136" s="308"/>
      <c r="AM136" s="82"/>
    </row>
    <row r="137" spans="1:39" s="77" customFormat="1" ht="20.100000000000001" customHeight="1" x14ac:dyDescent="0.25">
      <c r="A137" s="80"/>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9"/>
      <c r="AM137" s="82"/>
    </row>
    <row r="138" spans="1:39" s="77" customFormat="1" ht="20.100000000000001" customHeight="1" thickBot="1" x14ac:dyDescent="0.3">
      <c r="A138" s="84"/>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86"/>
    </row>
    <row r="139" spans="1:39" s="77" customFormat="1" ht="20.100000000000001" customHeight="1" thickBot="1" x14ac:dyDescent="0.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row>
    <row r="140" spans="1:39" s="77" customFormat="1" ht="20.100000000000001" customHeight="1" thickBot="1" x14ac:dyDescent="0.3">
      <c r="A140" s="311" t="s">
        <v>224</v>
      </c>
      <c r="B140" s="312"/>
      <c r="C140" s="312"/>
      <c r="D140" s="312"/>
      <c r="E140" s="312"/>
      <c r="F140" s="312"/>
      <c r="G140" s="312"/>
      <c r="H140" s="312"/>
      <c r="I140" s="312"/>
      <c r="J140" s="312"/>
      <c r="K140" s="313"/>
      <c r="L140" s="314"/>
      <c r="M140" s="315"/>
      <c r="N140" s="315"/>
      <c r="O140" s="315"/>
      <c r="P140" s="315"/>
      <c r="Q140" s="315"/>
      <c r="R140" s="315"/>
      <c r="S140" s="315"/>
      <c r="T140" s="315"/>
      <c r="U140" s="315"/>
      <c r="V140" s="315"/>
      <c r="W140" s="315"/>
      <c r="X140" s="315"/>
      <c r="Y140" s="315"/>
      <c r="Z140" s="315"/>
      <c r="AA140" s="315"/>
      <c r="AB140" s="315"/>
      <c r="AC140" s="315"/>
      <c r="AD140" s="315"/>
      <c r="AE140" s="315"/>
      <c r="AF140" s="315"/>
      <c r="AG140" s="315"/>
      <c r="AH140" s="315"/>
      <c r="AI140" s="315"/>
      <c r="AJ140" s="315"/>
      <c r="AK140" s="315"/>
      <c r="AL140" s="315"/>
      <c r="AM140" s="316"/>
    </row>
    <row r="141" spans="1:39" s="77" customFormat="1" ht="20.100000000000001" customHeight="1" thickBot="1" x14ac:dyDescent="0.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row>
    <row r="142" spans="1:39" s="77" customFormat="1" ht="20.100000000000001" customHeight="1" thickBot="1" x14ac:dyDescent="0.3">
      <c r="A142" s="317" t="s">
        <v>243</v>
      </c>
      <c r="B142" s="318"/>
      <c r="C142" s="318"/>
      <c r="D142" s="318"/>
      <c r="E142" s="318"/>
      <c r="F142" s="318"/>
      <c r="G142" s="318"/>
      <c r="H142" s="318"/>
      <c r="I142" s="318"/>
      <c r="J142" s="318"/>
      <c r="K142" s="318"/>
      <c r="L142" s="318"/>
      <c r="M142" s="318"/>
      <c r="N142" s="318"/>
      <c r="O142" s="318"/>
      <c r="P142" s="318"/>
      <c r="Q142" s="319"/>
      <c r="R142" s="320" t="s">
        <v>244</v>
      </c>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2"/>
    </row>
    <row r="144" spans="1:39" ht="20.100000000000001" customHeight="1" x14ac:dyDescent="0.25">
      <c r="A144" s="308" t="s">
        <v>253</v>
      </c>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c r="AJ144" s="308"/>
      <c r="AK144" s="308"/>
      <c r="AL144" s="308"/>
      <c r="AM144" s="308"/>
    </row>
  </sheetData>
  <mergeCells count="89">
    <mergeCell ref="A144:AM144"/>
    <mergeCell ref="A122:AM122"/>
    <mergeCell ref="B124:AE124"/>
    <mergeCell ref="B126:AB126"/>
    <mergeCell ref="B127:E127"/>
    <mergeCell ref="B128:AB128"/>
    <mergeCell ref="A140:K140"/>
    <mergeCell ref="L140:AM140"/>
    <mergeCell ref="A142:Q142"/>
    <mergeCell ref="R142:AM142"/>
    <mergeCell ref="B129:E129"/>
    <mergeCell ref="B130:AB130"/>
    <mergeCell ref="B131:E131"/>
    <mergeCell ref="B132:AE132"/>
    <mergeCell ref="B134:AE134"/>
    <mergeCell ref="B135:AK137"/>
    <mergeCell ref="A1:AM1"/>
    <mergeCell ref="A2:AM2"/>
    <mergeCell ref="A4:AM4"/>
    <mergeCell ref="A6:AM6"/>
    <mergeCell ref="A19:AM19"/>
    <mergeCell ref="B9:K9"/>
    <mergeCell ref="L9:AL9"/>
    <mergeCell ref="B10:K10"/>
    <mergeCell ref="L10:AL10"/>
    <mergeCell ref="B8:K8"/>
    <mergeCell ref="L8:AL8"/>
    <mergeCell ref="B13:K13"/>
    <mergeCell ref="L13:AL13"/>
    <mergeCell ref="B14:K14"/>
    <mergeCell ref="L14:AL14"/>
    <mergeCell ref="B11:K11"/>
    <mergeCell ref="L11:AL11"/>
    <mergeCell ref="B12:K12"/>
    <mergeCell ref="L12:AL12"/>
    <mergeCell ref="B21:K21"/>
    <mergeCell ref="L21:AL21"/>
    <mergeCell ref="B15:K15"/>
    <mergeCell ref="L15:AL15"/>
    <mergeCell ref="B16:K16"/>
    <mergeCell ref="L16:AL16"/>
    <mergeCell ref="B27:N27"/>
    <mergeCell ref="V27:AL27"/>
    <mergeCell ref="B22:K22"/>
    <mergeCell ref="B23:K23"/>
    <mergeCell ref="L22:AL22"/>
    <mergeCell ref="L23:AL23"/>
    <mergeCell ref="A25:AM25"/>
    <mergeCell ref="B35:H35"/>
    <mergeCell ref="A37:AM37"/>
    <mergeCell ref="A43:AM43"/>
    <mergeCell ref="A49:AM49"/>
    <mergeCell ref="B61:J61"/>
    <mergeCell ref="X51:AA51"/>
    <mergeCell ref="AC51:AI51"/>
    <mergeCell ref="AJ51:AL51"/>
    <mergeCell ref="B63:J63"/>
    <mergeCell ref="B51:J51"/>
    <mergeCell ref="B53:J53"/>
    <mergeCell ref="K51:O51"/>
    <mergeCell ref="Q51:W51"/>
    <mergeCell ref="B55:J55"/>
    <mergeCell ref="B57:J57"/>
    <mergeCell ref="B59:J59"/>
    <mergeCell ref="B77:J77"/>
    <mergeCell ref="B69:J69"/>
    <mergeCell ref="A65:AM65"/>
    <mergeCell ref="B67:J67"/>
    <mergeCell ref="A73:AM73"/>
    <mergeCell ref="B75:J75"/>
    <mergeCell ref="B91:J91"/>
    <mergeCell ref="L91:P91"/>
    <mergeCell ref="A79:AM79"/>
    <mergeCell ref="A85:AM85"/>
    <mergeCell ref="B87:P87"/>
    <mergeCell ref="T87:AH87"/>
    <mergeCell ref="B89:J89"/>
    <mergeCell ref="L89:P89"/>
    <mergeCell ref="T89:AB89"/>
    <mergeCell ref="AD89:AH89"/>
    <mergeCell ref="T91:AB93"/>
    <mergeCell ref="B93:J93"/>
    <mergeCell ref="L93:P93"/>
    <mergeCell ref="AD91:AH93"/>
    <mergeCell ref="A95:AM95"/>
    <mergeCell ref="B97:J97"/>
    <mergeCell ref="B99:J106"/>
    <mergeCell ref="A108:AM108"/>
    <mergeCell ref="A116:AM116"/>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disablePrompts="1" count="2">
    <dataValidation type="date" allowBlank="1" showInputMessage="1" showErrorMessage="1" errorTitle="ATENÇÃO" error="Este campo aceita somente datas no formato DD/MM/AAAA._x000a_Não são aceitas datas futuras e datas anteriores a 180 dias." sqref="J38 J44" xr:uid="{FC63ADD1-BC37-496C-8333-8740A5422D90}">
      <formula1>TODAY()-180</formula1>
      <formula2>TODAY()+7</formula2>
    </dataValidation>
    <dataValidation type="whole" operator="greaterThanOrEqual" allowBlank="1" showInputMessage="1" showErrorMessage="1" errorTitle="ATENÇÃO" error="Campo aceita somente números." sqref="AC97 AC100 AC102 AC105" xr:uid="{AD5293D9-A107-4469-81FF-5F87D33C0615}">
      <formula1>0</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TERRENO E BENFEITORIAS</vt:lpstr>
      <vt:lpstr>VANTAGEM DA COISA FEITA</vt:lpstr>
      <vt:lpstr>DEPRECIAÇÃO</vt:lpstr>
      <vt:lpstr>LAUDO DE VISTORIA</vt:lpstr>
      <vt:lpstr>'LAUDO DE VISTORIA'!Area_de_impressao</vt:lpstr>
      <vt:lpstr>'TERRENO E BENFEITORIAS'!Area_de_impressao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2024-06-30T21:48:58Z</cp:lastPrinted>
  <dcterms:created xsi:type="dcterms:W3CDTF">2024-06-02T16:00:59Z</dcterms:created>
  <dcterms:modified xsi:type="dcterms:W3CDTF">2024-10-28T13:48:21Z</dcterms:modified>
</cp:coreProperties>
</file>