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
    </mc:Choice>
  </mc:AlternateContent>
  <xr:revisionPtr revIDLastSave="377" documentId="8_{F564095A-09E3-4C90-ABEE-469C1B914B2F}" xr6:coauthVersionLast="47" xr6:coauthVersionMax="47" xr10:uidLastSave="{B2E474FF-041D-4C0A-8D84-360C2FFB1C95}"/>
  <bookViews>
    <workbookView minimized="1" xWindow="135" yWindow="135" windowWidth="28770" windowHeight="15450" tabRatio="901" xr2:uid="{C3A22E73-4D52-4DA0-A647-BA53DE8F5818}"/>
  </bookViews>
  <sheets>
    <sheet name="TERRENO E BENFEITORIAS" sheetId="4" r:id="rId1"/>
    <sheet name="VANTAGEM DA COISA FEITA" sheetId="26" r:id="rId2"/>
    <sheet name="DEPRECIAÇÃO" sheetId="27" r:id="rId3"/>
    <sheet name="LAUDO DE VISTORIA" sheetId="24" r:id="rId4"/>
  </sheets>
  <definedNames>
    <definedName name="_xlnm._FilterDatabase" localSheetId="0" hidden="1">'TERRENO E BENFEITORIAS'!$C$17:$S$20</definedName>
    <definedName name="_xlnm.Print_Area" localSheetId="3">'LAUDO DE VISTORIA'!$A$1:$AM$144</definedName>
    <definedName name="_xlnm.Print_Area" localSheetId="0">'TERRENO E BENFEITORIAS'!$A$1:$S$375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46" i="4" l="1"/>
  <c r="Y207" i="4"/>
  <c r="Y171" i="4"/>
  <c r="P141" i="4" l="1"/>
  <c r="O141" i="4"/>
  <c r="N141" i="4"/>
  <c r="M141" i="4"/>
  <c r="L141" i="4"/>
  <c r="K141" i="4"/>
  <c r="J141" i="4"/>
  <c r="P149" i="4"/>
  <c r="O149" i="4"/>
  <c r="N149" i="4"/>
  <c r="M149" i="4"/>
  <c r="L149" i="4"/>
  <c r="K149" i="4"/>
  <c r="J149" i="4"/>
  <c r="P148" i="4"/>
  <c r="O148" i="4"/>
  <c r="N148" i="4"/>
  <c r="M148" i="4"/>
  <c r="L148" i="4"/>
  <c r="K148" i="4"/>
  <c r="J148" i="4"/>
  <c r="P147" i="4"/>
  <c r="O147" i="4"/>
  <c r="N147" i="4"/>
  <c r="M147" i="4"/>
  <c r="L147" i="4"/>
  <c r="K147" i="4"/>
  <c r="J147" i="4"/>
  <c r="N128" i="4"/>
  <c r="N129" i="4"/>
  <c r="N130" i="4"/>
  <c r="N131" i="4"/>
  <c r="N132" i="4"/>
  <c r="N133" i="4"/>
  <c r="N127" i="4"/>
  <c r="H234" i="4" l="1"/>
  <c r="H235" i="4"/>
  <c r="H233" i="4"/>
  <c r="H198" i="4"/>
  <c r="H199" i="4"/>
  <c r="H197" i="4"/>
  <c r="N356" i="4"/>
  <c r="L353" i="4"/>
  <c r="N346" i="4" s="1"/>
  <c r="R351" i="4"/>
  <c r="R350" i="4"/>
  <c r="R349" i="4"/>
  <c r="R348" i="4"/>
  <c r="R347" i="4"/>
  <c r="R346" i="4"/>
  <c r="R345" i="4"/>
  <c r="R344" i="4"/>
  <c r="R343" i="4"/>
  <c r="R342" i="4"/>
  <c r="R341" i="4"/>
  <c r="R340" i="4"/>
  <c r="R339" i="4"/>
  <c r="R338" i="4"/>
  <c r="R337" i="4"/>
  <c r="N351" i="4" l="1"/>
  <c r="N350" i="4"/>
  <c r="N349" i="4"/>
  <c r="N348" i="4"/>
  <c r="N347" i="4"/>
  <c r="N337" i="4"/>
  <c r="N345" i="4"/>
  <c r="N344" i="4"/>
  <c r="N340" i="4"/>
  <c r="N343" i="4"/>
  <c r="N342" i="4"/>
  <c r="N341" i="4"/>
  <c r="N339" i="4"/>
  <c r="N338" i="4"/>
  <c r="R353" i="4"/>
  <c r="N355" i="4" l="1"/>
  <c r="N357" i="4" s="1"/>
  <c r="M393" i="4" s="1"/>
  <c r="X401" i="4" l="1"/>
  <c r="L402" i="4" l="1"/>
  <c r="X402" i="4" s="1"/>
  <c r="X403" i="4" s="1" a="1"/>
  <c r="X403" i="4" s="1"/>
  <c r="M408" i="4" s="1"/>
  <c r="G386" i="4"/>
  <c r="G385" i="4"/>
  <c r="AA376" i="4"/>
  <c r="F364" i="4"/>
  <c r="A261" i="27"/>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AN81" i="26"/>
  <c r="AQ80" i="26"/>
  <c r="AP80" i="26"/>
  <c r="AN78" i="26"/>
  <c r="AQ77" i="26"/>
  <c r="AN76" i="26"/>
  <c r="AN74" i="26"/>
  <c r="AQ73" i="26"/>
  <c r="AP73" i="26"/>
  <c r="AN73" i="26"/>
  <c r="AN71" i="26"/>
  <c r="AQ70" i="26"/>
  <c r="AP70" i="26"/>
  <c r="AN70" i="26"/>
  <c r="AN69" i="26"/>
  <c r="AN68" i="26"/>
  <c r="AQ66" i="26"/>
  <c r="AP66" i="26"/>
  <c r="AQ65" i="26"/>
  <c r="AN64" i="26"/>
  <c r="AQ63" i="26"/>
  <c r="AP63" i="26"/>
  <c r="AO63" i="26"/>
  <c r="AN63" i="26"/>
  <c r="AN62" i="26"/>
  <c r="AN61" i="26"/>
  <c r="AQ60" i="26"/>
  <c r="AP60" i="26"/>
  <c r="AQ59" i="26"/>
  <c r="AP59" i="26"/>
  <c r="AN59" i="26"/>
  <c r="AN58" i="26"/>
  <c r="AN57" i="26"/>
  <c r="AQ56" i="26"/>
  <c r="AP56" i="26"/>
  <c r="AN56" i="26"/>
  <c r="AN54" i="26"/>
  <c r="AQ53" i="26"/>
  <c r="AP53" i="26"/>
  <c r="AN51" i="26"/>
  <c r="AN50" i="26"/>
  <c r="AP49" i="26"/>
  <c r="AN47" i="26"/>
  <c r="AP46" i="26"/>
  <c r="AN44" i="26"/>
  <c r="AM44" i="26"/>
  <c r="AM45" i="26" s="1"/>
  <c r="AM46" i="26" s="1"/>
  <c r="AM47" i="26" s="1"/>
  <c r="AM48" i="26" s="1"/>
  <c r="AM49" i="26" s="1"/>
  <c r="AM50" i="26" s="1"/>
  <c r="AM51" i="26" s="1"/>
  <c r="AM52" i="26" s="1"/>
  <c r="AM53" i="26" s="1"/>
  <c r="AM54" i="26" s="1"/>
  <c r="AM55" i="26" s="1"/>
  <c r="AM56" i="26" s="1"/>
  <c r="AM57" i="26" s="1"/>
  <c r="AM58" i="26" s="1"/>
  <c r="AM59" i="26" s="1"/>
  <c r="AM60" i="26" s="1"/>
  <c r="AM61" i="26" s="1"/>
  <c r="AM62" i="26" s="1"/>
  <c r="AM63" i="26" s="1"/>
  <c r="AM64" i="26" s="1"/>
  <c r="AM65" i="26" s="1"/>
  <c r="AM66" i="26" s="1"/>
  <c r="AM67" i="26" s="1"/>
  <c r="AM68" i="26" s="1"/>
  <c r="AM69" i="26" s="1"/>
  <c r="AM70" i="26" s="1"/>
  <c r="AM71" i="26" s="1"/>
  <c r="AM72" i="26" s="1"/>
  <c r="AM73" i="26" s="1"/>
  <c r="AM74" i="26" s="1"/>
  <c r="AM75" i="26" s="1"/>
  <c r="AM76" i="26" s="1"/>
  <c r="AM77" i="26" s="1"/>
  <c r="AM78" i="26" s="1"/>
  <c r="AM79" i="26" s="1"/>
  <c r="AM80" i="26" s="1"/>
  <c r="AM81" i="26" s="1"/>
  <c r="AQ42" i="26"/>
  <c r="BB41" i="26"/>
  <c r="AQ41" i="26" s="1"/>
  <c r="AZ41" i="26"/>
  <c r="AP41" i="26" s="1"/>
  <c r="AX41" i="26"/>
  <c r="AV41" i="26"/>
  <c r="AO41" i="26"/>
  <c r="AN41" i="26"/>
  <c r="AN52" i="26" s="1"/>
  <c r="AM41" i="26"/>
  <c r="AM42" i="26" s="1"/>
  <c r="AM43" i="26" s="1"/>
  <c r="BB40" i="26"/>
  <c r="AQ40" i="26" s="1"/>
  <c r="AZ40" i="26"/>
  <c r="AX40" i="26"/>
  <c r="AO40" i="26" s="1"/>
  <c r="AV40" i="26"/>
  <c r="AN40" i="26" s="1"/>
  <c r="AP40" i="26"/>
  <c r="AM40" i="26"/>
  <c r="BB39" i="26"/>
  <c r="AQ39" i="26" s="1"/>
  <c r="AZ39" i="26"/>
  <c r="AP39" i="26" s="1"/>
  <c r="AX39" i="26"/>
  <c r="AO39" i="26" s="1"/>
  <c r="AV39" i="26"/>
  <c r="AN39" i="26" s="1"/>
  <c r="AM39" i="26"/>
  <c r="BB38" i="26"/>
  <c r="AZ38" i="26"/>
  <c r="AX38" i="26"/>
  <c r="AV38" i="26"/>
  <c r="AN38" i="26" s="1"/>
  <c r="AQ38" i="26"/>
  <c r="AP38" i="26"/>
  <c r="AO38" i="26"/>
  <c r="AM38" i="26"/>
  <c r="BB37" i="26"/>
  <c r="AQ37" i="26" s="1"/>
  <c r="AZ37" i="26"/>
  <c r="AP37" i="26" s="1"/>
  <c r="AX37" i="26"/>
  <c r="AV37" i="26"/>
  <c r="AO37" i="26"/>
  <c r="AN37" i="26"/>
  <c r="AM37" i="26"/>
  <c r="BB36" i="26"/>
  <c r="AQ36" i="26" s="1"/>
  <c r="AZ36" i="26"/>
  <c r="AP36" i="26" s="1"/>
  <c r="AX36" i="26"/>
  <c r="AO36" i="26" s="1"/>
  <c r="AV36" i="26"/>
  <c r="AN36" i="26" s="1"/>
  <c r="AM36" i="26"/>
  <c r="BB35" i="26"/>
  <c r="AZ35" i="26"/>
  <c r="AX35" i="26"/>
  <c r="AV35" i="26"/>
  <c r="AN35" i="26" s="1"/>
  <c r="AQ35" i="26"/>
  <c r="AP35" i="26"/>
  <c r="AO35" i="26"/>
  <c r="AM35" i="26"/>
  <c r="BB34" i="26"/>
  <c r="AZ34" i="26"/>
  <c r="AX34" i="26"/>
  <c r="AV34" i="26"/>
  <c r="AQ34" i="26"/>
  <c r="AP34" i="26"/>
  <c r="AO34" i="26"/>
  <c r="AN34" i="26"/>
  <c r="AM34" i="26"/>
  <c r="BB33" i="26"/>
  <c r="AQ33" i="26" s="1"/>
  <c r="AZ33" i="26"/>
  <c r="AP33" i="26" s="1"/>
  <c r="AX33" i="26"/>
  <c r="AO33" i="26" s="1"/>
  <c r="AV33" i="26"/>
  <c r="AN33" i="26"/>
  <c r="AM33" i="26"/>
  <c r="BB32" i="26"/>
  <c r="AQ32" i="26" s="1"/>
  <c r="AZ32" i="26"/>
  <c r="AP32" i="26" s="1"/>
  <c r="AX32" i="26"/>
  <c r="AO32" i="26" s="1"/>
  <c r="AW32" i="26"/>
  <c r="AY32" i="26" s="1"/>
  <c r="BA32" i="26" s="1"/>
  <c r="AV32" i="26"/>
  <c r="AN32" i="26"/>
  <c r="AM32" i="26"/>
  <c r="BB31" i="26"/>
  <c r="AZ31" i="26"/>
  <c r="AX31" i="26"/>
  <c r="AO31" i="26" s="1"/>
  <c r="AV31" i="26"/>
  <c r="AN31" i="26" s="1"/>
  <c r="AQ31" i="26"/>
  <c r="AP31" i="26"/>
  <c r="AM31" i="26"/>
  <c r="BB30" i="26"/>
  <c r="AQ30" i="26" s="1"/>
  <c r="AZ30" i="26"/>
  <c r="AP30" i="26" s="1"/>
  <c r="AX30" i="26"/>
  <c r="AO30" i="26" s="1"/>
  <c r="AV30" i="26"/>
  <c r="AN30" i="26" s="1"/>
  <c r="AM30" i="26"/>
  <c r="BB29" i="26"/>
  <c r="AZ29" i="26"/>
  <c r="AX29" i="26"/>
  <c r="AV29" i="26"/>
  <c r="AN29" i="26" s="1"/>
  <c r="AQ29" i="26"/>
  <c r="AP29" i="26"/>
  <c r="AO29" i="26"/>
  <c r="AM29" i="26"/>
  <c r="BB28" i="26"/>
  <c r="AQ28" i="26" s="1"/>
  <c r="AZ28" i="26"/>
  <c r="AP28" i="26" s="1"/>
  <c r="AX28" i="26"/>
  <c r="AV28" i="26"/>
  <c r="AO28" i="26"/>
  <c r="AN28" i="26"/>
  <c r="AM28" i="26"/>
  <c r="BB27" i="26"/>
  <c r="AQ27" i="26" s="1"/>
  <c r="AZ27" i="26"/>
  <c r="AP27" i="26" s="1"/>
  <c r="AX27" i="26"/>
  <c r="AO27" i="26" s="1"/>
  <c r="AV27" i="26"/>
  <c r="AN27" i="26" s="1"/>
  <c r="AM27" i="26"/>
  <c r="BB26" i="26"/>
  <c r="AZ26" i="26"/>
  <c r="AP26" i="26" s="1"/>
  <c r="AX26" i="26"/>
  <c r="AO26" i="26" s="1"/>
  <c r="AV26" i="26"/>
  <c r="AQ26" i="26"/>
  <c r="AN26" i="26"/>
  <c r="AM26" i="26"/>
  <c r="BB25" i="26"/>
  <c r="AZ25" i="26"/>
  <c r="AX25" i="26"/>
  <c r="AV25" i="26"/>
  <c r="AQ25" i="26"/>
  <c r="AP25" i="26"/>
  <c r="AO25" i="26"/>
  <c r="AN25" i="26"/>
  <c r="AM25" i="26"/>
  <c r="BB24" i="26"/>
  <c r="AQ24" i="26" s="1"/>
  <c r="AZ24" i="26"/>
  <c r="AP24" i="26" s="1"/>
  <c r="AX24" i="26"/>
  <c r="AV24" i="26"/>
  <c r="AO24" i="26"/>
  <c r="AN24" i="26"/>
  <c r="AM24" i="26"/>
  <c r="BB23" i="26"/>
  <c r="AQ23" i="26" s="1"/>
  <c r="AZ23" i="26"/>
  <c r="AP23" i="26" s="1"/>
  <c r="AX23" i="26"/>
  <c r="AO23" i="26" s="1"/>
  <c r="AV23" i="26"/>
  <c r="AN23" i="26" s="1"/>
  <c r="AM23" i="26"/>
  <c r="BB22" i="26"/>
  <c r="AZ22" i="26"/>
  <c r="AX22" i="26"/>
  <c r="AV22" i="26"/>
  <c r="AQ22" i="26"/>
  <c r="AP22" i="26"/>
  <c r="AO22" i="26"/>
  <c r="AN22" i="26"/>
  <c r="AM22" i="26"/>
  <c r="BB21" i="26"/>
  <c r="AZ21" i="26"/>
  <c r="AX21" i="26"/>
  <c r="AV21" i="26"/>
  <c r="AQ21" i="26"/>
  <c r="AP21" i="26"/>
  <c r="AO21" i="26"/>
  <c r="AN21" i="26"/>
  <c r="AM21" i="26"/>
  <c r="BB20" i="26"/>
  <c r="AQ20" i="26" s="1"/>
  <c r="AZ20" i="26"/>
  <c r="AP20" i="26" s="1"/>
  <c r="AX20" i="26"/>
  <c r="AO20" i="26" s="1"/>
  <c r="AV20" i="26"/>
  <c r="AN20" i="26"/>
  <c r="AM20" i="26"/>
  <c r="BB19" i="26"/>
  <c r="AZ19" i="26"/>
  <c r="AX19" i="26"/>
  <c r="AO19" i="26" s="1"/>
  <c r="AV19" i="26"/>
  <c r="AN19" i="26" s="1"/>
  <c r="AQ19" i="26"/>
  <c r="AP19" i="26"/>
  <c r="AM19" i="26"/>
  <c r="BB18" i="26"/>
  <c r="AQ18" i="26" s="1"/>
  <c r="AZ18" i="26"/>
  <c r="AP18" i="26" s="1"/>
  <c r="AX18" i="26"/>
  <c r="AO18" i="26" s="1"/>
  <c r="AV18" i="26"/>
  <c r="AN18" i="26" s="1"/>
  <c r="AM18" i="26"/>
  <c r="BB17" i="26"/>
  <c r="AZ17" i="26"/>
  <c r="AX17" i="26"/>
  <c r="AV17" i="26"/>
  <c r="AN17" i="26" s="1"/>
  <c r="AQ17" i="26"/>
  <c r="AP17" i="26"/>
  <c r="AO17" i="26"/>
  <c r="AM17" i="26"/>
  <c r="BB16" i="26"/>
  <c r="AQ16" i="26" s="1"/>
  <c r="AZ16" i="26"/>
  <c r="AP16" i="26" s="1"/>
  <c r="AX16" i="26"/>
  <c r="AV16" i="26"/>
  <c r="AO16" i="26"/>
  <c r="AN16" i="26"/>
  <c r="AM16" i="26"/>
  <c r="BB15" i="26"/>
  <c r="AQ15" i="26" s="1"/>
  <c r="AZ15" i="26"/>
  <c r="AP15" i="26" s="1"/>
  <c r="AX15" i="26"/>
  <c r="AO15" i="26" s="1"/>
  <c r="AV15" i="26"/>
  <c r="AN15" i="26" s="1"/>
  <c r="AM15" i="26"/>
  <c r="BB14" i="26"/>
  <c r="AZ14" i="26"/>
  <c r="AP14" i="26" s="1"/>
  <c r="AX14" i="26"/>
  <c r="AO14" i="26" s="1"/>
  <c r="AV14" i="26"/>
  <c r="AQ14" i="26"/>
  <c r="AN14" i="26"/>
  <c r="AM14" i="26"/>
  <c r="BB13" i="26"/>
  <c r="AZ13" i="26"/>
  <c r="AX13" i="26"/>
  <c r="AV13" i="26"/>
  <c r="AQ13" i="26"/>
  <c r="AP13" i="26"/>
  <c r="AO13" i="26"/>
  <c r="AN13" i="26"/>
  <c r="AM13" i="26"/>
  <c r="BB12" i="26"/>
  <c r="AQ12" i="26" s="1"/>
  <c r="AZ12" i="26"/>
  <c r="AP12" i="26" s="1"/>
  <c r="AX12" i="26"/>
  <c r="AV12" i="26"/>
  <c r="AO12" i="26"/>
  <c r="AN12" i="26"/>
  <c r="AM12" i="26"/>
  <c r="N135" i="4"/>
  <c r="C123" i="27" l="1"/>
  <c r="C194" i="27" s="1"/>
  <c r="C261" i="27" s="1"/>
  <c r="A194" i="27"/>
  <c r="J388" i="4"/>
  <c r="J389" i="4" s="1"/>
  <c r="J390" i="4" s="1"/>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AO70" i="26"/>
  <c r="AO72" i="26"/>
  <c r="AO60" i="26"/>
  <c r="AO48" i="26"/>
  <c r="AO79" i="26"/>
  <c r="AO67" i="26"/>
  <c r="AO55" i="26"/>
  <c r="AO43" i="26"/>
  <c r="AO74" i="26"/>
  <c r="AO62" i="26"/>
  <c r="AO50" i="26"/>
  <c r="AO81" i="26"/>
  <c r="AO77" i="26"/>
  <c r="AO73" i="26"/>
  <c r="AO69" i="26"/>
  <c r="AO59" i="26"/>
  <c r="AO56" i="26"/>
  <c r="AO53" i="26"/>
  <c r="AO76" i="26"/>
  <c r="AO52" i="26"/>
  <c r="AO49" i="26"/>
  <c r="AO46" i="26"/>
  <c r="AO80" i="26"/>
  <c r="AO65" i="26"/>
  <c r="AO45" i="26"/>
  <c r="AO42" i="26"/>
  <c r="AO68" i="26"/>
  <c r="AO64" i="26"/>
  <c r="AO61" i="26"/>
  <c r="AO58" i="26"/>
  <c r="AO75" i="26"/>
  <c r="AO71" i="26"/>
  <c r="AO57" i="26"/>
  <c r="AO54" i="26"/>
  <c r="AO51" i="26"/>
  <c r="AO78" i="26"/>
  <c r="AO47" i="26"/>
  <c r="AO44" i="26"/>
  <c r="AO66" i="26"/>
  <c r="AP77" i="26"/>
  <c r="AP65" i="26"/>
  <c r="AP79" i="26"/>
  <c r="AP67" i="26"/>
  <c r="AP55" i="26"/>
  <c r="AP43" i="26"/>
  <c r="AP74" i="26"/>
  <c r="AP62" i="26"/>
  <c r="AP50" i="26"/>
  <c r="AP81" i="26"/>
  <c r="AP69" i="26"/>
  <c r="AP57" i="26"/>
  <c r="AP45" i="26"/>
  <c r="AP76" i="26"/>
  <c r="AP44" i="26"/>
  <c r="AP47" i="26"/>
  <c r="AQ72" i="26"/>
  <c r="AQ74" i="26"/>
  <c r="AQ62" i="26"/>
  <c r="AQ50" i="26"/>
  <c r="AQ81" i="26"/>
  <c r="AQ69" i="26"/>
  <c r="AQ57" i="26"/>
  <c r="AQ45" i="26"/>
  <c r="AQ76" i="26"/>
  <c r="AQ64" i="26"/>
  <c r="AQ52" i="26"/>
  <c r="AQ44" i="26"/>
  <c r="AQ47" i="26"/>
  <c r="AQ67" i="26"/>
  <c r="AP78" i="26"/>
  <c r="AP48" i="26"/>
  <c r="AP51" i="26"/>
  <c r="AP54" i="26"/>
  <c r="AQ78" i="26"/>
  <c r="AN42" i="26"/>
  <c r="AN45" i="26"/>
  <c r="AQ48" i="26"/>
  <c r="AQ51" i="26"/>
  <c r="AQ54" i="26"/>
  <c r="AP71" i="26"/>
  <c r="AP75" i="26"/>
  <c r="AQ79" i="26"/>
  <c r="AP58" i="26"/>
  <c r="AP61" i="26"/>
  <c r="AP64" i="26"/>
  <c r="AP68" i="26"/>
  <c r="AQ71" i="26"/>
  <c r="AQ75" i="26"/>
  <c r="AN80" i="26"/>
  <c r="AP42" i="26"/>
  <c r="AN46" i="26"/>
  <c r="AN49" i="26"/>
  <c r="AQ55" i="26"/>
  <c r="AQ58" i="26"/>
  <c r="AQ61" i="26"/>
  <c r="AQ68" i="26"/>
  <c r="AP72" i="26"/>
  <c r="AP52" i="26"/>
  <c r="AN75" i="26"/>
  <c r="AN77" i="26"/>
  <c r="AN65" i="26"/>
  <c r="AN53" i="26"/>
  <c r="AN72" i="26"/>
  <c r="AN60" i="26"/>
  <c r="AN48" i="26"/>
  <c r="AN79" i="26"/>
  <c r="AN67" i="26"/>
  <c r="AN55" i="26"/>
  <c r="AN43" i="26"/>
  <c r="AQ43" i="26"/>
  <c r="AQ46" i="26"/>
  <c r="AQ49" i="26"/>
  <c r="AN66" i="26"/>
  <c r="M394" i="4" l="1"/>
  <c r="M396" i="4" s="1"/>
  <c r="M405" i="4" s="1"/>
  <c r="Y410" i="4" s="1"/>
  <c r="A125" i="27"/>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O18" i="4" l="1"/>
  <c r="K135" i="4" l="1"/>
  <c r="K44" i="4"/>
  <c r="Q148" i="4"/>
  <c r="Q149" i="4"/>
  <c r="Q147" i="4"/>
  <c r="Q128" i="4" l="1"/>
  <c r="Q129" i="4"/>
  <c r="Q130" i="4"/>
  <c r="Q131" i="4"/>
  <c r="Q132" i="4"/>
  <c r="Q133" i="4"/>
  <c r="Q127" i="4"/>
  <c r="Q141" i="4" l="1"/>
  <c r="Q137" i="4"/>
  <c r="I153" i="4" l="1"/>
  <c r="I154" i="4"/>
  <c r="I152" i="4"/>
  <c r="F288" i="4"/>
  <c r="Z271" i="4" l="1"/>
  <c r="Z272" i="4"/>
  <c r="Z270" i="4"/>
  <c r="R234" i="4"/>
  <c r="R233" i="4" a="1"/>
  <c r="R233" i="4" s="1"/>
  <c r="Y236" i="4" l="1"/>
  <c r="Y237" i="4" s="1"/>
  <c r="R235" i="4" s="1"/>
  <c r="R197" i="4" l="1"/>
  <c r="I18" i="4"/>
  <c r="H164" i="4"/>
  <c r="H165" i="4"/>
  <c r="H166" i="4"/>
  <c r="F153" i="4"/>
  <c r="F154" i="4"/>
  <c r="F152" i="4"/>
  <c r="C146" i="4"/>
  <c r="C151" i="4" s="1"/>
  <c r="K41" i="4"/>
  <c r="M44" i="4" s="1"/>
  <c r="K45" i="4"/>
  <c r="K46" i="4"/>
  <c r="C43" i="4"/>
  <c r="O44" i="4" l="1"/>
  <c r="M46" i="4"/>
  <c r="O46" i="4" s="1"/>
  <c r="M45" i="4"/>
  <c r="O45" i="4" s="1"/>
  <c r="L152" i="4" l="1"/>
  <c r="L153" i="4"/>
  <c r="L154" i="4"/>
  <c r="O19" i="4" l="1"/>
  <c r="O20" i="4"/>
  <c r="I19" i="4"/>
  <c r="I20" i="4"/>
  <c r="Q20" i="4" l="1"/>
  <c r="C46" i="4" s="1"/>
  <c r="Q46" i="4" s="1"/>
  <c r="C149" i="4" s="1"/>
  <c r="C154" i="4" s="1"/>
  <c r="O154" i="4" s="1"/>
  <c r="Q19" i="4"/>
  <c r="C45" i="4" s="1"/>
  <c r="Q45" i="4" s="1"/>
  <c r="C148" i="4" s="1"/>
  <c r="C153" i="4" s="1"/>
  <c r="O153" i="4" s="1"/>
  <c r="Q18" i="4"/>
  <c r="C234" i="4" l="1"/>
  <c r="C198" i="4"/>
  <c r="C235" i="4"/>
  <c r="C199" i="4"/>
  <c r="C165" i="4"/>
  <c r="C166" i="4"/>
  <c r="C44" i="4"/>
  <c r="Q44" i="4" s="1"/>
  <c r="C147" i="4" s="1"/>
  <c r="C152" i="4" s="1"/>
  <c r="O152" i="4" s="1"/>
  <c r="Q23" i="4"/>
  <c r="Q22" i="4"/>
  <c r="C233" i="4" l="1"/>
  <c r="C197" i="4"/>
  <c r="Q199" i="4" s="1"/>
  <c r="C164" i="4"/>
  <c r="Q48" i="4"/>
  <c r="Q49" i="4"/>
  <c r="Q156" i="4"/>
  <c r="Q157" i="4"/>
  <c r="Q24" i="4"/>
  <c r="Q169" i="4" l="1"/>
  <c r="Q165" i="4"/>
  <c r="Q168" i="4"/>
  <c r="Q174" i="4"/>
  <c r="L270" i="4" s="1"/>
  <c r="AB270" i="4" s="1"/>
  <c r="Q205" i="4"/>
  <c r="Q204" i="4"/>
  <c r="Q200" i="4"/>
  <c r="L271" i="4" s="1"/>
  <c r="AB271" i="4" s="1"/>
  <c r="Q243" i="4"/>
  <c r="Q242" i="4"/>
  <c r="Q237" i="4"/>
  <c r="Q238" i="4"/>
  <c r="Q50" i="4"/>
  <c r="Q158" i="4"/>
  <c r="Z181" i="4" l="1"/>
  <c r="Z179" i="4"/>
  <c r="Z216" i="4"/>
  <c r="Z215" i="4"/>
  <c r="Z214" i="4"/>
  <c r="Z180" i="4"/>
  <c r="Q210" i="4"/>
  <c r="H271" i="4"/>
  <c r="AA271" i="4" s="1"/>
  <c r="H270" i="4"/>
  <c r="AA270" i="4" s="1"/>
  <c r="Q211" i="4"/>
  <c r="P271" i="4" s="1"/>
  <c r="Y271" i="4" s="1"/>
  <c r="Q202" i="4"/>
  <c r="Q203" i="4"/>
  <c r="Q167" i="4"/>
  <c r="Q166" i="4"/>
  <c r="Q175" i="4"/>
  <c r="P270" i="4" s="1"/>
  <c r="Y179" i="4" l="1"/>
  <c r="Y180" i="4"/>
  <c r="Y181" i="4"/>
  <c r="X181" i="4"/>
  <c r="X180" i="4"/>
  <c r="X179" i="4"/>
  <c r="X214" i="4"/>
  <c r="X215" i="4"/>
  <c r="X216" i="4"/>
  <c r="Y215" i="4"/>
  <c r="Y216" i="4"/>
  <c r="Y214" i="4"/>
  <c r="AE199" i="4"/>
  <c r="AE200" i="4"/>
  <c r="AE201" i="4"/>
  <c r="AE202" i="4"/>
  <c r="AE197" i="4"/>
  <c r="AE198" i="4"/>
  <c r="AE203" i="4"/>
  <c r="Q207" i="4" a="1"/>
  <c r="Q207" i="4" s="1"/>
  <c r="Q171" i="4" a="1"/>
  <c r="Q171" i="4" s="1"/>
  <c r="Y270" i="4"/>
  <c r="Q172" i="4" l="1"/>
  <c r="O171" i="4"/>
  <c r="Q208" i="4"/>
  <c r="O207" i="4"/>
  <c r="Z254" i="4" l="1"/>
  <c r="Z253" i="4"/>
  <c r="Z255" i="4"/>
  <c r="H272" i="4"/>
  <c r="AA272" i="4" s="1"/>
  <c r="Q241" i="4"/>
  <c r="Q240" i="4"/>
  <c r="Q249" i="4"/>
  <c r="P272" i="4" s="1"/>
  <c r="Q248" i="4"/>
  <c r="L272" i="4" s="1"/>
  <c r="AB272" i="4" s="1"/>
  <c r="Y255" i="4" l="1"/>
  <c r="Y253" i="4"/>
  <c r="Y254" i="4"/>
  <c r="X254" i="4"/>
  <c r="X255" i="4"/>
  <c r="X253" i="4"/>
  <c r="Y272" i="4"/>
  <c r="H274" i="4"/>
  <c r="H277" i="4" s="1"/>
  <c r="F285" i="4" s="1"/>
  <c r="Q245" i="4" a="1"/>
  <c r="Q245" i="4" s="1"/>
  <c r="H276" i="4" l="1"/>
  <c r="F284" i="4" s="1"/>
  <c r="H275" i="4"/>
  <c r="O245" i="4"/>
  <c r="Q246" i="4"/>
  <c r="N313" i="4" l="1"/>
  <c r="N314" i="4" s="1"/>
  <c r="M404" i="4" s="1"/>
  <c r="F294" i="4"/>
  <c r="F293" i="4"/>
  <c r="P294" i="4"/>
  <c r="Y409" i="4" l="1"/>
  <c r="M407" i="4"/>
  <c r="M410" i="4" s="1"/>
  <c r="P293" i="4"/>
  <c r="P295" i="4" l="1"/>
  <c r="A297" i="4" s="1" a="1"/>
  <c r="A297" i="4" s="1"/>
  <c r="M433" i="4"/>
  <c r="M430" i="4" s="1"/>
  <c r="M431" i="4" s="1"/>
  <c r="T429" i="4" s="1"/>
  <c r="X410" i="4"/>
  <c r="X409"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<sst xmlns="http://schemas.openxmlformats.org/spreadsheetml/2006/main" count="727" uniqueCount="531">
  <si>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</si>
  <si>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</si>
  <si>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</si>
  <si>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</si>
  <si>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</si>
  <si>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</si>
  <si>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</si>
  <si>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</si>
  <si>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</si>
  <si>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</si>
  <si>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</si>
  <si>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</si>
  <si>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</si>
  <si>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</si>
  <si>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</si>
  <si>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</si>
  <si>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</si>
  <si>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</si>
  <si>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</si>
  <si>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</si>
  <si>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</si>
  <si>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</si>
  <si>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</si>
  <si>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</si>
  <si>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</si>
  <si>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</si>
  <si>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</si>
  <si>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</si>
  <si>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</si>
  <si>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</si>
  <si>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</si>
  <si>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</si>
  <si>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</si>
  <si>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</si>
  <si>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</si>
  <si>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</si>
  <si>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</si>
  <si>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</si>
  <si>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</si>
  <si>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</si>
  <si>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</si>
  <si>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</si>
  <si>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</si>
  <si>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</si>
  <si>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</si>
  <si>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</si>
  <si>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</si>
  <si>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</si>
  <si>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</si>
  <si>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</si>
  <si>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</si>
  <si>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</si>
  <si>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</si>
  <si>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</si>
  <si>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</si>
  <si>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</si>
  <si>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</si>
  <si>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</si>
  <si>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</si>
  <si>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</si>
  <si>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</si>
  <si>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</si>
  <si>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</si>
  <si>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</si>
  <si>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</si>
  <si>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</si>
  <si>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</si>
  <si>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</si>
  <si>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</si>
  <si>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</si>
  <si>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</si>
  <si>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</si>
  <si>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</si>
  <si>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</si>
  <si>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</si>
  <si>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</si>
  <si>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</si>
  <si>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</si>
  <si>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</si>
  <si>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</si>
  <si>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</si>
  <si>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</si>
  <si>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</si>
  <si>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</si>
  <si>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</si>
  <si>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</si>
  <si>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</si>
  <si>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</si>
  <si>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</si>
  <si>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</si>
  <si>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</si>
  <si>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</si>
  <si>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</si>
  <si>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</si>
  <si>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</si>
  <si>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</si>
  <si>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</si>
  <si>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</si>
  <si>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</si>
  <si>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</si>
  <si>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</si>
  <si>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</si>
  <si>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</si>
  <si>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</si>
  <si>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</si>
  <si>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</si>
  <si>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</si>
  <si>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</si>
  <si>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</si>
  <si>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</si>
  <si>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</si>
  <si>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</si>
  <si>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</si>
  <si>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</si>
  <si>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</si>
  <si>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</si>
  <si>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</si>
  <si>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</si>
  <si>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</si>
  <si>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</si>
  <si>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</si>
  <si>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</si>
  <si>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</si>
  <si>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</si>
  <si>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</si>
  <si>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</si>
  <si>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</si>
  <si>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</si>
  <si>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</si>
  <si>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</si>
  <si>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</si>
  <si>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</si>
  <si>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</si>
  <si>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</si>
  <si>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</si>
  <si>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</si>
  <si>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</si>
  <si>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</si>
  <si>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</si>
  <si>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</si>
  <si>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</si>
  <si>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</si>
  <si>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</si>
  <si>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</si>
  <si>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</si>
  <si>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</si>
  <si>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</si>
  <si>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</si>
  <si>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</si>
  <si>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</si>
  <si>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</si>
  <si>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</si>
  <si>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</si>
  <si>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</si>
  <si>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</si>
  <si>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</si>
  <si>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</si>
  <si>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</si>
  <si>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</si>
  <si>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</si>
  <si>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</si>
  <si>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</si>
  <si>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</si>
  <si>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</si>
  <si>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</si>
  <si>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</si>
  <si>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</si>
  <si>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</si>
  <si>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</si>
  <si>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</si>
  <si>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</si>
  <si>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</si>
  <si>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</si>
  <si>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</si>
  <si>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</si>
  <si>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</si>
  <si>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</si>
  <si>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</si>
  <si>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</si>
  <si>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</si>
  <si>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</si>
  <si>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</si>
  <si>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</si>
  <si>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</si>
  <si>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</si>
  <si>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</si>
  <si>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</si>
  <si>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</si>
  <si>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</si>
  <si>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</si>
  <si>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</si>
  <si>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</si>
  <si>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</si>
  <si>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</si>
  <si>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</si>
  <si>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</si>
  <si>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</si>
  <si>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</si>
  <si>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</si>
  <si>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</si>
  <si>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</si>
  <si>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</si>
  <si>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</si>
  <si>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</si>
  <si>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</si>
  <si>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</si>
  <si>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</si>
  <si>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</si>
  <si>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</si>
  <si>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</si>
  <si>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</si>
  <si>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</si>
  <si>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</si>
  <si>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</si>
  <si>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</si>
  <si>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</si>
  <si>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</si>
  <si>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</si>
  <si>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</si>
  <si>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</si>
  <si>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</si>
  <si>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</si>
  <si>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</si>
  <si>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</si>
  <si>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</si>
  <si>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TRIBUNAL DE JUSTIÇA DO ESTADO DO MARANHÃO</t>
  </si>
  <si>
    <t>VARA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</si>
  <si>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</si>
  <si>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</si>
  <si>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</si>
  <si>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</si>
  <si>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</si>
  <si>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</si>
  <si>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</si>
  <si>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</si>
  <si>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</si>
  <si>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</si>
  <si>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</si>
  <si>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</si>
  <si>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</si>
  <si>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</si>
  <si>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</si>
  <si>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</si>
  <si>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</si>
  <si>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</si>
  <si>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</si>
  <si>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</si>
  <si>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</si>
  <si>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</si>
  <si>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</si>
  <si>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</si>
  <si>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</si>
  <si>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</si>
  <si>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</si>
  <si>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</si>
  <si>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</si>
  <si>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</si>
  <si>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</si>
  <si>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</si>
  <si>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</si>
  <si>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VEGNI-NERI, Guilherme Bomfim dei. Avaliação de imóveis urbanos e rurais: método prático e moderno. 4. ed. revista, melhorada e atualizada. São Paulo: Ed. Nacional, 1979.</t>
  </si>
  <si>
    <t>AVALIAÇÃO DE TERRENO PELO MÉTODO COMPARATIVO DIRETO DE DADOS DE MERCADO</t>
  </si>
  <si>
    <t>INFORMAR O NÚMERO DE DADOS QUE FORAM EFETIVAMENTE UTILIZADOS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</si>
  <si>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</si>
  <si>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</si>
  <si>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</si>
  <si>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</si>
  <si>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</si>
  <si>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</si>
  <si>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</si>
  <si>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</si>
  <si>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</si>
  <si>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</si>
  <si>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</si>
  <si>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</si>
  <si>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</si>
  <si>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</si>
  <si>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Posição na coluna</t>
  </si>
  <si>
    <t>Pequena estrutura e residencial de luxo</t>
  </si>
  <si>
    <t>Posição na linha</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</si>
  <si>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</si>
  <si>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</si>
  <si>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</si>
  <si>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</si>
  <si>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</si>
  <si>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</si>
  <si>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</si>
  <si>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</si>
  <si>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</si>
  <si>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</si>
  <si>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</si>
  <si>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</si>
  <si>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</si>
  <si>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</si>
  <si>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</si>
  <si>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</si>
  <si>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</si>
  <si>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</si>
  <si>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</si>
  <si>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</si>
  <si>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</si>
  <si>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</si>
  <si>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</si>
  <si>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</si>
  <si>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</si>
  <si>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</si>
  <si>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</si>
  <si>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</si>
  <si>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</si>
  <si>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</si>
  <si>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</si>
  <si>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</si>
  <si>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</si>
  <si>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</si>
  <si>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</si>
  <si>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</si>
  <si>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</si>
  <si>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</si>
  <si>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</si>
  <si>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</si>
  <si>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</si>
  <si>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</si>
  <si>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</si>
  <si>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</si>
  <si>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</si>
  <si>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</si>
  <si>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</si>
  <si>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</si>
  <si>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</si>
  <si>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</si>
  <si>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</si>
  <si>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</si>
  <si>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</si>
  <si>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</si>
  <si>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</si>
  <si>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</si>
  <si>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</si>
  <si>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</si>
  <si>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</si>
  <si>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</si>
  <si>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</si>
  <si>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</si>
  <si>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</si>
  <si>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</si>
  <si>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</si>
  <si>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</si>
  <si>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</si>
  <si>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</si>
  <si>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color theme="1"/>
        <rFont val="Arial Nova"/>
        <family val="2"/>
      </rPr>
      <t xml:space="preserve">: A, B, C, D, E, F, G, H, e I.
2. </t>
    </r>
    <r>
      <rPr>
        <b/>
        <sz val="10"/>
        <rFont val="Arial Nova"/>
        <family val="2"/>
      </rPr>
      <t>por números</t>
    </r>
    <r>
      <rPr>
        <sz val="10"/>
        <color theme="1"/>
        <rFont val="Arial Nova"/>
        <family val="2"/>
      </rPr>
      <t xml:space="preserve">: 1; 1,5; 2; 2,5; 3; 3,5; 4; 4,5, e 5.
3. </t>
    </r>
    <r>
      <rPr>
        <b/>
        <sz val="10"/>
        <rFont val="Arial Nova"/>
        <family val="2"/>
      </rPr>
      <t>pela situação das edificações</t>
    </r>
    <r>
      <rPr>
        <sz val="10"/>
        <color theme="1"/>
        <rFont val="Arial Nova"/>
        <family val="2"/>
      </rPr>
      <t xml:space="preserve">: ótimo, muito bom, bom, intermédio, regular, deficiente, mau, muito mau, e demolição.
</t>
    </r>
    <r>
      <rPr>
        <b/>
        <sz val="10"/>
        <rFont val="Arial Nova"/>
        <family val="2"/>
      </rPr>
      <t>4. pelos códigos</t>
    </r>
    <r>
      <rPr>
        <sz val="10"/>
        <color theme="1"/>
        <rFont val="Arial Nova"/>
        <family val="2"/>
      </rPr>
      <t>: O, MB, B, I, R, D, M, MM, e DM.</t>
    </r>
  </si>
  <si>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</si>
  <si>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</si>
  <si>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</si>
  <si>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</si>
  <si>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</si>
  <si>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</si>
  <si>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</si>
  <si>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</si>
  <si>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</si>
  <si>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</si>
  <si>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</si>
  <si>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</si>
  <si>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</si>
  <si>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</si>
  <si>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</si>
  <si>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</si>
  <si>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</si>
  <si>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</si>
  <si>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</si>
  <si>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</si>
  <si>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</si>
  <si>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</si>
  <si>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color theme="1"/>
        <rFont val="Arial Nova"/>
        <family val="2"/>
      </rPr>
      <t>)</t>
    </r>
  </si>
  <si>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</si>
  <si>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</si>
  <si>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</si>
  <si>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</si>
  <si>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color theme="1"/>
        <rFont val="Arial Nova"/>
        <family val="2"/>
      </rPr>
      <t xml:space="preserve"> )</t>
    </r>
  </si>
  <si>
    <t>E, por fim, os coeficiente foram convertidos para fatores multiplicadores, providência essa que simplifica e torna mais prático o cálculo da depreciação. Essa conversão foi feita com o auxílio da seguinte equação:</t>
  </si>
  <si>
    <r>
      <t>ASSOCIAÇÃO BRASILEIRA DE NORMAS TÉCNICAS. </t>
    </r>
    <r>
      <rPr>
        <sz val="10"/>
        <color rgb="FF000000"/>
        <rFont val="Arial Nova"/>
        <family val="2"/>
      </rPr>
      <t>NBR 14653-1:2019. Avaliação bens. Parte 1: Procedimentos gerais.</t>
    </r>
  </si>
  <si>
    <r>
      <t>______. NBR 14653-2:2011. </t>
    </r>
    <r>
      <rPr>
        <sz val="10"/>
        <color rgb="FF000000"/>
        <rFont val="Arial Nova"/>
        <family val="2"/>
      </rPr>
      <t>Avaliação bens. Parte 2: Imóveis urbanos.</t>
    </r>
  </si>
  <si>
    <r>
      <t>BERRINI, Luiz Carlos. </t>
    </r>
    <r>
      <rPr>
        <sz val="10"/>
        <color rgb="FF000000"/>
        <rFont val="Arial Nova"/>
        <family val="2"/>
      </rPr>
      <t>Avaliações de imóveis. 4. ed. revista e atualizada por Luiz Carlos Berrini Júnior. Rio de Janeiro: Livraria Freitas Bastos S.A., 1960.</t>
    </r>
  </si>
  <si>
    <r>
      <t>CANTEIRO, João Ruy. </t>
    </r>
    <r>
      <rPr>
        <sz val="10"/>
        <color rgb="FF000000"/>
        <rFont val="Arial Nova"/>
        <family val="2"/>
      </rPr>
      <t>Construções: seus custos de reprodução na capital de São Paulo de 1939 a 1979; Terrenos: subsídios à técnica de avaliação. 3. ed. São Paulo: Pini, 1980.</t>
    </r>
  </si>
  <si>
    <r>
      <t>DANTAS, Rubens Alves. </t>
    </r>
    <r>
      <rPr>
        <sz val="10"/>
        <color rgb="FF000000"/>
        <rFont val="Arial Nova"/>
        <family val="2"/>
      </rPr>
      <t>Engenharia de avaliações: uma introdução à metodologia científica. São Paulo: Pini, 1998.</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</si>
  <si>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2005. 4. ed. São Paulo: Pini, 2016.</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</si>
  <si>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2011. 5. ed. São Paulo: Oficina de Textos, 2019.</t>
    </r>
  </si>
  <si>
    <r>
      <t>MEDEIROS JÚNIOR, Joaquim da Rocha. </t>
    </r>
    <r>
      <rPr>
        <sz val="10"/>
        <color rgb="FF000000"/>
        <rFont val="Arial Nova"/>
        <family val="2"/>
      </rPr>
      <t>Vantagem da coisa feita na avaliação de imóveis pelo método do custo. In: Engenharia de avaliações. Instituto Brasileiro de Avaliações e Perícias de Engenharia – IBAPE. São Paulo: Pini, 1974.</t>
    </r>
  </si>
  <si>
    <r>
      <t>NASSER JÚNIOR, Radegaz. </t>
    </r>
    <r>
      <rPr>
        <sz val="10"/>
        <color rgb="FF000000"/>
        <rFont val="Arial Nova"/>
        <family val="2"/>
      </rPr>
      <t>Avaliação de bens: princípios e aplicações. 2. ed revista e atualizada [recurso eletrônico]. São Paulo: Liv. e Ed. Universitária de Direito, 2013.</t>
    </r>
  </si>
  <si>
    <r>
      <t>______. </t>
    </r>
    <r>
      <rPr>
        <sz val="10"/>
        <color rgb="FF000000"/>
        <rFont val="Arial Nova"/>
        <family val="2"/>
      </rPr>
      <t>Avaliação de bens: princípios básicos e aplicações. 3. ed. São Paulo: Editora Leud, 2019.</t>
    </r>
  </si>
  <si>
    <r>
      <t>THOFEHRN, Ragnar. </t>
    </r>
    <r>
      <rPr>
        <sz val="10"/>
        <color rgb="FF000000"/>
        <rFont val="Arial Nova"/>
        <family val="2"/>
      </rPr>
      <t>Avaliação de terrenos urbanos: por fórmulas matemáticas. São Paulo: Pini, 2008.</t>
    </r>
  </si>
  <si>
    <r>
      <t>VEGNI-NERI, Guilherme Bomfim dei. </t>
    </r>
    <r>
      <rPr>
        <sz val="10"/>
        <color rgb="FF000000"/>
        <rFont val="Arial Nova"/>
        <family val="2"/>
      </rPr>
      <t>Avaliação de imóveis urbanos e rurais: método prático e moderno. 4. ed. revista, melhorada e atualizada. São Paulo: Ed. Nacional, 1979.</t>
    </r>
  </si>
  <si>
    <r>
      <t>______. </t>
    </r>
    <r>
      <rPr>
        <sz val="10"/>
        <color rgb="FF000000"/>
        <rFont val="Arial Nova"/>
        <family val="2"/>
      </rPr>
      <t>Prática de avaliação de imóveis: método moderno. 2. ed. revista melhorada. São Paulo: Edições Livraria Legislação Brasileira. 1968.</t>
    </r>
  </si>
  <si>
    <t>MÉTODO EVOLUTIVO: AVALIAÇÃO DAS BENFEITORIAS</t>
  </si>
  <si>
    <t>R-1</t>
  </si>
  <si>
    <t xml:space="preserve">baixo </t>
  </si>
  <si>
    <t>R-8</t>
  </si>
  <si>
    <t>normal</t>
  </si>
  <si>
    <t>R-16</t>
  </si>
  <si>
    <t>alto</t>
  </si>
  <si>
    <t>PIS</t>
  </si>
  <si>
    <t>PP-4</t>
  </si>
  <si>
    <t>residencial</t>
  </si>
  <si>
    <t>CSL-8</t>
  </si>
  <si>
    <t>galpão industrial</t>
  </si>
  <si>
    <t>CSL-16</t>
  </si>
  <si>
    <t>residência popular</t>
  </si>
  <si>
    <t>Tipo da benfeitoria:</t>
  </si>
  <si>
    <t>Padrão:</t>
  </si>
  <si>
    <t>RP1Q</t>
  </si>
  <si>
    <t>Codigo:</t>
  </si>
  <si>
    <t>Data de referência:</t>
  </si>
  <si>
    <t>maio de 2024</t>
  </si>
  <si>
    <t>GI</t>
  </si>
  <si>
    <t>A área equivalente do imóvel será calculada conforme orientação contida na NBR 12721:2006</t>
  </si>
  <si>
    <t>NBR 12721:2006 Avaliação de custos unitários de construção para incorporação imobiliária e outras disposições para condominios edifícios - Procedimento
5.7 Área equivalente
[...]
5.7.2 Coeficientes para cálculo das áreas equivalentes às áreas de custo padrão. É recomendável que os coeficientes de equivalência de custo, para cada dependência em que forem empregados, sejam calculados na forma indicada em 5.7.2.1 ou, alternativamente, na forma indicada em 5.7.3</t>
  </si>
  <si>
    <t>Custo unitário específico para o projeto:</t>
  </si>
  <si>
    <t>Custo de reprodução da benfeitoria</t>
  </si>
  <si>
    <t>Cálculo da depreciação pelo método Ross-Heidecke</t>
  </si>
  <si>
    <t>Idade aparente da benfeitoria:</t>
  </si>
  <si>
    <t>Vida útil referencial</t>
  </si>
  <si>
    <t>Relação percentual:</t>
  </si>
  <si>
    <t>A depreciação Ross-Heidecke será calculada com o auxílio das seguintes equações:</t>
  </si>
  <si>
    <t>alfa</t>
  </si>
  <si>
    <t>novo</t>
  </si>
  <si>
    <t>entre novo e regular</t>
  </si>
  <si>
    <t>entre regular e reparos simples</t>
  </si>
  <si>
    <t>O resultado bruto da equação acima deve ser convertido para o respectivo de fator de depreciação, sendo feito:</t>
  </si>
  <si>
    <t>reparos simples</t>
  </si>
  <si>
    <t>entre reparos simples e reparos importantes</t>
  </si>
  <si>
    <t>reparos importantes</t>
  </si>
  <si>
    <t>entre reparos importantes e sem valor</t>
  </si>
  <si>
    <t>sem valor</t>
  </si>
  <si>
    <t>Estado de conservação da benfeitoria:</t>
  </si>
  <si>
    <t>Descrição do estado:</t>
  </si>
  <si>
    <t>Valor relativo da tabela Heidecke:</t>
  </si>
  <si>
    <t>Resultado bruto da equação:</t>
  </si>
  <si>
    <t>Coeficiente de depreciação específico (perda de valor):</t>
  </si>
  <si>
    <t>Fator de depreciação específico (multiplicador):</t>
  </si>
  <si>
    <t>Perda de valor decorrente da depreciação</t>
  </si>
  <si>
    <t>Custo de reedição da benfeitoria</t>
  </si>
  <si>
    <t>Fator da vantagem da coisa feita:</t>
  </si>
  <si>
    <t>Vantagem da coisa feita</t>
  </si>
  <si>
    <t>Tipo de construção:</t>
  </si>
  <si>
    <t>Idade da construção</t>
  </si>
  <si>
    <t>anos.</t>
  </si>
  <si>
    <t>Valor do terreno:</t>
  </si>
  <si>
    <t>Valor da benfeitoria (depreciada):</t>
  </si>
  <si>
    <t>Soma do valor do terreno, ao valor das benfeitorias:</t>
  </si>
  <si>
    <t>Fator multiplicador aplicável</t>
  </si>
  <si>
    <t>Terreno</t>
  </si>
  <si>
    <t>Avaliação do terreno e das benfeitorias</t>
  </si>
  <si>
    <t>Edificações</t>
  </si>
  <si>
    <t>Demonstração da relação percentual de cada elemento em relação ao todo (avaliação).</t>
  </si>
  <si>
    <t>Área real do item</t>
  </si>
  <si>
    <t>%</t>
  </si>
  <si>
    <t>Fator mínimo</t>
  </si>
  <si>
    <t>Área equivalente</t>
  </si>
  <si>
    <t>a</t>
  </si>
  <si>
    <t>Garagem (subsolo)</t>
  </si>
  <si>
    <t>b</t>
  </si>
  <si>
    <t>Área privativa (unidade autônoma padrão)</t>
  </si>
  <si>
    <t>c</t>
  </si>
  <si>
    <t>Área privativa (salas com acabamento)</t>
  </si>
  <si>
    <t>d</t>
  </si>
  <si>
    <t>Área privativa (salas sem acabamento)</t>
  </si>
  <si>
    <t>e</t>
  </si>
  <si>
    <t>Área de loja sem acabamento</t>
  </si>
  <si>
    <t>f</t>
  </si>
  <si>
    <t>Varandas</t>
  </si>
  <si>
    <t>g</t>
  </si>
  <si>
    <t>Terraços ou áreas descobertas sobre lajes</t>
  </si>
  <si>
    <t>h</t>
  </si>
  <si>
    <t>Estacionamento sobre terreno</t>
  </si>
  <si>
    <t>i</t>
  </si>
  <si>
    <t>Área de projeção do terreno sem benfeitoria</t>
  </si>
  <si>
    <t>j</t>
  </si>
  <si>
    <t>Área de serviço - residência unifamiliar padrão baixo (aberta)</t>
  </si>
  <si>
    <t>k</t>
  </si>
  <si>
    <t>Barrilete</t>
  </si>
  <si>
    <t>l</t>
  </si>
  <si>
    <t>Caixa d'água</t>
  </si>
  <si>
    <t>m</t>
  </si>
  <si>
    <t>Casa de máquinas</t>
  </si>
  <si>
    <t>n</t>
  </si>
  <si>
    <t>Piscinas</t>
  </si>
  <si>
    <t>o</t>
  </si>
  <si>
    <t>Quintais, calçadas, jardins etc.</t>
  </si>
  <si>
    <t>Área total construída:</t>
  </si>
  <si>
    <t>equivalente:</t>
  </si>
  <si>
    <t>Área equivalente da benfeitoria:</t>
  </si>
  <si>
    <t>Preço</t>
  </si>
  <si>
    <t>O grau de precisão calculado foi superior a 50% (cinquenta por cento). Não há classificação do resultado quanto à precisão, sendo necessário apresentar justificativa com base no diagnóstico do mercado (Nota feita à tabela 5 do item 9.2.3 da NBR 14653-2:2011 (Avaliação de bens. Parte 2: Imóveis urbanos).</t>
  </si>
  <si>
    <t>As benfeitorias serão avaliadas pelo método de quantificação do custo de reedição. O custo de reedição corresponde ao custo de reprodução descontada a depreciação.
O custo de reprodução será calculado a partir Custo Unitário Básico informado pelo Sindicato da Construção Civil local; essas informações estão disponíveis em: &lt;http://www.cub.org.br&gt;.
A depreciação das benfeitorias será calculada pelo método Ross-Heidecke.</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</si>
  <si>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</si>
  <si>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</si>
  <si>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MEDEIROS JÚNIOR, J.R.; PELLEGRINO, José Carlos. Método do custo: o terceiro componente. In: Avaliações para garantias: Instituto Brasileiro de Avaliações e Perícias de Engenharia. São Paulo: Pini, 1983.</t>
  </si>
  <si>
    <t>______. Prática de avaliação de imóveis: método moderno. 2. ed. revista melhorada. São Paulo: Edições Livraria Legislação Brasileira, 1968.</t>
  </si>
  <si>
    <t>Frente padrão para a zona</t>
  </si>
  <si>
    <t>Plano, em nível</t>
  </si>
  <si>
    <t>Seco</t>
  </si>
  <si>
    <t>Dentro dos limites mínimo e máximo</t>
  </si>
  <si>
    <t>Meio de quadra</t>
  </si>
  <si>
    <t>Característica do terreno padrão</t>
  </si>
  <si>
    <t>Fator do terreno padrão</t>
  </si>
  <si>
    <t>Terreno à venda</t>
  </si>
  <si>
    <t>Elemento comparativo</t>
  </si>
  <si>
    <r>
      <t>F</t>
    </r>
    <r>
      <rPr>
        <vertAlign val="subscript"/>
        <sz val="11"/>
        <rFont val="Aptos"/>
        <family val="2"/>
      </rPr>
      <t>f</t>
    </r>
  </si>
  <si>
    <r>
      <t>F</t>
    </r>
    <r>
      <rPr>
        <vertAlign val="subscript"/>
        <sz val="11"/>
        <rFont val="Aptos"/>
        <family val="2"/>
      </rPr>
      <t>t</t>
    </r>
  </si>
  <si>
    <r>
      <t>F</t>
    </r>
    <r>
      <rPr>
        <vertAlign val="subscript"/>
        <sz val="11"/>
        <rFont val="Aptos"/>
        <family val="2"/>
      </rPr>
      <t>cs</t>
    </r>
  </si>
  <si>
    <r>
      <t>F</t>
    </r>
    <r>
      <rPr>
        <vertAlign val="subscript"/>
        <sz val="11"/>
        <rFont val="Aptos"/>
        <family val="2"/>
      </rPr>
      <t>p</t>
    </r>
  </si>
  <si>
    <r>
      <t>F</t>
    </r>
    <r>
      <rPr>
        <vertAlign val="subscript"/>
        <sz val="11"/>
        <rFont val="Aptos"/>
        <family val="2"/>
      </rPr>
      <t>e</t>
    </r>
  </si>
  <si>
    <r>
      <t>M</t>
    </r>
    <r>
      <rPr>
        <vertAlign val="subscript"/>
        <sz val="11"/>
        <rFont val="Aptos"/>
        <family val="2"/>
      </rPr>
      <t>p1</t>
    </r>
  </si>
  <si>
    <r>
      <t>M</t>
    </r>
    <r>
      <rPr>
        <vertAlign val="subscript"/>
        <sz val="11"/>
        <rFont val="Aptos"/>
        <family val="2"/>
      </rPr>
      <t>p2</t>
    </r>
  </si>
  <si>
    <r>
      <t>M</t>
    </r>
    <r>
      <rPr>
        <vertAlign val="subscript"/>
        <sz val="11"/>
        <rFont val="Aptos"/>
        <family val="2"/>
      </rPr>
      <t>p3</t>
    </r>
  </si>
  <si>
    <r>
      <t>M</t>
    </r>
    <r>
      <rPr>
        <vertAlign val="subscript"/>
        <sz val="11"/>
        <rFont val="Aptos"/>
        <family val="2"/>
      </rPr>
      <t>p4</t>
    </r>
  </si>
  <si>
    <r>
      <t>M</t>
    </r>
    <r>
      <rPr>
        <vertAlign val="subscript"/>
        <sz val="11"/>
        <rFont val="Aptos"/>
        <family val="2"/>
      </rPr>
      <t>p5</t>
    </r>
  </si>
  <si>
    <r>
      <t>M</t>
    </r>
    <r>
      <rPr>
        <vertAlign val="subscript"/>
        <sz val="11"/>
        <rFont val="Aptos"/>
        <family val="2"/>
      </rPr>
      <t>p6</t>
    </r>
  </si>
  <si>
    <r>
      <t>M</t>
    </r>
    <r>
      <rPr>
        <vertAlign val="subscript"/>
        <sz val="11"/>
        <rFont val="Aptos"/>
        <family val="2"/>
      </rPr>
      <t>p7</t>
    </r>
  </si>
  <si>
    <r>
      <t xml:space="preserve">Somatório das porcentagens correspondentes aos melhoramentos públicos </t>
    </r>
    <r>
      <rPr>
        <b/>
        <sz val="11"/>
        <rFont val="Aptos"/>
        <family val="2"/>
      </rPr>
      <t>presentes no paradigma e ausentes no bem avaliando</t>
    </r>
  </si>
  <si>
    <r>
      <t>Fator do item da amostra (f</t>
    </r>
    <r>
      <rPr>
        <vertAlign val="subscript"/>
        <sz val="11"/>
        <rFont val="Aptos"/>
        <family val="2"/>
      </rPr>
      <t>tr</t>
    </r>
    <r>
      <rPr>
        <sz val="11"/>
        <rFont val="Aptos"/>
        <family val="2"/>
      </rPr>
      <t>)</t>
    </r>
  </si>
  <si>
    <r>
      <t>Fator do bem avaliando (f</t>
    </r>
    <r>
      <rPr>
        <vertAlign val="subscript"/>
        <sz val="11"/>
        <rFont val="Aptos"/>
        <family val="2"/>
      </rPr>
      <t>a</t>
    </r>
    <r>
      <rPr>
        <sz val="11"/>
        <rFont val="Aptos"/>
        <family val="2"/>
      </rPr>
      <t>)</t>
    </r>
  </si>
  <si>
    <r>
      <t>t</t>
    </r>
    <r>
      <rPr>
        <vertAlign val="subscript"/>
        <sz val="11"/>
        <rFont val="Aptos"/>
        <family val="2"/>
      </rPr>
      <t>crítico</t>
    </r>
  </si>
  <si>
    <r>
      <rPr>
        <b/>
        <sz val="11"/>
        <rFont val="Aptos"/>
        <family val="2"/>
      </rPr>
      <t>NBR 14653-2:2011. Avaliação de bens. Parte 2: Imóveis urbanos.
Item 9.2.3</t>
    </r>
    <r>
      <rPr>
        <sz val="11"/>
        <rFont val="Aptos"/>
        <family val="2"/>
      </rPr>
      <t xml:space="preserve"> O grau de precisão deve estar conforme a Tabela 5.</t>
    </r>
  </si>
  <si>
    <t>INTERVALO DE CONFIANÇA E GRAU DE PRECISÃO</t>
  </si>
  <si>
    <t>Amplitude do intervalo de confiança e amplitude do campo de arbítrio [-15%;+15%]</t>
  </si>
  <si>
    <t>Água</t>
  </si>
  <si>
    <t>Esgoto</t>
  </si>
  <si>
    <t>Luz pública</t>
  </si>
  <si>
    <t>Luz domiciliar</t>
  </si>
  <si>
    <t>Guias-sarjetas</t>
  </si>
  <si>
    <t>Telefone</t>
  </si>
  <si>
    <t>Melhoramentos públicos do bem avaliando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</si>
</sst>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_ ;[Red]\-#,##0.00\ "/>
    <numFmt numFmtId="165" formatCode="0.000000"/>
    <numFmt numFmtId="166" formatCode="0.0000"/>
    <numFmt numFmtId="167" formatCode="#,##0.0000"/>
    <numFmt numFmtId="168" formatCode="_-[$R$-416]\ * #,##0.00_-;\-[$R$-416]\ * #,##0.00_-;_-[$R$-416]\ * &quot;-&quot;??_-;_-@_-"/>
    <numFmt numFmtId="169" formatCode="#,##0.00_ ;\-#,##0.00\ "/>
    <numFmt numFmtId="170" formatCode="0.000"/>
    <numFmt numFmtId="171" formatCode="#,##0_ ;[Red]\-#,##0\ "/>
    <numFmt numFmtId="172" formatCode="#,##0.000000_ ;[Red]\-#,##0.000000\ "/>
    <numFmt numFmtId="173" formatCode="#,##0.00000_ ;[Red]\-#,##0.00000\ "/>
    <numFmt numFmtId="174" formatCode="0.0"/>
    <numFmt numFmtId="175" formatCode="0.00000"/>
    <numFmt numFmtId="176" formatCode="#,##0.0000_ ;[Red]\-#,##0.0000\ "/>
  </numFmts>
  <fonts count="24"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1"/>
      <name val="Aptos"/>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sz val="10"/>
      <color theme="1"/>
      <name val="Arial Nova"/>
      <family val="2"/>
    </font>
    <font>
      <sz val="10"/>
      <color rgb="FF383D3C"/>
      <name val="Arial Nova"/>
      <family val="2"/>
    </font>
    <font>
      <i/>
      <vertAlign val="subscript"/>
      <sz val="10"/>
      <name val="Arial Nova"/>
      <family val="2"/>
    </font>
    <font>
      <sz val="10"/>
      <color theme="1"/>
      <name val="Aptos"/>
      <family val="2"/>
    </font>
    <font>
      <sz val="10"/>
      <color rgb="FF000000"/>
      <name val="Arial Nova"/>
      <family val="2"/>
    </font>
    <font>
      <sz val="11"/>
      <color theme="0"/>
      <name val="Aptos"/>
      <family val="2"/>
    </font>
    <font>
      <sz val="10"/>
      <color theme="0"/>
      <name val="Arial Nova"/>
      <family val="2"/>
    </font>
    <font>
      <b/>
      <sz val="11"/>
      <color theme="0"/>
      <name val="Arial"/>
      <family val="2"/>
    </font>
    <font>
      <i/>
      <sz val="11"/>
      <name val="Aptos"/>
      <family val="2"/>
    </font>
    <font>
      <sz val="11"/>
      <name val="Arial Nova"/>
      <family val="2"/>
    </font>
    <font>
      <vertAlign val="subscript"/>
      <sz val="11"/>
      <name val="Aptos"/>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s>
  <borders count="35">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94">
    <xf numFmtId="0" fontId="0" fillId="0" borderId="0" xfId="0"/>
    <xf numFmtId="0" fontId="3" fillId="0" borderId="0" xfId="0" applyFont="1" applyAlignment="1" applyProtection="1">
      <alignment horizontal="justify" vertical="center" wrapText="1"/>
      <protection hidden="1"/>
    </xf>
    <xf numFmtId="0" fontId="4" fillId="0" borderId="0" xfId="0" applyFont="1" applyAlignment="1" applyProtection="1">
      <alignment vertical="center" wrapText="1"/>
      <protection hidden="1"/>
    </xf>
    <xf numFmtId="0" fontId="3" fillId="0" borderId="0" xfId="0" applyFont="1" applyAlignment="1" applyProtection="1">
      <alignment horizontal="justify" vertical="top" wrapText="1"/>
      <protection hidden="1"/>
    </xf>
    <xf numFmtId="0" fontId="13" fillId="0" borderId="0" xfId="0" applyFont="1" applyAlignment="1" applyProtection="1">
      <alignment vertical="center"/>
      <protection hidden="1"/>
    </xf>
    <xf numFmtId="0" fontId="3" fillId="0" borderId="26" xfId="0" applyFont="1" applyBorder="1" applyAlignment="1" applyProtection="1">
      <alignment horizontal="justify" vertical="center" wrapText="1"/>
      <protection hidden="1"/>
    </xf>
    <xf numFmtId="0" fontId="13" fillId="0" borderId="0" xfId="0" applyFont="1" applyAlignment="1" applyProtection="1">
      <alignment horizontal="justify" vertical="center" wrapText="1"/>
      <protection hidden="1"/>
    </xf>
    <xf numFmtId="171" fontId="13" fillId="0" borderId="0" xfId="0" applyNumberFormat="1" applyFont="1" applyAlignment="1" applyProtection="1">
      <alignment horizontal="right" vertical="center" wrapText="1" readingOrder="1"/>
      <protection hidden="1"/>
    </xf>
    <xf numFmtId="172" fontId="13" fillId="0" borderId="0" xfId="0" applyNumberFormat="1" applyFont="1" applyAlignment="1" applyProtection="1">
      <alignment horizontal="right" vertical="center" wrapText="1" readingOrder="1"/>
      <protection hidden="1"/>
    </xf>
    <xf numFmtId="173" fontId="13" fillId="0" borderId="0" xfId="0" applyNumberFormat="1" applyFont="1" applyAlignment="1" applyProtection="1">
      <alignment horizontal="right" vertical="center" wrapText="1" readingOrder="1"/>
      <protection hidden="1"/>
    </xf>
    <xf numFmtId="0" fontId="13" fillId="0" borderId="0" xfId="0" applyFont="1" applyAlignment="1" applyProtection="1">
      <alignment horizontal="right" vertical="center" wrapText="1" readingOrder="1"/>
      <protection hidden="1"/>
    </xf>
    <xf numFmtId="0" fontId="3" fillId="0" borderId="31" xfId="0" applyFont="1" applyBorder="1" applyAlignment="1" applyProtection="1">
      <alignment horizontal="center" vertical="center" wrapText="1"/>
      <protection hidden="1"/>
    </xf>
    <xf numFmtId="1" fontId="13" fillId="0" borderId="31" xfId="0" applyNumberFormat="1" applyFont="1" applyBorder="1" applyAlignment="1" applyProtection="1">
      <alignment horizontal="right" vertical="center" wrapText="1"/>
      <protection hidden="1"/>
    </xf>
    <xf numFmtId="0" fontId="13" fillId="0" borderId="3" xfId="0" applyFont="1" applyBorder="1" applyAlignment="1" applyProtection="1">
      <alignment horizontal="center" vertical="center" wrapText="1"/>
      <protection hidden="1"/>
    </xf>
    <xf numFmtId="9" fontId="13" fillId="3" borderId="3" xfId="2" applyFont="1" applyFill="1" applyBorder="1" applyAlignment="1" applyProtection="1">
      <alignment horizontal="center" vertical="center" wrapText="1"/>
      <protection hidden="1"/>
    </xf>
    <xf numFmtId="4" fontId="13" fillId="0" borderId="3" xfId="0" applyNumberFormat="1" applyFont="1" applyBorder="1" applyAlignment="1" applyProtection="1">
      <alignment horizontal="right" vertical="center" wrapText="1"/>
      <protection hidden="1"/>
    </xf>
    <xf numFmtId="0" fontId="16" fillId="0" borderId="0" xfId="0" applyFont="1" applyAlignment="1" applyProtection="1">
      <alignment vertical="center"/>
      <protection hidden="1"/>
    </xf>
    <xf numFmtId="0"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9" fontId="13" fillId="0" borderId="3" xfId="2" applyFont="1" applyBorder="1" applyAlignment="1" applyProtection="1">
      <alignment horizontal="center" vertical="center" wrapText="1"/>
      <protection hidden="1"/>
    </xf>
    <xf numFmtId="10" fontId="13" fillId="0" borderId="3" xfId="2" applyNumberFormat="1" applyFont="1" applyBorder="1" applyAlignment="1" applyProtection="1">
      <alignment horizontal="right" vertical="center" wrapText="1"/>
      <protection hidden="1"/>
    </xf>
    <xf numFmtId="0" fontId="0" fillId="0" borderId="0" xfId="0" applyProtection="1">
      <protection hidden="1"/>
    </xf>
    <xf numFmtId="167" fontId="13" fillId="0" borderId="3" xfId="0" applyNumberFormat="1" applyFont="1" applyBorder="1" applyAlignment="1" applyProtection="1">
      <alignment horizontal="right" vertical="center" wrapText="1"/>
      <protection hidden="1"/>
    </xf>
    <xf numFmtId="0" fontId="18" fillId="0" borderId="0" xfId="0" applyFont="1" applyAlignment="1" applyProtection="1">
      <alignment vertical="center" wrapText="1"/>
      <protection hidden="1"/>
    </xf>
    <xf numFmtId="0" fontId="18" fillId="0" borderId="0" xfId="0" applyFont="1" applyAlignment="1" applyProtection="1">
      <alignment horizontal="left" vertical="center" wrapText="1"/>
      <protection hidden="1"/>
    </xf>
    <xf numFmtId="175" fontId="18" fillId="0" borderId="0" xfId="0" applyNumberFormat="1" applyFont="1" applyAlignment="1" applyProtection="1">
      <alignment horizontal="right" vertical="center" wrapText="1"/>
      <protection hidden="1"/>
    </xf>
    <xf numFmtId="0" fontId="18" fillId="0" borderId="0" xfId="0" applyFont="1" applyAlignment="1" applyProtection="1">
      <alignment wrapText="1"/>
      <protection hidden="1"/>
    </xf>
    <xf numFmtId="0" fontId="18" fillId="0" borderId="0" xfId="0" applyFont="1" applyAlignment="1" applyProtection="1">
      <alignment horizontal="justify" wrapText="1"/>
      <protection hidden="1"/>
    </xf>
    <xf numFmtId="10" fontId="18" fillId="0" borderId="0" xfId="2" applyNumberFormat="1" applyFont="1" applyAlignment="1" applyProtection="1">
      <alignment vertical="center" wrapText="1"/>
      <protection hidden="1"/>
    </xf>
    <xf numFmtId="164" fontId="18"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0" fontId="7" fillId="0" borderId="2"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0" fontId="7" fillId="0" borderId="0" xfId="0" applyFont="1" applyAlignment="1" applyProtection="1">
      <alignment horizontal="justify" vertical="center" wrapText="1" readingOrder="1"/>
      <protection hidden="1"/>
    </xf>
    <xf numFmtId="0" fontId="7" fillId="3" borderId="2" xfId="0" applyFont="1" applyFill="1" applyBorder="1" applyAlignment="1" applyProtection="1">
      <alignment horizontal="center" vertical="center" wrapText="1" readingOrder="1"/>
      <protection hidden="1"/>
    </xf>
    <xf numFmtId="0" fontId="7" fillId="0" borderId="0" xfId="0" applyFont="1" applyAlignment="1" applyProtection="1">
      <alignment horizontal="center" vertical="top" wrapText="1" readingOrder="1"/>
      <protection hidden="1"/>
    </xf>
    <xf numFmtId="0" fontId="7" fillId="0" borderId="5" xfId="0" applyFont="1" applyBorder="1" applyAlignment="1" applyProtection="1">
      <alignment horizontal="center" vertical="top" wrapText="1" readingOrder="1"/>
      <protection hidden="1"/>
    </xf>
    <xf numFmtId="0" fontId="7" fillId="0" borderId="8" xfId="0" applyFont="1" applyBorder="1" applyAlignment="1" applyProtection="1">
      <alignment horizontal="center" vertical="top" wrapText="1" readingOrder="1"/>
      <protection hidden="1"/>
    </xf>
    <xf numFmtId="0" fontId="7" fillId="0" borderId="0" xfId="0" applyFont="1" applyAlignment="1" applyProtection="1">
      <alignment horizontal="right" vertical="center" wrapText="1" readingOrder="1"/>
      <protection hidden="1"/>
    </xf>
    <xf numFmtId="0" fontId="6" fillId="0" borderId="2" xfId="0" applyFont="1" applyBorder="1" applyAlignment="1" applyProtection="1">
      <alignment vertical="center" wrapText="1"/>
      <protection hidden="1"/>
    </xf>
    <xf numFmtId="0" fontId="7" fillId="0" borderId="0" xfId="0" applyFont="1" applyProtection="1">
      <protection hidden="1"/>
    </xf>
    <xf numFmtId="0" fontId="7" fillId="0" borderId="1" xfId="0" applyFont="1" applyBorder="1" applyAlignment="1" applyProtection="1">
      <alignment vertical="center" wrapText="1"/>
      <protection hidden="1"/>
    </xf>
    <xf numFmtId="0" fontId="6" fillId="0" borderId="0" xfId="0" applyFont="1" applyAlignment="1" applyProtection="1">
      <alignment vertical="center" wrapText="1"/>
      <protection hidden="1"/>
    </xf>
    <xf numFmtId="0" fontId="7" fillId="0" borderId="0" xfId="0" applyFont="1" applyAlignment="1" applyProtection="1">
      <alignment horizontal="distributed" wrapText="1"/>
      <protection hidden="1"/>
    </xf>
    <xf numFmtId="0" fontId="7" fillId="0" borderId="5" xfId="0" applyFont="1" applyBorder="1" applyAlignment="1" applyProtection="1">
      <alignment horizontal="center" vertical="center" wrapText="1"/>
      <protection locked="0"/>
    </xf>
    <xf numFmtId="0" fontId="0" fillId="0" borderId="0" xfId="0" applyAlignment="1" applyProtection="1">
      <alignment vertical="center"/>
      <protection hidden="1"/>
    </xf>
    <xf numFmtId="0" fontId="10" fillId="0" borderId="0" xfId="0" applyFont="1" applyAlignment="1" applyProtection="1">
      <alignment horizontal="center" vertical="center"/>
      <protection hidden="1"/>
    </xf>
    <xf numFmtId="0" fontId="0" fillId="0" borderId="1" xfId="0" applyBorder="1" applyProtection="1">
      <protection hidden="1"/>
    </xf>
    <xf numFmtId="0" fontId="0" fillId="0" borderId="9" xfId="0" applyBorder="1" applyProtection="1">
      <protection hidden="1"/>
    </xf>
    <xf numFmtId="0" fontId="0" fillId="0" borderId="2" xfId="0" applyBorder="1" applyProtection="1">
      <protection hidden="1"/>
    </xf>
    <xf numFmtId="0" fontId="0" fillId="0" borderId="10" xfId="0" applyBorder="1" applyProtection="1">
      <protection hidden="1"/>
    </xf>
    <xf numFmtId="0" fontId="0" fillId="0" borderId="3" xfId="0" applyBorder="1" applyAlignment="1" applyProtection="1">
      <alignment vertical="center"/>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0" fillId="0" borderId="21" xfId="0" applyBorder="1" applyProtection="1">
      <protection hidden="1"/>
    </xf>
    <xf numFmtId="0" fontId="6" fillId="0" borderId="0" xfId="0" applyFont="1" applyAlignment="1" applyProtection="1">
      <alignment vertical="center"/>
      <protection hidden="1"/>
    </xf>
    <xf numFmtId="0" fontId="6" fillId="0" borderId="10" xfId="0" applyFont="1" applyBorder="1" applyAlignment="1" applyProtection="1">
      <alignment vertical="center"/>
      <protection hidden="1"/>
    </xf>
    <xf numFmtId="0" fontId="7" fillId="0" borderId="0" xfId="0" applyFont="1" applyAlignment="1" applyProtection="1">
      <alignment vertical="center"/>
      <protection hidden="1"/>
    </xf>
    <xf numFmtId="0" fontId="7" fillId="0" borderId="16" xfId="0" applyFont="1" applyBorder="1" applyAlignment="1" applyProtection="1">
      <alignment vertical="center"/>
      <protection hidden="1"/>
    </xf>
    <xf numFmtId="0" fontId="7" fillId="0" borderId="10" xfId="0" applyFont="1" applyBorder="1" applyAlignment="1" applyProtection="1">
      <alignment vertical="center"/>
      <protection hidden="1"/>
    </xf>
    <xf numFmtId="0" fontId="0" fillId="0" borderId="1" xfId="0" applyBorder="1" applyAlignment="1" applyProtection="1">
      <alignment vertical="center"/>
      <protection hidden="1"/>
    </xf>
    <xf numFmtId="0" fontId="7" fillId="0" borderId="1" xfId="0" applyFont="1" applyBorder="1" applyAlignment="1" applyProtection="1">
      <alignment vertical="center"/>
      <protection hidden="1"/>
    </xf>
    <xf numFmtId="14" fontId="7" fillId="0" borderId="0" xfId="0" applyNumberFormat="1" applyFont="1" applyAlignment="1" applyProtection="1">
      <alignment vertical="center"/>
      <protection hidden="1"/>
    </xf>
    <xf numFmtId="49" fontId="7" fillId="0" borderId="0" xfId="0" applyNumberFormat="1" applyFont="1" applyAlignment="1" applyProtection="1">
      <alignment vertical="center"/>
      <protection hidden="1"/>
    </xf>
    <xf numFmtId="0" fontId="6" fillId="0" borderId="10" xfId="0" applyFont="1" applyBorder="1" applyAlignment="1" applyProtection="1">
      <alignment vertical="center" wrapText="1"/>
      <protection hidden="1"/>
    </xf>
    <xf numFmtId="0" fontId="7" fillId="0" borderId="3" xfId="0" applyFont="1" applyBorder="1" applyAlignment="1" applyProtection="1">
      <alignment vertical="center"/>
      <protection hidden="1"/>
    </xf>
    <xf numFmtId="0" fontId="7" fillId="0" borderId="17" xfId="0" applyFont="1" applyBorder="1" applyAlignment="1" applyProtection="1">
      <alignment vertical="center"/>
      <protection hidden="1"/>
    </xf>
    <xf numFmtId="0" fontId="6" fillId="0" borderId="13" xfId="0" applyFont="1" applyBorder="1" applyAlignment="1" applyProtection="1">
      <alignment vertical="center" wrapText="1"/>
      <protection hidden="1"/>
    </xf>
    <xf numFmtId="0" fontId="6" fillId="0" borderId="1" xfId="0" applyFont="1" applyBorder="1" applyAlignment="1" applyProtection="1">
      <alignment vertical="center" wrapText="1"/>
      <protection hidden="1"/>
    </xf>
    <xf numFmtId="0" fontId="8" fillId="0" borderId="0" xfId="0" applyFont="1" applyAlignment="1" applyProtection="1">
      <alignment vertical="center"/>
      <protection hidden="1"/>
    </xf>
    <xf numFmtId="0" fontId="6" fillId="0" borderId="3" xfId="0" applyFont="1" applyBorder="1" applyAlignment="1" applyProtection="1">
      <alignment vertical="center"/>
      <protection hidden="1"/>
    </xf>
    <xf numFmtId="0" fontId="0" fillId="0" borderId="0" xfId="0" applyAlignment="1" applyProtection="1">
      <alignment horizontal="left" vertical="center"/>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justify" vertical="top" wrapText="1"/>
      <protection hidden="1"/>
    </xf>
    <xf numFmtId="0" fontId="20" fillId="0" borderId="0" xfId="0" applyFont="1" applyAlignment="1" applyProtection="1">
      <alignment horizontal="center" vertical="center" wrapText="1"/>
      <protection hidden="1"/>
    </xf>
    <xf numFmtId="10" fontId="18" fillId="0" borderId="0" xfId="0" applyNumberFormat="1" applyFont="1" applyAlignment="1" applyProtection="1">
      <alignment horizontal="center" vertical="center" wrapText="1"/>
      <protection hidden="1"/>
    </xf>
    <xf numFmtId="0" fontId="18" fillId="0" borderId="0" xfId="0" applyFont="1" applyAlignment="1" applyProtection="1">
      <alignment horizontal="right" vertical="center" wrapText="1"/>
      <protection hidden="1"/>
    </xf>
    <xf numFmtId="170" fontId="18" fillId="0" borderId="0" xfId="0" applyNumberFormat="1" applyFont="1" applyAlignment="1" applyProtection="1">
      <alignment horizontal="right" vertical="center" wrapText="1"/>
      <protection hidden="1"/>
    </xf>
    <xf numFmtId="170" fontId="18" fillId="0" borderId="0" xfId="0" applyNumberFormat="1" applyFont="1" applyAlignment="1" applyProtection="1">
      <alignment horizontal="justify" vertical="top" wrapText="1"/>
      <protection hidden="1"/>
    </xf>
    <xf numFmtId="0" fontId="19" fillId="0" borderId="0" xfId="0" applyFont="1" applyAlignment="1" applyProtection="1">
      <alignment horizontal="justify" vertical="top" wrapText="1"/>
      <protection hidden="1"/>
    </xf>
    <xf numFmtId="0" fontId="19" fillId="0" borderId="0" xfId="0" applyFont="1" applyAlignment="1" applyProtection="1">
      <alignment wrapText="1"/>
      <protection hidden="1"/>
    </xf>
    <xf numFmtId="2" fontId="7" fillId="0" borderId="0" xfId="0" applyNumberFormat="1" applyFont="1" applyAlignment="1" applyProtection="1">
      <alignment vertical="center" wrapText="1"/>
      <protection hidden="1"/>
    </xf>
    <xf numFmtId="0" fontId="7" fillId="0" borderId="0" xfId="0" applyFont="1" applyAlignment="1" applyProtection="1">
      <alignment horizontal="justify" wrapText="1"/>
      <protection hidden="1"/>
    </xf>
    <xf numFmtId="0" fontId="7" fillId="4" borderId="0" xfId="0" applyFont="1" applyFill="1" applyAlignment="1" applyProtection="1">
      <alignment vertical="center" wrapText="1"/>
      <protection hidden="1"/>
    </xf>
    <xf numFmtId="0" fontId="7" fillId="3" borderId="2" xfId="0" applyFont="1" applyFill="1" applyBorder="1" applyAlignment="1" applyProtection="1">
      <alignment horizontal="center" vertical="center" wrapText="1"/>
      <protection hidden="1"/>
    </xf>
    <xf numFmtId="164" fontId="7" fillId="0" borderId="0" xfId="0" applyNumberFormat="1" applyFont="1" applyAlignment="1" applyProtection="1">
      <alignment vertical="center" wrapText="1"/>
      <protection hidden="1"/>
    </xf>
    <xf numFmtId="164" fontId="7" fillId="0" borderId="0" xfId="0" applyNumberFormat="1" applyFont="1" applyAlignment="1" applyProtection="1">
      <alignment vertical="center" wrapText="1"/>
      <protection locked="0"/>
    </xf>
    <xf numFmtId="0" fontId="21" fillId="0" borderId="0" xfId="0" applyFont="1" applyAlignment="1" applyProtection="1">
      <alignment horizontal="center" vertical="center" wrapText="1"/>
      <protection hidden="1"/>
    </xf>
    <xf numFmtId="164" fontId="7" fillId="0" borderId="5" xfId="0" applyNumberFormat="1" applyFont="1" applyBorder="1" applyAlignment="1" applyProtection="1">
      <alignment vertical="center" wrapText="1"/>
      <protection locked="0"/>
    </xf>
    <xf numFmtId="164" fontId="7" fillId="0" borderId="14" xfId="0" applyNumberFormat="1" applyFont="1" applyBorder="1" applyAlignment="1" applyProtection="1">
      <alignment vertical="center" wrapText="1"/>
      <protection locked="0"/>
    </xf>
    <xf numFmtId="164" fontId="7" fillId="3" borderId="14" xfId="0" applyNumberFormat="1" applyFont="1" applyFill="1" applyBorder="1" applyAlignment="1" applyProtection="1">
      <alignment vertical="center" wrapText="1"/>
      <protection hidden="1"/>
    </xf>
    <xf numFmtId="9" fontId="7" fillId="0" borderId="0" xfId="2" applyFont="1" applyAlignment="1" applyProtection="1">
      <alignment vertical="center" wrapText="1"/>
      <protection hidden="1"/>
    </xf>
    <xf numFmtId="9" fontId="7" fillId="0" borderId="0" xfId="0" applyNumberFormat="1" applyFont="1" applyAlignment="1" applyProtection="1">
      <alignment vertical="center" wrapText="1"/>
      <protection hidden="1"/>
    </xf>
    <xf numFmtId="43" fontId="7" fillId="0" borderId="0" xfId="1" applyFont="1" applyAlignment="1" applyProtection="1">
      <alignment vertical="center" wrapText="1"/>
      <protection hidden="1"/>
    </xf>
    <xf numFmtId="0" fontId="7" fillId="3" borderId="2" xfId="0" applyFont="1" applyFill="1" applyBorder="1" applyAlignment="1" applyProtection="1">
      <alignment vertical="center" wrapText="1"/>
      <protection hidden="1"/>
    </xf>
    <xf numFmtId="4" fontId="7" fillId="0" borderId="5" xfId="2" applyNumberFormat="1" applyFont="1" applyFill="1" applyBorder="1" applyAlignment="1" applyProtection="1">
      <alignment horizontal="right" vertical="center" wrapText="1" readingOrder="1"/>
      <protection locked="0"/>
    </xf>
    <xf numFmtId="4" fontId="7" fillId="0" borderId="1" xfId="2" applyNumberFormat="1" applyFont="1" applyFill="1" applyBorder="1" applyAlignment="1" applyProtection="1">
      <alignment horizontal="right" vertical="center" wrapText="1" readingOrder="1"/>
      <protection hidden="1"/>
    </xf>
    <xf numFmtId="4" fontId="7" fillId="0" borderId="14" xfId="2" applyNumberFormat="1" applyFont="1" applyFill="1" applyBorder="1" applyAlignment="1" applyProtection="1">
      <alignment horizontal="right" vertical="center" wrapText="1" readingOrder="1"/>
      <protection locked="0"/>
    </xf>
    <xf numFmtId="10" fontId="7" fillId="0" borderId="0" xfId="2" applyNumberFormat="1" applyFont="1" applyBorder="1" applyAlignment="1" applyProtection="1">
      <alignment horizontal="right" vertical="center" wrapText="1"/>
      <protection hidden="1"/>
    </xf>
    <xf numFmtId="165" fontId="18" fillId="0" borderId="0" xfId="1" applyNumberFormat="1" applyFont="1" applyBorder="1" applyAlignment="1" applyProtection="1">
      <alignment horizontal="right" vertical="center" wrapText="1"/>
      <protection hidden="1"/>
    </xf>
    <xf numFmtId="10" fontId="18" fillId="0" borderId="0" xfId="0" applyNumberFormat="1" applyFont="1" applyAlignment="1" applyProtection="1">
      <alignment vertical="center" wrapText="1"/>
      <protection hidden="1"/>
    </xf>
    <xf numFmtId="4" fontId="18" fillId="0" borderId="0" xfId="0" applyNumberFormat="1" applyFont="1" applyAlignment="1" applyProtection="1">
      <alignment vertical="center" wrapText="1"/>
      <protection hidden="1"/>
    </xf>
    <xf numFmtId="0" fontId="7" fillId="0" borderId="5" xfId="0" applyFont="1" applyBorder="1" applyAlignment="1" applyProtection="1">
      <alignment horizontal="left" vertical="center" wrapText="1"/>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horizontal="left" vertical="center" wrapText="1"/>
      <protection hidden="1"/>
    </xf>
    <xf numFmtId="2" fontId="7" fillId="0" borderId="5" xfId="0" applyNumberFormat="1" applyFont="1" applyBorder="1" applyAlignment="1" applyProtection="1">
      <alignment horizontal="left" vertical="center" wrapText="1"/>
      <protection hidden="1"/>
    </xf>
    <xf numFmtId="164" fontId="7" fillId="0" borderId="0" xfId="0" applyNumberFormat="1" applyFont="1" applyAlignment="1" applyProtection="1">
      <alignment horizontal="left" vertical="center" wrapText="1"/>
      <protection hidden="1"/>
    </xf>
    <xf numFmtId="0" fontId="22" fillId="3" borderId="2" xfId="0" applyFont="1" applyFill="1" applyBorder="1" applyAlignment="1" applyProtection="1">
      <alignment horizontal="center" vertical="center" wrapText="1"/>
      <protection hidden="1"/>
    </xf>
    <xf numFmtId="0" fontId="22" fillId="3" borderId="0" xfId="0" applyFont="1" applyFill="1" applyAlignment="1" applyProtection="1">
      <alignment horizontal="center" vertical="center" wrapText="1"/>
      <protection hidden="1"/>
    </xf>
    <xf numFmtId="0" fontId="22" fillId="0" borderId="5" xfId="0" applyFont="1" applyBorder="1" applyAlignment="1" applyProtection="1">
      <alignment vertical="center" wrapText="1"/>
      <protection hidden="1"/>
    </xf>
    <xf numFmtId="164" fontId="22" fillId="0" borderId="5" xfId="0" applyNumberFormat="1" applyFont="1" applyBorder="1" applyAlignment="1" applyProtection="1">
      <alignment vertical="center" wrapText="1"/>
      <protection hidden="1"/>
    </xf>
    <xf numFmtId="0" fontId="7" fillId="0" borderId="0" xfId="0" applyFont="1" applyAlignment="1" applyProtection="1">
      <alignment vertical="center" wrapText="1"/>
      <protection hidden="1"/>
    </xf>
    <xf numFmtId="0" fontId="7" fillId="0" borderId="2"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0" fontId="7" fillId="0" borderId="5" xfId="0" applyFont="1" applyBorder="1" applyAlignment="1" applyProtection="1">
      <alignment horizontal="justify" vertical="top" wrapText="1" readingOrder="1"/>
      <protection hidden="1"/>
    </xf>
    <xf numFmtId="0" fontId="7" fillId="0" borderId="0" xfId="0" applyFont="1" applyAlignment="1" applyProtection="1">
      <alignment horizontal="justify" vertical="center" wrapText="1" readingOrder="1"/>
      <protection hidden="1"/>
    </xf>
    <xf numFmtId="2" fontId="7" fillId="0" borderId="5" xfId="0" applyNumberFormat="1" applyFont="1" applyBorder="1" applyAlignment="1" applyProtection="1">
      <alignment horizontal="right" vertical="top" wrapText="1" readingOrder="1"/>
      <protection hidden="1"/>
    </xf>
    <xf numFmtId="168" fontId="7" fillId="0" borderId="5" xfId="0" applyNumberFormat="1" applyFont="1" applyBorder="1" applyAlignment="1" applyProtection="1">
      <alignment vertical="center" wrapText="1"/>
      <protection locked="0"/>
    </xf>
    <xf numFmtId="0" fontId="7" fillId="3" borderId="2" xfId="0" applyFont="1" applyFill="1" applyBorder="1" applyAlignment="1" applyProtection="1">
      <alignment horizontal="center" vertical="center" wrapText="1" readingOrder="1"/>
      <protection hidden="1"/>
    </xf>
    <xf numFmtId="0" fontId="6" fillId="5" borderId="2" xfId="0" applyFont="1" applyFill="1" applyBorder="1" applyAlignment="1" applyProtection="1">
      <alignment vertical="center" wrapText="1"/>
      <protection hidden="1"/>
    </xf>
    <xf numFmtId="0" fontId="7" fillId="0" borderId="0" xfId="0" applyFont="1" applyAlignment="1" applyProtection="1">
      <alignment horizontal="justify" wrapText="1"/>
      <protection hidden="1"/>
    </xf>
    <xf numFmtId="4" fontId="7" fillId="0" borderId="5" xfId="0" applyNumberFormat="1" applyFont="1" applyBorder="1" applyAlignment="1" applyProtection="1">
      <alignment horizontal="right" vertical="top" wrapText="1" readingOrder="1"/>
      <protection locked="0"/>
    </xf>
    <xf numFmtId="9" fontId="7" fillId="0" borderId="5" xfId="2" applyFont="1" applyBorder="1" applyAlignment="1" applyProtection="1">
      <alignment horizontal="right" vertical="top" wrapText="1" readingOrder="1"/>
      <protection hidden="1"/>
    </xf>
    <xf numFmtId="0" fontId="7" fillId="0" borderId="5" xfId="0" applyFont="1" applyBorder="1" applyAlignment="1" applyProtection="1">
      <alignment horizontal="center" vertical="center" wrapText="1"/>
      <protection hidden="1"/>
    </xf>
    <xf numFmtId="4" fontId="7" fillId="0" borderId="8" xfId="0" applyNumberFormat="1" applyFont="1" applyBorder="1" applyAlignment="1" applyProtection="1">
      <alignment horizontal="right" vertical="top" wrapText="1" readingOrder="1"/>
      <protection locked="0"/>
    </xf>
    <xf numFmtId="9" fontId="7" fillId="0" borderId="8" xfId="2" applyFont="1" applyBorder="1" applyAlignment="1" applyProtection="1">
      <alignment horizontal="right" vertical="top" wrapText="1" readingOrder="1"/>
      <protection hidden="1"/>
    </xf>
    <xf numFmtId="4" fontId="7" fillId="0" borderId="8" xfId="0" applyNumberFormat="1" applyFont="1" applyBorder="1" applyAlignment="1" applyProtection="1">
      <alignment horizontal="right" vertical="top" wrapText="1" readingOrder="1"/>
      <protection hidden="1"/>
    </xf>
    <xf numFmtId="2" fontId="7" fillId="0" borderId="8" xfId="0" applyNumberFormat="1" applyFont="1" applyBorder="1" applyAlignment="1" applyProtection="1">
      <alignment horizontal="right" vertical="top" wrapText="1" readingOrder="1"/>
      <protection hidden="1"/>
    </xf>
    <xf numFmtId="0" fontId="7" fillId="0" borderId="5" xfId="0" applyFont="1" applyBorder="1" applyAlignment="1" applyProtection="1">
      <alignment horizontal="left" vertical="center" wrapText="1"/>
      <protection locked="0"/>
    </xf>
    <xf numFmtId="0" fontId="7" fillId="0" borderId="5" xfId="0" applyFont="1" applyBorder="1" applyAlignment="1" applyProtection="1">
      <alignment vertical="center" wrapText="1"/>
      <protection locked="0"/>
    </xf>
    <xf numFmtId="164" fontId="7" fillId="0" borderId="2" xfId="0" applyNumberFormat="1" applyFont="1" applyBorder="1" applyAlignment="1" applyProtection="1">
      <alignment horizontal="right" vertical="center" wrapText="1"/>
      <protection hidden="1"/>
    </xf>
    <xf numFmtId="164" fontId="7" fillId="0" borderId="5" xfId="0" applyNumberFormat="1" applyFont="1" applyBorder="1" applyAlignment="1" applyProtection="1">
      <alignment horizontal="right" vertical="center" wrapText="1"/>
      <protection hidden="1"/>
    </xf>
    <xf numFmtId="4" fontId="7" fillId="0" borderId="2" xfId="0" applyNumberFormat="1" applyFont="1" applyBorder="1" applyAlignment="1" applyProtection="1">
      <alignment horizontal="right" vertical="center" wrapText="1" readingOrder="1"/>
      <protection hidden="1"/>
    </xf>
    <xf numFmtId="0" fontId="7" fillId="0" borderId="2" xfId="0" applyFont="1" applyBorder="1" applyAlignment="1" applyProtection="1">
      <alignment horizontal="left" vertical="center" wrapText="1" readingOrder="1"/>
      <protection hidden="1"/>
    </xf>
    <xf numFmtId="2" fontId="7" fillId="0" borderId="2" xfId="0" applyNumberFormat="1" applyFont="1" applyBorder="1" applyAlignment="1" applyProtection="1">
      <alignment horizontal="right" vertical="center" wrapText="1" readingOrder="1"/>
      <protection hidden="1"/>
    </xf>
    <xf numFmtId="0" fontId="7" fillId="0" borderId="0" xfId="0" applyFont="1" applyAlignment="1" applyProtection="1">
      <alignment horizontal="justify" vertical="center" wrapText="1"/>
      <protection hidden="1"/>
    </xf>
    <xf numFmtId="0" fontId="6" fillId="0" borderId="0" xfId="0" applyFont="1" applyAlignment="1" applyProtection="1">
      <alignment vertical="center" wrapText="1"/>
      <protection hidden="1"/>
    </xf>
    <xf numFmtId="0" fontId="6" fillId="0" borderId="2" xfId="0" applyFont="1" applyBorder="1" applyAlignment="1" applyProtection="1">
      <alignment vertical="center" wrapText="1"/>
      <protection hidden="1"/>
    </xf>
    <xf numFmtId="0" fontId="7" fillId="0" borderId="0" xfId="0" applyFont="1" applyAlignment="1" applyProtection="1">
      <alignment horizontal="left" vertical="center" wrapText="1"/>
      <protection hidden="1"/>
    </xf>
    <xf numFmtId="164" fontId="7" fillId="0" borderId="5" xfId="0" applyNumberFormat="1" applyFont="1" applyBorder="1" applyAlignment="1" applyProtection="1">
      <alignment vertical="center" wrapText="1"/>
      <protection hidden="1"/>
    </xf>
    <xf numFmtId="164" fontId="6" fillId="0" borderId="2" xfId="0" applyNumberFormat="1" applyFont="1" applyBorder="1" applyAlignment="1" applyProtection="1">
      <alignment horizontal="right" vertical="center" wrapText="1"/>
      <protection hidden="1"/>
    </xf>
    <xf numFmtId="0" fontId="7" fillId="0" borderId="0" xfId="0" applyFont="1" applyAlignment="1" applyProtection="1">
      <alignment horizontal="center" vertical="center" wrapText="1"/>
      <protection hidden="1"/>
    </xf>
    <xf numFmtId="0" fontId="7" fillId="0" borderId="2" xfId="0" applyFont="1" applyBorder="1" applyAlignment="1" applyProtection="1">
      <alignment vertical="center" wrapText="1"/>
      <protection locked="0"/>
    </xf>
    <xf numFmtId="10" fontId="7" fillId="0" borderId="5" xfId="2" applyNumberFormat="1" applyFont="1" applyFill="1" applyBorder="1" applyAlignment="1" applyProtection="1">
      <alignment vertical="center" wrapText="1"/>
      <protection hidden="1"/>
    </xf>
    <xf numFmtId="0" fontId="18" fillId="0" borderId="0" xfId="0" applyFont="1" applyAlignment="1" applyProtection="1">
      <alignment horizontal="center" vertical="center" wrapText="1"/>
      <protection hidden="1"/>
    </xf>
    <xf numFmtId="176" fontId="7" fillId="0" borderId="2" xfId="0" applyNumberFormat="1" applyFont="1" applyBorder="1" applyAlignment="1" applyProtection="1">
      <alignment vertical="center" wrapText="1"/>
      <protection hidden="1"/>
    </xf>
    <xf numFmtId="165" fontId="7" fillId="0" borderId="5" xfId="1" applyNumberFormat="1" applyFont="1" applyBorder="1" applyAlignment="1" applyProtection="1">
      <alignment horizontal="right" vertical="center" wrapText="1"/>
      <protection hidden="1"/>
    </xf>
    <xf numFmtId="164" fontId="7" fillId="0" borderId="2" xfId="0" applyNumberFormat="1" applyFont="1" applyBorder="1" applyAlignment="1" applyProtection="1">
      <alignment vertical="center" wrapText="1"/>
      <protection hidden="1"/>
    </xf>
    <xf numFmtId="10" fontId="7" fillId="0" borderId="2" xfId="2" applyNumberFormat="1" applyFont="1" applyBorder="1" applyAlignment="1" applyProtection="1">
      <alignment horizontal="right" vertical="center" wrapText="1"/>
      <protection hidden="1"/>
    </xf>
    <xf numFmtId="0" fontId="7" fillId="0" borderId="5" xfId="0" applyFont="1" applyBorder="1" applyAlignment="1" applyProtection="1">
      <alignment horizontal="right" vertical="center" wrapText="1"/>
      <protection hidden="1"/>
    </xf>
    <xf numFmtId="0" fontId="6" fillId="5" borderId="0" xfId="0" applyFont="1" applyFill="1" applyAlignment="1" applyProtection="1">
      <alignment horizontal="center" vertical="center" wrapText="1"/>
      <protection hidden="1"/>
    </xf>
    <xf numFmtId="10" fontId="7" fillId="0" borderId="0" xfId="0" applyNumberFormat="1" applyFont="1" applyAlignment="1" applyProtection="1">
      <alignment vertical="center" wrapText="1"/>
      <protection hidden="1"/>
    </xf>
    <xf numFmtId="0" fontId="7" fillId="0" borderId="5" xfId="0" applyFont="1" applyBorder="1" applyAlignment="1" applyProtection="1">
      <alignment horizontal="right" vertical="center" wrapText="1"/>
      <protection locked="0"/>
    </xf>
    <xf numFmtId="9" fontId="7" fillId="0" borderId="5" xfId="2" applyFont="1" applyBorder="1" applyAlignment="1" applyProtection="1">
      <alignment horizontal="right" vertical="center" wrapText="1"/>
      <protection hidden="1"/>
    </xf>
    <xf numFmtId="0" fontId="6" fillId="0" borderId="3" xfId="0" applyFont="1" applyBorder="1" applyAlignment="1" applyProtection="1">
      <alignment horizontal="center" vertical="center" wrapText="1"/>
      <protection hidden="1"/>
    </xf>
    <xf numFmtId="9" fontId="7" fillId="0" borderId="3" xfId="2" applyFont="1" applyFill="1" applyBorder="1" applyAlignment="1" applyProtection="1">
      <alignment horizontal="center" vertical="center" wrapText="1"/>
      <protection hidden="1"/>
    </xf>
    <xf numFmtId="10" fontId="7" fillId="0" borderId="5" xfId="2" applyNumberFormat="1" applyFont="1" applyBorder="1" applyAlignment="1" applyProtection="1">
      <alignment vertical="center" wrapText="1"/>
      <protection hidden="1"/>
    </xf>
    <xf numFmtId="176" fontId="7" fillId="0" borderId="5" xfId="0" applyNumberFormat="1" applyFont="1" applyBorder="1" applyAlignment="1" applyProtection="1">
      <alignment vertical="center" wrapText="1"/>
      <protection hidden="1"/>
    </xf>
    <xf numFmtId="0" fontId="7" fillId="3" borderId="2" xfId="0" applyFont="1" applyFill="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2" xfId="0" applyFont="1" applyBorder="1" applyAlignment="1" applyProtection="1">
      <alignment horizontal="right" vertical="center" wrapText="1"/>
      <protection hidden="1"/>
    </xf>
    <xf numFmtId="0" fontId="7" fillId="0" borderId="5" xfId="0" applyFont="1" applyBorder="1" applyAlignment="1" applyProtection="1">
      <alignment horizontal="left" vertical="center" wrapText="1"/>
      <protection hidden="1"/>
    </xf>
    <xf numFmtId="164" fontId="7" fillId="0" borderId="2" xfId="0" applyNumberFormat="1" applyFont="1" applyBorder="1" applyAlignment="1" applyProtection="1">
      <alignment horizontal="left" vertical="center" wrapText="1"/>
      <protection locked="0"/>
    </xf>
    <xf numFmtId="0" fontId="7" fillId="0" borderId="0" xfId="0" applyFont="1" applyAlignment="1" applyProtection="1">
      <alignment horizontal="right" vertical="center" wrapText="1"/>
      <protection locked="0"/>
    </xf>
    <xf numFmtId="164" fontId="7" fillId="0" borderId="5" xfId="0" applyNumberFormat="1" applyFont="1" applyBorder="1" applyAlignment="1" applyProtection="1">
      <alignment vertical="center" wrapText="1"/>
      <protection locked="0"/>
    </xf>
    <xf numFmtId="164" fontId="7" fillId="0" borderId="2" xfId="0" applyNumberFormat="1" applyFont="1" applyBorder="1" applyAlignment="1" applyProtection="1">
      <alignment horizontal="right" vertical="center" wrapText="1"/>
      <protection locked="0"/>
    </xf>
    <xf numFmtId="0" fontId="18" fillId="0" borderId="0" xfId="0" applyFont="1" applyAlignment="1" applyProtection="1">
      <alignment vertical="center" wrapText="1"/>
      <protection hidden="1"/>
    </xf>
    <xf numFmtId="0" fontId="6" fillId="3" borderId="0" xfId="0" applyFont="1" applyFill="1" applyAlignment="1" applyProtection="1">
      <alignment horizontal="left" vertical="center" wrapText="1"/>
      <protection hidden="1"/>
    </xf>
    <xf numFmtId="0" fontId="7" fillId="0" borderId="0" xfId="0" applyFont="1" applyAlignment="1" applyProtection="1">
      <alignment horizontal="right" vertical="center" wrapText="1"/>
      <protection hidden="1"/>
    </xf>
    <xf numFmtId="0" fontId="7" fillId="0" borderId="3" xfId="0" applyFont="1" applyBorder="1" applyAlignment="1" applyProtection="1">
      <alignment horizontal="center" vertical="center" wrapText="1"/>
      <protection hidden="1"/>
    </xf>
    <xf numFmtId="0" fontId="7" fillId="3" borderId="0" xfId="0" applyFont="1" applyFill="1" applyAlignment="1" applyProtection="1">
      <alignment horizontal="center" vertical="center" wrapText="1"/>
      <protection hidden="1"/>
    </xf>
    <xf numFmtId="164" fontId="7" fillId="0" borderId="14" xfId="0" applyNumberFormat="1" applyFont="1" applyBorder="1" applyAlignment="1" applyProtection="1">
      <alignment vertical="center" wrapText="1"/>
      <protection hidden="1"/>
    </xf>
    <xf numFmtId="164" fontId="7" fillId="0" borderId="0" xfId="0" applyNumberFormat="1" applyFont="1" applyAlignment="1" applyProtection="1">
      <alignment vertical="center" wrapText="1"/>
      <protection hidden="1"/>
    </xf>
    <xf numFmtId="164" fontId="7" fillId="0" borderId="14" xfId="0" applyNumberFormat="1" applyFont="1" applyBorder="1" applyAlignment="1" applyProtection="1">
      <alignment horizontal="right" vertical="center" wrapText="1"/>
      <protection hidden="1"/>
    </xf>
    <xf numFmtId="4" fontId="7" fillId="0" borderId="5" xfId="2" applyNumberFormat="1" applyFont="1" applyFill="1" applyBorder="1" applyAlignment="1" applyProtection="1">
      <alignment horizontal="right" vertical="center" wrapText="1" readingOrder="1"/>
      <protection hidden="1"/>
    </xf>
    <xf numFmtId="4" fontId="7" fillId="0" borderId="2" xfId="0" applyNumberFormat="1" applyFont="1" applyBorder="1" applyAlignment="1" applyProtection="1">
      <alignment horizontal="right" vertical="center" wrapText="1"/>
      <protection hidden="1"/>
    </xf>
    <xf numFmtId="0" fontId="6" fillId="2" borderId="2" xfId="0" applyFont="1" applyFill="1" applyBorder="1" applyAlignment="1" applyProtection="1">
      <alignment vertical="center" wrapText="1"/>
      <protection hidden="1"/>
    </xf>
    <xf numFmtId="10" fontId="7" fillId="0" borderId="2" xfId="0" applyNumberFormat="1" applyFont="1" applyBorder="1" applyAlignment="1" applyProtection="1">
      <alignment vertical="center" wrapText="1"/>
      <protection hidden="1"/>
    </xf>
    <xf numFmtId="9" fontId="7" fillId="0" borderId="2" xfId="2" applyFont="1" applyBorder="1" applyAlignment="1" applyProtection="1">
      <alignment vertical="center" wrapText="1"/>
      <protection hidden="1"/>
    </xf>
    <xf numFmtId="0" fontId="7" fillId="3" borderId="3" xfId="0" applyFont="1" applyFill="1" applyBorder="1" applyAlignment="1" applyProtection="1">
      <alignment horizontal="center" vertical="center" wrapText="1"/>
      <protection hidden="1"/>
    </xf>
    <xf numFmtId="0" fontId="7" fillId="0" borderId="14" xfId="0" applyFont="1" applyBorder="1" applyAlignment="1" applyProtection="1">
      <alignment vertical="center" wrapText="1"/>
      <protection hidden="1"/>
    </xf>
    <xf numFmtId="164" fontId="7" fillId="0" borderId="0" xfId="0" applyNumberFormat="1" applyFont="1" applyAlignment="1" applyProtection="1">
      <alignment vertical="center" wrapText="1"/>
      <protection locked="0"/>
    </xf>
    <xf numFmtId="164" fontId="7" fillId="0" borderId="14" xfId="0" applyNumberFormat="1" applyFont="1" applyBorder="1" applyAlignment="1" applyProtection="1">
      <alignment horizontal="center" vertical="center" wrapText="1"/>
      <protection hidden="1"/>
    </xf>
    <xf numFmtId="164" fontId="7" fillId="0" borderId="0" xfId="0" applyNumberFormat="1" applyFont="1" applyAlignment="1" applyProtection="1">
      <alignment horizontal="right" vertical="center" wrapText="1"/>
      <protection hidden="1"/>
    </xf>
    <xf numFmtId="10" fontId="7" fillId="0" borderId="2" xfId="2" applyNumberFormat="1" applyFont="1" applyBorder="1" applyAlignment="1" applyProtection="1">
      <alignment vertical="center" wrapText="1"/>
      <protection hidden="1"/>
    </xf>
    <xf numFmtId="4" fontId="7" fillId="0" borderId="0" xfId="2" applyNumberFormat="1" applyFont="1" applyFill="1" applyAlignment="1" applyProtection="1">
      <alignment horizontal="right" vertical="center" wrapText="1" readingOrder="1"/>
      <protection hidden="1"/>
    </xf>
    <xf numFmtId="0" fontId="6" fillId="3" borderId="0" xfId="0" applyFont="1" applyFill="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7" fillId="0" borderId="2" xfId="0" applyFont="1" applyBorder="1" applyAlignment="1" applyProtection="1">
      <alignment horizontal="justify" vertical="center" wrapText="1"/>
      <protection hidden="1"/>
    </xf>
    <xf numFmtId="164" fontId="7" fillId="0" borderId="1" xfId="0" applyNumberFormat="1" applyFont="1" applyBorder="1" applyAlignment="1" applyProtection="1">
      <alignment horizontal="center" vertical="center" wrapText="1"/>
      <protection hidden="1"/>
    </xf>
    <xf numFmtId="164" fontId="7" fillId="0" borderId="2" xfId="0" applyNumberFormat="1" applyFont="1" applyBorder="1" applyAlignment="1" applyProtection="1">
      <alignment horizontal="center" vertical="center" wrapText="1"/>
      <protection hidden="1"/>
    </xf>
    <xf numFmtId="164" fontId="7" fillId="0" borderId="5" xfId="0" applyNumberFormat="1" applyFont="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164" fontId="7" fillId="0" borderId="14" xfId="0" applyNumberFormat="1" applyFont="1" applyBorder="1" applyAlignment="1" applyProtection="1">
      <alignment vertical="center" wrapText="1"/>
      <protection locked="0"/>
    </xf>
    <xf numFmtId="0" fontId="6" fillId="0" borderId="0" xfId="0" applyFont="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5" borderId="0" xfId="0" applyFont="1" applyFill="1" applyAlignment="1" applyProtection="1">
      <alignment vertical="center" wrapText="1"/>
      <protection hidden="1"/>
    </xf>
    <xf numFmtId="0" fontId="7" fillId="0" borderId="0" xfId="0" applyFont="1" applyAlignment="1" applyProtection="1">
      <alignment vertical="center" wrapText="1"/>
      <protection locked="0"/>
    </xf>
    <xf numFmtId="0" fontId="7" fillId="0" borderId="14" xfId="0" applyFont="1" applyBorder="1" applyAlignment="1" applyProtection="1">
      <alignment vertical="center" wrapText="1"/>
      <protection locked="0"/>
    </xf>
    <xf numFmtId="164" fontId="7" fillId="0" borderId="0" xfId="0" applyNumberFormat="1" applyFont="1" applyAlignment="1" applyProtection="1">
      <alignment horizontal="center" vertical="center" wrapText="1"/>
      <protection hidden="1"/>
    </xf>
    <xf numFmtId="10" fontId="7" fillId="0" borderId="2" xfId="2" applyNumberFormat="1" applyFont="1" applyFill="1" applyBorder="1" applyAlignment="1" applyProtection="1">
      <alignment horizontal="right" vertical="center" wrapText="1"/>
      <protection hidden="1"/>
    </xf>
    <xf numFmtId="10" fontId="7" fillId="0" borderId="5" xfId="0" applyNumberFormat="1" applyFont="1" applyBorder="1" applyAlignment="1" applyProtection="1">
      <alignment vertical="center" wrapText="1"/>
      <protection hidden="1"/>
    </xf>
    <xf numFmtId="1" fontId="7" fillId="0" borderId="2" xfId="1" applyNumberFormat="1" applyFont="1" applyBorder="1" applyAlignment="1" applyProtection="1">
      <alignment vertical="center" wrapText="1"/>
      <protection locked="0"/>
    </xf>
    <xf numFmtId="166" fontId="7" fillId="0" borderId="5" xfId="0" applyNumberFormat="1" applyFont="1" applyBorder="1" applyAlignment="1" applyProtection="1">
      <alignment horizontal="right" vertical="center" wrapText="1"/>
      <protection hidden="1"/>
    </xf>
    <xf numFmtId="1" fontId="7" fillId="0" borderId="5" xfId="1" applyNumberFormat="1" applyFont="1" applyBorder="1" applyAlignment="1" applyProtection="1">
      <alignment horizontal="right" vertical="center" wrapText="1"/>
      <protection hidden="1"/>
    </xf>
    <xf numFmtId="1" fontId="7" fillId="0" borderId="2" xfId="1" applyNumberFormat="1" applyFont="1" applyBorder="1" applyAlignment="1" applyProtection="1">
      <alignment horizontal="right" vertical="center" wrapText="1"/>
      <protection locked="0"/>
    </xf>
    <xf numFmtId="0" fontId="3" fillId="0" borderId="0" xfId="0" applyFont="1" applyAlignment="1" applyProtection="1">
      <alignment vertical="center" wrapText="1"/>
      <protection hidden="1"/>
    </xf>
    <xf numFmtId="10" fontId="3" fillId="0" borderId="24" xfId="0" applyNumberFormat="1" applyFont="1" applyBorder="1" applyAlignment="1" applyProtection="1">
      <alignment horizontal="center" vertical="center" wrapText="1"/>
      <protection hidden="1"/>
    </xf>
    <xf numFmtId="0" fontId="3" fillId="0" borderId="0" xfId="0" applyFont="1" applyAlignment="1" applyProtection="1">
      <alignment horizontal="justify" vertical="top" wrapText="1"/>
      <protection hidden="1"/>
    </xf>
    <xf numFmtId="0" fontId="3" fillId="0" borderId="0" xfId="0" applyFont="1" applyAlignment="1" applyProtection="1">
      <alignment vertical="top" wrapText="1"/>
      <protection hidden="1"/>
    </xf>
    <xf numFmtId="0" fontId="3" fillId="6" borderId="24" xfId="0" applyFont="1" applyFill="1" applyBorder="1" applyAlignment="1" applyProtection="1">
      <alignment horizontal="justify"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textRotation="90" wrapText="1"/>
      <protection hidden="1"/>
    </xf>
    <xf numFmtId="0" fontId="20" fillId="0" borderId="0" xfId="0" applyFont="1" applyAlignment="1" applyProtection="1">
      <alignment horizontal="justify" wrapText="1"/>
      <protection hidden="1"/>
    </xf>
    <xf numFmtId="0" fontId="2" fillId="3" borderId="1" xfId="0" applyFont="1" applyFill="1" applyBorder="1" applyAlignment="1" applyProtection="1">
      <alignment horizontal="left" vertical="center" wrapText="1"/>
      <protection hidden="1"/>
    </xf>
    <xf numFmtId="0" fontId="3" fillId="0" borderId="0" xfId="0" applyFont="1" applyAlignment="1" applyProtection="1">
      <alignment wrapText="1"/>
      <protection hidden="1"/>
    </xf>
    <xf numFmtId="0" fontId="2" fillId="6" borderId="24" xfId="0" applyFont="1" applyFill="1" applyBorder="1" applyAlignment="1" applyProtection="1">
      <alignment horizontal="center" vertical="center" wrapText="1"/>
      <protection hidden="1"/>
    </xf>
    <xf numFmtId="0" fontId="13" fillId="0" borderId="0" xfId="0" applyFont="1" applyAlignment="1" applyProtection="1">
      <alignment horizontal="justify" vertical="center" wrapText="1"/>
      <protection hidden="1"/>
    </xf>
    <xf numFmtId="0" fontId="2" fillId="7" borderId="32" xfId="0" applyFont="1" applyFill="1" applyBorder="1" applyAlignment="1" applyProtection="1">
      <alignment horizontal="center" vertical="center" wrapText="1"/>
      <protection hidden="1"/>
    </xf>
    <xf numFmtId="0" fontId="2" fillId="7" borderId="33"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7" borderId="3" xfId="0" applyFont="1" applyFill="1" applyBorder="1" applyAlignment="1" applyProtection="1">
      <alignment horizontal="center" vertical="center" wrapText="1"/>
      <protection hidden="1"/>
    </xf>
    <xf numFmtId="0" fontId="3" fillId="8" borderId="3"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5" xfId="0" applyFont="1" applyFill="1" applyBorder="1" applyAlignment="1" applyProtection="1">
      <alignment horizontal="center" vertical="center" wrapText="1"/>
      <protection hidden="1"/>
    </xf>
    <xf numFmtId="0" fontId="2" fillId="8" borderId="6" xfId="0" applyFont="1" applyFill="1" applyBorder="1" applyAlignment="1" applyProtection="1">
      <alignment horizontal="center" vertical="center" wrapText="1"/>
      <protection hidden="1"/>
    </xf>
    <xf numFmtId="10" fontId="13" fillId="0" borderId="3" xfId="0" applyNumberFormat="1" applyFont="1" applyBorder="1" applyAlignment="1" applyProtection="1">
      <alignment horizontal="right" vertical="center" wrapText="1"/>
      <protection hidden="1"/>
    </xf>
    <xf numFmtId="0" fontId="13" fillId="0" borderId="3" xfId="0"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readingOrder="1"/>
      <protection hidden="1"/>
    </xf>
    <xf numFmtId="0" fontId="13" fillId="0" borderId="31" xfId="0" applyFont="1" applyBorder="1" applyAlignment="1" applyProtection="1">
      <alignment horizontal="left" vertical="center" wrapText="1"/>
      <protection hidden="1"/>
    </xf>
    <xf numFmtId="0" fontId="13" fillId="0" borderId="31" xfId="0" applyFont="1" applyBorder="1" applyAlignment="1" applyProtection="1">
      <alignment horizontal="justify" vertical="center" wrapText="1"/>
      <protection hidden="1"/>
    </xf>
    <xf numFmtId="0" fontId="3" fillId="0" borderId="24" xfId="0" applyFont="1" applyBorder="1" applyAlignment="1" applyProtection="1">
      <alignment horizontal="center" vertical="center" wrapText="1"/>
      <protection hidden="1"/>
    </xf>
    <xf numFmtId="0" fontId="13" fillId="0" borderId="24" xfId="0" applyFont="1" applyBorder="1" applyAlignment="1" applyProtection="1">
      <alignment horizontal="left" vertical="center" wrapText="1"/>
      <protection hidden="1"/>
    </xf>
    <xf numFmtId="174" fontId="13" fillId="0" borderId="24" xfId="0" applyNumberFormat="1" applyFont="1" applyBorder="1" applyAlignment="1" applyProtection="1">
      <alignment horizontal="right" vertical="center" wrapText="1"/>
      <protection hidden="1"/>
    </xf>
    <xf numFmtId="0" fontId="13" fillId="0" borderId="24" xfId="0" applyFont="1" applyBorder="1" applyAlignment="1" applyProtection="1">
      <alignment horizontal="justify" vertical="center" wrapText="1"/>
      <protection hidden="1"/>
    </xf>
    <xf numFmtId="2" fontId="13" fillId="0" borderId="24" xfId="0" applyNumberFormat="1" applyFont="1" applyBorder="1" applyAlignment="1" applyProtection="1">
      <alignment horizontal="right" vertical="center" wrapText="1"/>
      <protection hidden="1"/>
    </xf>
    <xf numFmtId="0" fontId="3" fillId="0" borderId="0" xfId="0" applyFont="1" applyAlignment="1" applyProtection="1">
      <alignment horizontal="justify" vertical="center" wrapText="1"/>
      <protection hidden="1"/>
    </xf>
    <xf numFmtId="0" fontId="3" fillId="3" borderId="0" xfId="0" applyFont="1" applyFill="1" applyAlignment="1" applyProtection="1">
      <alignment horizontal="center" vertical="center" wrapText="1" readingOrder="1"/>
      <protection hidden="1"/>
    </xf>
    <xf numFmtId="0" fontId="3" fillId="3" borderId="25" xfId="0" applyFont="1" applyFill="1" applyBorder="1" applyAlignment="1" applyProtection="1">
      <alignment horizontal="center" vertical="center" wrapText="1" readingOrder="1"/>
      <protection hidden="1"/>
    </xf>
    <xf numFmtId="0" fontId="3" fillId="3" borderId="24"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14" fillId="0" borderId="24" xfId="0" applyFont="1" applyBorder="1" applyAlignment="1" applyProtection="1">
      <alignment horizontal="left" vertical="center" wrapText="1"/>
      <protection hidden="1"/>
    </xf>
    <xf numFmtId="0" fontId="14" fillId="0" borderId="24" xfId="0" applyFont="1" applyBorder="1" applyAlignment="1" applyProtection="1">
      <alignment horizontal="right" vertical="center" wrapText="1"/>
      <protection hidden="1"/>
    </xf>
    <xf numFmtId="9" fontId="14" fillId="0" borderId="24" xfId="0" applyNumberFormat="1" applyFont="1" applyBorder="1" applyAlignment="1" applyProtection="1">
      <alignment horizontal="right" vertical="center" wrapText="1"/>
      <protection hidden="1"/>
    </xf>
    <xf numFmtId="0" fontId="3" fillId="7" borderId="24" xfId="0" applyFont="1" applyFill="1" applyBorder="1" applyAlignment="1" applyProtection="1">
      <alignment horizontal="center" vertical="center" textRotation="90" wrapText="1"/>
      <protection hidden="1"/>
    </xf>
    <xf numFmtId="0" fontId="2" fillId="3" borderId="25" xfId="0" applyFont="1" applyFill="1" applyBorder="1" applyAlignment="1" applyProtection="1">
      <alignment horizontal="center" vertical="center" wrapText="1" readingOrder="1"/>
      <protection hidden="1"/>
    </xf>
    <xf numFmtId="0" fontId="3" fillId="7" borderId="27" xfId="0" applyFont="1" applyFill="1" applyBorder="1" applyAlignment="1" applyProtection="1">
      <alignment horizontal="center" vertical="center" wrapText="1"/>
      <protection hidden="1"/>
    </xf>
    <xf numFmtId="0" fontId="3" fillId="7" borderId="28" xfId="0" applyFont="1" applyFill="1" applyBorder="1" applyAlignment="1" applyProtection="1">
      <alignment horizontal="center" vertical="center" wrapText="1"/>
      <protection hidden="1"/>
    </xf>
    <xf numFmtId="0" fontId="3" fillId="7" borderId="29" xfId="0" applyFont="1" applyFill="1" applyBorder="1" applyAlignment="1" applyProtection="1">
      <alignment horizontal="center" vertical="center" wrapText="1"/>
      <protection hidden="1"/>
    </xf>
    <xf numFmtId="0" fontId="3" fillId="7" borderId="30" xfId="0" applyFont="1" applyFill="1" applyBorder="1" applyAlignment="1" applyProtection="1">
      <alignment horizontal="center" vertical="center" wrapText="1"/>
      <protection hidden="1"/>
    </xf>
    <xf numFmtId="169" fontId="6" fillId="5" borderId="11" xfId="0" applyNumberFormat="1" applyFont="1" applyFill="1" applyBorder="1" applyAlignment="1" applyProtection="1">
      <alignment horizontal="left" vertical="center"/>
      <protection hidden="1"/>
    </xf>
    <xf numFmtId="169" fontId="6" fillId="5" borderId="7" xfId="0" applyNumberFormat="1" applyFont="1" applyFill="1" applyBorder="1" applyAlignment="1" applyProtection="1">
      <alignment horizontal="left" vertical="center"/>
      <protection hidden="1"/>
    </xf>
    <xf numFmtId="169" fontId="6" fillId="5" borderId="12" xfId="0" applyNumberFormat="1" applyFont="1" applyFill="1" applyBorder="1" applyAlignment="1" applyProtection="1">
      <alignment horizontal="left" vertical="center"/>
      <protection hidden="1"/>
    </xf>
    <xf numFmtId="0" fontId="6" fillId="0" borderId="3" xfId="0" applyFont="1" applyBorder="1" applyAlignment="1" applyProtection="1">
      <alignment vertical="center" wrapText="1"/>
      <protection hidden="1"/>
    </xf>
    <xf numFmtId="0" fontId="0" fillId="0" borderId="3" xfId="0" applyBorder="1" applyAlignment="1" applyProtection="1">
      <alignment vertical="center"/>
      <protection hidden="1"/>
    </xf>
    <xf numFmtId="0" fontId="6" fillId="0" borderId="4" xfId="0" applyFont="1" applyBorder="1" applyAlignment="1" applyProtection="1">
      <alignment vertical="center" wrapText="1"/>
      <protection hidden="1"/>
    </xf>
    <xf numFmtId="0" fontId="6" fillId="0" borderId="5" xfId="0" applyFont="1" applyBorder="1" applyAlignment="1" applyProtection="1">
      <alignment vertical="center" wrapText="1"/>
      <protection hidden="1"/>
    </xf>
    <xf numFmtId="0" fontId="8" fillId="0" borderId="4" xfId="0" applyFont="1" applyBorder="1" applyProtection="1">
      <protection hidden="1"/>
    </xf>
    <xf numFmtId="0" fontId="8" fillId="0" borderId="5" xfId="0" applyFont="1" applyBorder="1" applyProtection="1">
      <protection hidden="1"/>
    </xf>
    <xf numFmtId="0" fontId="8" fillId="0" borderId="6" xfId="0" applyFont="1" applyBorder="1" applyProtection="1">
      <protection hidden="1"/>
    </xf>
    <xf numFmtId="169" fontId="6" fillId="5" borderId="9" xfId="0" applyNumberFormat="1" applyFont="1" applyFill="1" applyBorder="1" applyAlignment="1" applyProtection="1">
      <alignment horizontal="left" vertical="center"/>
      <protection hidden="1"/>
    </xf>
    <xf numFmtId="169" fontId="6" fillId="5" borderId="0" xfId="0" applyNumberFormat="1" applyFont="1" applyFill="1" applyAlignment="1" applyProtection="1">
      <alignment horizontal="left" vertical="center"/>
      <protection hidden="1"/>
    </xf>
    <xf numFmtId="169" fontId="6" fillId="5" borderId="10" xfId="0" applyNumberFormat="1" applyFont="1" applyFill="1" applyBorder="1" applyAlignment="1" applyProtection="1">
      <alignment horizontal="left" vertical="center"/>
      <protection hidden="1"/>
    </xf>
    <xf numFmtId="0" fontId="8" fillId="0" borderId="3" xfId="0" applyFont="1" applyBorder="1" applyProtection="1">
      <protection hidden="1"/>
    </xf>
    <xf numFmtId="0" fontId="6" fillId="0" borderId="0" xfId="0" applyFont="1" applyAlignment="1" applyProtection="1">
      <alignment vertical="center"/>
      <protection hidden="1"/>
    </xf>
    <xf numFmtId="0" fontId="0" fillId="0" borderId="3" xfId="0" applyBorder="1" applyProtection="1">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0" fillId="0" borderId="3" xfId="0" applyBorder="1" applyAlignment="1" applyProtection="1">
      <alignment vertical="center" shrinkToFit="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protection hidden="1"/>
    </xf>
    <xf numFmtId="3" fontId="0" fillId="0" borderId="3" xfId="0" applyNumberFormat="1" applyBorder="1" applyAlignment="1" applyProtection="1">
      <alignment vertical="center"/>
      <protection hidden="1"/>
    </xf>
    <xf numFmtId="0" fontId="0" fillId="0" borderId="0" xfId="0" applyProtection="1">
      <protection hidden="1"/>
    </xf>
    <xf numFmtId="0" fontId="7" fillId="0" borderId="0" xfId="0" applyFont="1" applyAlignment="1" applyProtection="1">
      <alignment vertical="center"/>
      <protection hidden="1"/>
    </xf>
    <xf numFmtId="0" fontId="0" fillId="0" borderId="18" xfId="0" applyBorder="1" applyProtection="1">
      <protection hidden="1"/>
    </xf>
    <xf numFmtId="0" fontId="0" fillId="0" borderId="19" xfId="0" applyBorder="1" applyProtection="1">
      <protection hidden="1"/>
    </xf>
    <xf numFmtId="0" fontId="0" fillId="0" borderId="20" xfId="0" applyBorder="1" applyProtection="1">
      <protection hidden="1"/>
    </xf>
    <xf numFmtId="20" fontId="0" fillId="0" borderId="22" xfId="0" applyNumberFormat="1" applyBorder="1" applyProtection="1">
      <protection hidden="1"/>
    </xf>
    <xf numFmtId="20" fontId="0" fillId="0" borderId="21" xfId="0" applyNumberFormat="1" applyBorder="1" applyProtection="1">
      <protection hidden="1"/>
    </xf>
    <xf numFmtId="20" fontId="0" fillId="0" borderId="23" xfId="0" applyNumberFormat="1" applyBorder="1" applyProtection="1">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22" xfId="0" applyBorder="1" applyAlignment="1" applyProtection="1">
      <alignment vertical="center"/>
      <protection hidden="1"/>
    </xf>
    <xf numFmtId="0" fontId="0" fillId="0" borderId="21" xfId="0" applyBorder="1" applyAlignment="1" applyProtection="1">
      <alignment vertical="center"/>
      <protection hidden="1"/>
    </xf>
    <xf numFmtId="0" fontId="0" fillId="0" borderId="23" xfId="0" applyBorder="1" applyAlignment="1" applyProtection="1">
      <alignment vertical="center"/>
      <protection hidden="1"/>
    </xf>
    <xf numFmtId="0" fontId="0" fillId="0" borderId="2" xfId="0" applyBorder="1" applyProtection="1">
      <protection hidden="1"/>
    </xf>
  </cellXfs>
  <cellStyles count="3">
    <cellStyle name="Normal" xfId="0" builtinId="0"/>
    <cellStyle name="Porcentagem" xfId="2" builtinId="5"/>
    <cellStyle name="Vírgula" xfId="1" builtinId="3"/>
  </cellStyles>
  <dxfs count="17">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
      <fill>
        <patternFill>
          <bgColor rgb="FFFFFF00"/>
        </patternFill>
      </fill>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s>
  <tableStyles count="0" defaultTableStyle="TableStyleMedium2" defaultPivotStyle="PivotStyleLight16"/>
  <colors>
    <mruColors>
      <color rgb="FFB9CFD9"/>
      <color rgb="FF213A8F"/>
      <color rgb="FFB8C5EE"/>
      <color rgb="FFE52621"/>
      <color rgb="FFFFFFFF"/>
      <color rgb="FF010101"/>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BENFEITORIAS'!$Z$252</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BENFEITORIAS'!$Z$253:$Z$255</c:f>
              <c:numCache>
                <c:formatCode>#,##0.00_ ;[Red]\-#,##0.00\ </c:formatCode>
                <c:ptCount val="3"/>
                <c:pt idx="0">
                  <c:v>511.20676691729341</c:v>
                </c:pt>
                <c:pt idx="1">
                  <c:v>511.20676691729341</c:v>
                </c:pt>
                <c:pt idx="2">
                  <c:v>511.20676691729341</c:v>
                </c:pt>
              </c:numCache>
            </c:numRef>
          </c:val>
          <c:smooth val="0"/>
          <c:extLst>
            <c:ext xmlns:c16="http://schemas.microsoft.com/office/drawing/2014/chart" uri="{C3380CC4-5D6E-409C-BE32-E72D297353CC}">
              <c16:uniqueId val="{00000000-1443-4631-873E-3E5C214F64BD}"/>
            </c:ext>
          </c:extLst>
        </c:ser>
        <c:ser>
          <c:idx val="3"/>
          <c:order val="2"/>
          <c:tx>
            <c:strRef>
              <c:f>'TERRENO E BENFEITORIAS'!$X$252</c:f>
              <c:strCache>
                <c:ptCount val="1"/>
                <c:pt idx="0">
                  <c:v>Limite inferior</c:v>
                </c:pt>
              </c:strCache>
            </c:strRef>
          </c:tx>
          <c:spPr>
            <a:ln w="12700" cap="sq">
              <a:solidFill>
                <a:srgbClr val="FF0000"/>
              </a:solidFill>
              <a:round/>
            </a:ln>
            <a:effectLst/>
          </c:spPr>
          <c:marker>
            <c:symbol val="none"/>
          </c:marker>
          <c:val>
            <c:numRef>
              <c:f>'TERRENO E BENFEITORIAS'!$X$253:$X$255</c:f>
              <c:numCache>
                <c:formatCode>#,##0.00_ ;[Red]\-#,##0.00\ </c:formatCode>
                <c:ptCount val="3"/>
                <c:pt idx="0">
                  <c:v>458.34893438381999</c:v>
                </c:pt>
                <c:pt idx="1">
                  <c:v>458.34893438381999</c:v>
                </c:pt>
                <c:pt idx="2">
                  <c:v>458.34893438381999</c:v>
                </c:pt>
              </c:numCache>
            </c:numRef>
          </c:val>
          <c:smooth val="0"/>
          <c:extLst>
            <c:ext xmlns:c16="http://schemas.microsoft.com/office/drawing/2014/chart" uri="{C3380CC4-5D6E-409C-BE32-E72D297353CC}">
              <c16:uniqueId val="{00000002-1443-4631-873E-3E5C214F64BD}"/>
            </c:ext>
          </c:extLst>
        </c:ser>
        <c:ser>
          <c:idx val="2"/>
          <c:order val="3"/>
          <c:tx>
            <c:strRef>
              <c:f>'TERRENO E BENFEITORIAS'!$Y$252</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BENFEITORIAS'!$Y$253:$Y$255</c:f>
              <c:numCache>
                <c:formatCode>#,##0.00_ ;[Red]\-#,##0.00\ </c:formatCode>
                <c:ptCount val="3"/>
                <c:pt idx="0">
                  <c:v>564.06459945076688</c:v>
                </c:pt>
                <c:pt idx="1">
                  <c:v>564.06459945076688</c:v>
                </c:pt>
                <c:pt idx="2">
                  <c:v>564.06459945076688</c:v>
                </c:pt>
              </c:numCache>
            </c:numRef>
          </c:val>
          <c:smooth val="0"/>
          <c:extLst>
            <c:ext xmlns:c16="http://schemas.microsoft.com/office/drawing/2014/chart" uri="{C3380CC4-5D6E-409C-BE32-E72D297353CC}">
              <c16:uniqueId val="{00000001-1443-4631-873E-3E5C214F64BD}"/>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BENFEITORIAS'!$C$232</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BENFEITORIAS'!$C$233:$C$235</c:f>
              <c:numCache>
                <c:formatCode>#,##0.00_ ;[Red]\-#,##0.00\ </c:formatCode>
                <c:ptCount val="3"/>
                <c:pt idx="0">
                  <c:v>472.50000000000017</c:v>
                </c:pt>
                <c:pt idx="1">
                  <c:v>548.12030075187988</c:v>
                </c:pt>
                <c:pt idx="2">
                  <c:v>513.00000000000023</c:v>
                </c:pt>
              </c:numCache>
            </c:numRef>
          </c:yVal>
          <c:smooth val="0"/>
          <c:extLst>
            <c:ext xmlns:c16="http://schemas.microsoft.com/office/drawing/2014/chart" uri="{C3380CC4-5D6E-409C-BE32-E72D297353CC}">
              <c16:uniqueId val="{00000003-1443-4631-873E-3E5C214F64BD}"/>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BENFEITORIAS'!$Z$213</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BENFEITORIAS'!$Z$214:$Z$216</c:f>
              <c:numCache>
                <c:formatCode>#,##0.00_ ;[Red]\-#,##0.00\ </c:formatCode>
                <c:ptCount val="3"/>
                <c:pt idx="0">
                  <c:v>511.20676691729341</c:v>
                </c:pt>
                <c:pt idx="1">
                  <c:v>511.20676691729341</c:v>
                </c:pt>
                <c:pt idx="2">
                  <c:v>511.20676691729341</c:v>
                </c:pt>
              </c:numCache>
            </c:numRef>
          </c:val>
          <c:smooth val="0"/>
          <c:extLst>
            <c:ext xmlns:c16="http://schemas.microsoft.com/office/drawing/2014/chart" uri="{C3380CC4-5D6E-409C-BE32-E72D297353CC}">
              <c16:uniqueId val="{00000000-9EAB-4EFA-A35A-0D72ED0D5B29}"/>
            </c:ext>
          </c:extLst>
        </c:ser>
        <c:ser>
          <c:idx val="1"/>
          <c:order val="2"/>
          <c:tx>
            <c:strRef>
              <c:f>'TERRENO E BENFEITORIAS'!$X$213</c:f>
              <c:strCache>
                <c:ptCount val="1"/>
                <c:pt idx="0">
                  <c:v>Limite inferior</c:v>
                </c:pt>
              </c:strCache>
            </c:strRef>
          </c:tx>
          <c:spPr>
            <a:ln w="12700" cap="sq">
              <a:solidFill>
                <a:srgbClr val="FF0000"/>
              </a:solidFill>
              <a:round/>
            </a:ln>
            <a:effectLst/>
          </c:spPr>
          <c:marker>
            <c:symbol val="none"/>
          </c:marker>
          <c:val>
            <c:numRef>
              <c:f>'TERRENO E BENFEITORIAS'!$X$214:$X$216</c:f>
              <c:numCache>
                <c:formatCode>#,##0.00_ ;[Red]\-#,##0.00\ </c:formatCode>
                <c:ptCount val="3"/>
                <c:pt idx="0">
                  <c:v>458.8714616588187</c:v>
                </c:pt>
                <c:pt idx="1">
                  <c:v>458.8714616588187</c:v>
                </c:pt>
                <c:pt idx="2">
                  <c:v>458.8714616588187</c:v>
                </c:pt>
              </c:numCache>
            </c:numRef>
          </c:val>
          <c:smooth val="0"/>
          <c:extLst>
            <c:ext xmlns:c16="http://schemas.microsoft.com/office/drawing/2014/chart" uri="{C3380CC4-5D6E-409C-BE32-E72D297353CC}">
              <c16:uniqueId val="{00000001-9EAB-4EFA-A35A-0D72ED0D5B29}"/>
            </c:ext>
          </c:extLst>
        </c:ser>
        <c:ser>
          <c:idx val="3"/>
          <c:order val="3"/>
          <c:tx>
            <c:strRef>
              <c:f>'TERRENO E BENFEITORIAS'!$Y$213</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BENFEITORIAS'!$Y$214:$Y$216</c:f>
              <c:numCache>
                <c:formatCode>#,##0.00_ ;[Red]\-#,##0.00\ </c:formatCode>
                <c:ptCount val="3"/>
                <c:pt idx="0">
                  <c:v>563.54207217576811</c:v>
                </c:pt>
                <c:pt idx="1">
                  <c:v>563.54207217576811</c:v>
                </c:pt>
                <c:pt idx="2">
                  <c:v>563.54207217576811</c:v>
                </c:pt>
              </c:numCache>
            </c:numRef>
          </c:val>
          <c:smooth val="0"/>
          <c:extLst>
            <c:ext xmlns:c16="http://schemas.microsoft.com/office/drawing/2014/chart" uri="{C3380CC4-5D6E-409C-BE32-E72D297353CC}">
              <c16:uniqueId val="{00000002-9EAB-4EFA-A35A-0D72ED0D5B29}"/>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BENFEITORIAS'!$C$196</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BENFEITORIAS'!$C$197:$C$199</c:f>
              <c:numCache>
                <c:formatCode>#,##0.00_ ;[Red]\-#,##0.00\ </c:formatCode>
                <c:ptCount val="3"/>
                <c:pt idx="0">
                  <c:v>472.50000000000017</c:v>
                </c:pt>
                <c:pt idx="1">
                  <c:v>548.12030075187988</c:v>
                </c:pt>
                <c:pt idx="2">
                  <c:v>513.00000000000023</c:v>
                </c:pt>
              </c:numCache>
            </c:numRef>
          </c:yVal>
          <c:smooth val="0"/>
          <c:extLst>
            <c:ext xmlns:c16="http://schemas.microsoft.com/office/drawing/2014/chart" uri="{C3380CC4-5D6E-409C-BE32-E72D297353CC}">
              <c16:uniqueId val="{00000003-9EAB-4EFA-A35A-0D72ED0D5B29}"/>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BENFEITORIAS'!$Z$178</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BENFEITORIAS'!$Z$179:$Z$181</c:f>
              <c:numCache>
                <c:formatCode>#,##0.00_ ;[Red]\-#,##0.00\ </c:formatCode>
                <c:ptCount val="3"/>
                <c:pt idx="0">
                  <c:v>511.20676691729341</c:v>
                </c:pt>
                <c:pt idx="1">
                  <c:v>511.20676691729341</c:v>
                </c:pt>
                <c:pt idx="2">
                  <c:v>511.20676691729341</c:v>
                </c:pt>
              </c:numCache>
            </c:numRef>
          </c:val>
          <c:smooth val="0"/>
          <c:extLst>
            <c:ext xmlns:c16="http://schemas.microsoft.com/office/drawing/2014/chart" uri="{C3380CC4-5D6E-409C-BE32-E72D297353CC}">
              <c16:uniqueId val="{00000000-AF5E-4F53-A392-A7B36898D71B}"/>
            </c:ext>
          </c:extLst>
        </c:ser>
        <c:ser>
          <c:idx val="2"/>
          <c:order val="2"/>
          <c:tx>
            <c:strRef>
              <c:f>'TERRENO E BENFEITORIAS'!$Y$178</c:f>
              <c:strCache>
                <c:ptCount val="1"/>
                <c:pt idx="0">
                  <c:v>Limite superior</c:v>
                </c:pt>
              </c:strCache>
            </c:strRef>
          </c:tx>
          <c:spPr>
            <a:ln w="12700" cap="sq">
              <a:solidFill>
                <a:srgbClr val="0070C0"/>
              </a:solidFill>
              <a:prstDash val="solid"/>
              <a:round/>
            </a:ln>
            <a:effectLst/>
          </c:spPr>
          <c:marker>
            <c:symbol val="none"/>
          </c:marker>
          <c:val>
            <c:numRef>
              <c:f>'TERRENO E BENFEITORIAS'!$Y$179:$Y$181</c:f>
              <c:numCache>
                <c:formatCode>#,##0.00_ ;[Red]\-#,##0.00\ </c:formatCode>
                <c:ptCount val="3"/>
                <c:pt idx="0">
                  <c:v>664.56879699248145</c:v>
                </c:pt>
                <c:pt idx="1">
                  <c:v>664.56879699248145</c:v>
                </c:pt>
                <c:pt idx="2">
                  <c:v>664.56879699248145</c:v>
                </c:pt>
              </c:numCache>
            </c:numRef>
          </c:val>
          <c:smooth val="0"/>
          <c:extLst>
            <c:ext xmlns:c16="http://schemas.microsoft.com/office/drawing/2014/chart" uri="{C3380CC4-5D6E-409C-BE32-E72D297353CC}">
              <c16:uniqueId val="{00000001-AF5E-4F53-A392-A7B36898D71B}"/>
            </c:ext>
          </c:extLst>
        </c:ser>
        <c:ser>
          <c:idx val="1"/>
          <c:order val="3"/>
          <c:tx>
            <c:strRef>
              <c:f>'TERRENO E BENFEITORIAS'!$X$178</c:f>
              <c:strCache>
                <c:ptCount val="1"/>
                <c:pt idx="0">
                  <c:v>Limite inferior</c:v>
                </c:pt>
              </c:strCache>
            </c:strRef>
          </c:tx>
          <c:spPr>
            <a:ln w="12700" cap="sq">
              <a:solidFill>
                <a:srgbClr val="FF0000"/>
              </a:solidFill>
              <a:round/>
            </a:ln>
            <a:effectLst/>
          </c:spPr>
          <c:marker>
            <c:symbol val="none"/>
          </c:marker>
          <c:val>
            <c:numRef>
              <c:f>'TERRENO E BENFEITORIAS'!$X$179:$X$181</c:f>
              <c:numCache>
                <c:formatCode>#,##0.00_ ;[Red]\-#,##0.00\ </c:formatCode>
                <c:ptCount val="3"/>
                <c:pt idx="0">
                  <c:v>357.84473684210536</c:v>
                </c:pt>
                <c:pt idx="1">
                  <c:v>357.84473684210536</c:v>
                </c:pt>
                <c:pt idx="2">
                  <c:v>357.84473684210536</c:v>
                </c:pt>
              </c:numCache>
            </c:numRef>
          </c:val>
          <c:smooth val="0"/>
          <c:extLst>
            <c:ext xmlns:c16="http://schemas.microsoft.com/office/drawing/2014/chart" uri="{C3380CC4-5D6E-409C-BE32-E72D297353CC}">
              <c16:uniqueId val="{00000002-AF5E-4F53-A392-A7B36898D71B}"/>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BENFEITORIAS'!$C$163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BENFEITORIAS'!$C$164:$C$166</c:f>
              <c:numCache>
                <c:formatCode>#,##0.00_ ;[Red]\-#,##0.00\ </c:formatCode>
                <c:ptCount val="3"/>
                <c:pt idx="0">
                  <c:v>472.50000000000017</c:v>
                </c:pt>
                <c:pt idx="1">
                  <c:v>548.12030075187988</c:v>
                </c:pt>
                <c:pt idx="2">
                  <c:v>513.00000000000023</c:v>
                </c:pt>
              </c:numCache>
            </c:numRef>
          </c:yVal>
          <c:smooth val="0"/>
          <c:extLst>
            <c:ext xmlns:c16="http://schemas.microsoft.com/office/drawing/2014/chart" uri="{C3380CC4-5D6E-409C-BE32-E72D297353CC}">
              <c16:uniqueId val="{00000003-AF5E-4F53-A392-A7B36898D71B}"/>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elementos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Elementos da amostra</c:v>
          </c:tx>
          <c:spPr>
            <a:solidFill>
              <a:schemeClr val="accent1"/>
            </a:solidFill>
            <a:ln>
              <a:noFill/>
            </a:ln>
            <a:effectLst/>
          </c:spPr>
          <c:invertIfNegative val="0"/>
          <c:val>
            <c:numRef>
              <c:f>'TERRENO E BENFEITORIAS'!$K$44:$K$46</c:f>
              <c:numCache>
                <c:formatCode>#,##0.00_ ;[Red]\-#,##0.00\ </c:formatCode>
                <c:ptCount val="3"/>
                <c:pt idx="0">
                  <c:v>1</c:v>
                </c:pt>
                <c:pt idx="1">
                  <c:v>0.95000000000000018</c:v>
                </c:pt>
                <c:pt idx="2">
                  <c:v>1</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elementos</a:t>
            </a:r>
            <a:r>
              <a:rPr lang="en-US" sz="1000" b="1" baseline="0"/>
              <a:t> </a:t>
            </a:r>
            <a:r>
              <a:rPr lang="en-US" sz="1000" b="1"/>
              <a:t>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Elementos da amostra</c:v>
          </c:tx>
          <c:spPr>
            <a:solidFill>
              <a:schemeClr val="accent1"/>
            </a:solidFill>
            <a:ln>
              <a:noFill/>
            </a:ln>
            <a:effectLst/>
          </c:spPr>
          <c:invertIfNegative val="0"/>
          <c:cat>
            <c:strLit>
              <c:ptCount val="3"/>
              <c:pt idx="0">
                <c:v>1</c:v>
              </c:pt>
              <c:pt idx="1">
                <c:v>2</c:v>
              </c:pt>
              <c:pt idx="2">
                <c:v>3</c:v>
              </c:pt>
              <c:pt idx="3">
                <c:v>4</c:v>
              </c:pt>
              <c:pt idx="4">
                <c:v>5</c:v>
              </c:pt>
              <c:pt idx="5">
                <c:v>6</c:v>
              </c:pt>
              <c:pt idx="6">
                <c:v>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'TERRENO E BENFEITORIAS'!$K$44:$K$46</c15:sqref>
                  </c15:fullRef>
                </c:ext>
              </c:extLst>
              <c:f>'TERRENO E BENFEITORIAS'!$K$44:$K$46</c:f>
              <c:numCache>
                <c:formatCode>#,##0.00_ ;[Red]\-#,##0.00\ </c:formatCode>
                <c:ptCount val="3"/>
                <c:pt idx="0">
                  <c:v>1</c:v>
                </c:pt>
                <c:pt idx="1">
                  <c:v>0.95000000000000018</c:v>
                </c:pt>
                <c:pt idx="2">
                  <c:v>1</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cat>
            <c:strLit>
              <c:ptCount val="3"/>
              <c:pt idx="0">
                <c:v>1</c:v>
              </c:pt>
              <c:pt idx="1">
                <c:v>2</c:v>
              </c:pt>
              <c:pt idx="2">
                <c:v>3</c:v>
              </c:pt>
              <c:extLst>
                <c:ext xmlns:c15="http://schemas.microsoft.com/office/drawing/2012/chart" uri="{02D57815-91ED-43cb-92C2-25804820EDAC}">
                  <c15:autoCat val="1"/>
                </c:ext>
              </c:extLst>
            </c:strLit>
          </c:cat>
          <c:val>
            <c:numRef>
              <c:extLst>
                <c:ext xmlns:c16="http://schemas.microsoft.com/office/drawing/2014/chart" uri="{F5D05F6E-A05E-4728-AFD3-386EB277150F}">
                  <c16:filteredLitCache>
                    <c:numCache>
                      <c:formatCode>General</c:formatCode>
                      <c:ptCount val="4"/>
                      <c:pt idx="3">
                        <c:v>1</c:v>
                      </c:pt>
                      <c:pt idx="4">
                        <c:v>1</c:v>
                      </c:pt>
                      <c:pt idx="5">
                        <c:v>1</c:v>
                      </c:pt>
                      <c:pt idx="6">
                        <c:v>1</c:v>
                      </c:pt>
                    </c:numCache>
                  </c16:filteredLitCache>
                </c:ext>
              </c:extLst>
              <c:f/>
              <c:numCache>
                <c:formatCode>General</c:formatCode>
                <c:ptCount val="3"/>
                <c:pt idx="0">
                  <c:v>1</c:v>
                </c:pt>
                <c:pt idx="1">
                  <c:v>1</c:v>
                </c:pt>
                <c:pt idx="2">
                  <c:v>1</c:v>
                </c:pt>
              </c:numCache>
            </c:numRef>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elementos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Elementos da amostra</c:v>
          </c:tx>
          <c:spPr>
            <a:solidFill>
              <a:schemeClr val="accent1"/>
            </a:solidFill>
            <a:ln>
              <a:noFill/>
            </a:ln>
            <a:effectLst/>
          </c:spPr>
          <c:invertIfNegative val="0"/>
          <c:val>
            <c:numLit>
              <c:formatCode>General</c:formatCode>
              <c:ptCount val="3"/>
              <c:pt idx="0">
                <c:v>1</c:v>
              </c:pt>
              <c:pt idx="1">
                <c:v>1</c:v>
              </c:pt>
              <c:pt idx="2">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3"/>
              <c:pt idx="0">
                <c:v>1</c:v>
              </c:pt>
              <c:pt idx="1">
                <c:v>1</c:v>
              </c:pt>
              <c:pt idx="2">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BENFEITORIAS'!$M$44:$M$46</c:f>
              <c:numCache>
                <c:formatCode>#,##0.00_ ;[Red]\-#,##0.00\ </c:formatCode>
                <c:ptCount val="3"/>
                <c:pt idx="0">
                  <c:v>0.90000000000000036</c:v>
                </c:pt>
                <c:pt idx="1">
                  <c:v>0.90000000000000036</c:v>
                </c:pt>
                <c:pt idx="2">
                  <c:v>0.90000000000000036</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3"/>
              <c:pt idx="0">
                <c:v>1</c:v>
              </c:pt>
              <c:pt idx="1">
                <c:v>1</c:v>
              </c:pt>
              <c:pt idx="2">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pt-BR" sz="1050" b="1"/>
              <a:t>Proporções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tx>
            <c:v>Proporções</c:v>
          </c:tx>
          <c:spPr>
            <a:ln w="0">
              <a:noFill/>
            </a:ln>
          </c:spPr>
          <c:dPt>
            <c:idx val="0"/>
            <c:bubble3D val="0"/>
            <c:spPr>
              <a:solidFill>
                <a:srgbClr val="156082"/>
              </a:solidFill>
              <a:ln w="0">
                <a:noFill/>
              </a:ln>
              <a:effectLst/>
            </c:spPr>
            <c:extLst>
              <c:ext xmlns:c16="http://schemas.microsoft.com/office/drawing/2014/chart" uri="{C3380CC4-5D6E-409C-BE32-E72D297353CC}">
                <c16:uniqueId val="{00000001-EF66-494A-9BAB-511415BB6FC3}"/>
              </c:ext>
            </c:extLst>
          </c:dPt>
          <c:dPt>
            <c:idx val="1"/>
            <c:bubble3D val="0"/>
            <c:spPr>
              <a:solidFill>
                <a:srgbClr val="B9CFD9"/>
              </a:solidFill>
              <a:ln w="0">
                <a:noFill/>
              </a:ln>
              <a:effectLst/>
            </c:spPr>
            <c:extLst>
              <c:ext xmlns:c16="http://schemas.microsoft.com/office/drawing/2014/chart" uri="{C3380CC4-5D6E-409C-BE32-E72D297353CC}">
                <c16:uniqueId val="{00000003-EF66-494A-9BAB-511415BB6FC3}"/>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Terreno</c:v>
              </c:pt>
              <c:pt idx="1">
                <c:v>Edificações</c:v>
              </c:pt>
            </c:strLit>
          </c:cat>
          <c:val>
            <c:numRef>
              <c:f>'TERRENO E BENFEITORIAS'!$X$409:$X$410</c:f>
              <c:numCache>
                <c:formatCode>0.00%</c:formatCode>
                <c:ptCount val="2"/>
                <c:pt idx="0">
                  <c:v>0.36274051244521144</c:v>
                </c:pt>
                <c:pt idx="1">
                  <c:v>0.63725948755478845</c:v>
                </c:pt>
              </c:numCache>
            </c:numRef>
          </c:val>
          <c:extLst>
            <c:ext xmlns:c16="http://schemas.microsoft.com/office/drawing/2014/chart" uri="{C3380CC4-5D6E-409C-BE32-E72D297353CC}">
              <c16:uniqueId val="{00000004-EF66-494A-9BAB-511415BB6FC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a:outerShdw blurRad="50800" dist="38100" dir="2700000" algn="tl" rotWithShape="0">
        <a:prstClr val="black">
          <a:alpha val="40000"/>
        </a:prstClr>
      </a:outerShdw>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chart" Target="../charts/chart8.xml"/><Relationship Id="rId5" Type="http://schemas.openxmlformats.org/officeDocument/2006/relationships/chart" Target="../charts/chart4.xml"/><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250</xdr:row>
      <xdr:rowOff>247649</xdr:rowOff>
    </xdr:from>
    <xdr:to>
      <xdr:col>14</xdr:col>
      <xdr:colOff>206925</xdr:colOff>
      <xdr:row>265</xdr:row>
      <xdr:rowOff>132899</xdr:rowOff>
    </xdr:to>
    <xdr:graphicFrame macro="">
      <xdr:nvGraphicFramePr>
        <xdr:cNvPr id="10" name="Gráfico 9">
          <a:extLst>
            <a:ext uri="{FF2B5EF4-FFF2-40B4-BE49-F238E27FC236}">
              <a16:creationId xmlns:a16="http://schemas.microsoft.com/office/drawing/2014/main" id="{4562C375-45DF-4FB0-87CE-1C98A5B2F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212</xdr:row>
      <xdr:rowOff>828</xdr:rowOff>
    </xdr:from>
    <xdr:to>
      <xdr:col>14</xdr:col>
      <xdr:colOff>206925</xdr:colOff>
      <xdr:row>226</xdr:row>
      <xdr:rowOff>133728</xdr:rowOff>
    </xdr:to>
    <xdr:graphicFrame macro="">
      <xdr:nvGraphicFramePr>
        <xdr:cNvPr id="2" name="Gráfico 1">
          <a:extLst>
            <a:ext uri="{FF2B5EF4-FFF2-40B4-BE49-F238E27FC236}">
              <a16:creationId xmlns:a16="http://schemas.microsoft.com/office/drawing/2014/main" id="{212CD043-942F-40D2-9E6A-A0D9A4A90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175</xdr:row>
      <xdr:rowOff>247649</xdr:rowOff>
    </xdr:from>
    <xdr:to>
      <xdr:col>14</xdr:col>
      <xdr:colOff>206925</xdr:colOff>
      <xdr:row>190</xdr:row>
      <xdr:rowOff>132899</xdr:rowOff>
    </xdr:to>
    <xdr:graphicFrame macro="">
      <xdr:nvGraphicFramePr>
        <xdr:cNvPr id="4" name="Gráfico 3">
          <a:extLst>
            <a:ext uri="{FF2B5EF4-FFF2-40B4-BE49-F238E27FC236}">
              <a16:creationId xmlns:a16="http://schemas.microsoft.com/office/drawing/2014/main" id="{E024E44B-6B68-43D1-8AB6-F334BF366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28576</xdr:colOff>
      <xdr:row>0</xdr:row>
      <xdr:rowOff>38101</xdr:rowOff>
    </xdr:from>
    <xdr:to>
      <xdr:col>14</xdr:col>
      <xdr:colOff>390526</xdr:colOff>
      <xdr:row>0</xdr:row>
      <xdr:rowOff>1552576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576" y="38101"/>
          <a:ext cx="7429500" cy="1514475"/>
        </a:xfrm>
        <a:prstGeom prst="rect">
          <a:avLst/>
        </a:prstGeom>
      </xdr:spPr>
    </xdr:pic>
    <xdr:clientData/>
  </xdr:twoCellAnchor>
  <xdr:twoCellAnchor editAs="oneCell">
    <xdr:from>
      <xdr:col>3</xdr:col>
      <xdr:colOff>0</xdr:colOff>
      <xdr:row>54</xdr:row>
      <xdr:rowOff>0</xdr:rowOff>
    </xdr:from>
    <xdr:to>
      <xdr:col>14</xdr:col>
      <xdr:colOff>206925</xdr:colOff>
      <xdr:row>68</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xdr:col>
      <xdr:colOff>0</xdr:colOff>
      <xdr:row>70</xdr:row>
      <xdr:rowOff>0</xdr:rowOff>
    </xdr:from>
    <xdr:to>
      <xdr:col>14</xdr:col>
      <xdr:colOff>206925</xdr:colOff>
      <xdr:row>84</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88</xdr:row>
      <xdr:rowOff>0</xdr:rowOff>
    </xdr:from>
    <xdr:to>
      <xdr:col>14</xdr:col>
      <xdr:colOff>206925</xdr:colOff>
      <xdr:row>102</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xdr:col>
      <xdr:colOff>0</xdr:colOff>
      <xdr:row>106</xdr:row>
      <xdr:rowOff>0</xdr:rowOff>
    </xdr:from>
    <xdr:to>
      <xdr:col>14</xdr:col>
      <xdr:colOff>206925</xdr:colOff>
      <xdr:row>120</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5</xdr:colOff>
      <xdr:row>367</xdr:row>
      <xdr:rowOff>0</xdr:rowOff>
    </xdr:from>
    <xdr:to>
      <xdr:col>8</xdr:col>
      <xdr:colOff>320346</xdr:colOff>
      <xdr:row>377</xdr:row>
      <xdr:rowOff>43499</xdr:rowOff>
    </xdr:to>
    <xdr:pic>
      <xdr:nvPicPr>
        <xdr:cNvPr id="13" name="Imagem 12"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3B63FF5B-3FA9-464E-919C-0CEBA30960C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04830" y="95088075"/>
          <a:ext cx="3854116" cy="2519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380</xdr:row>
      <xdr:rowOff>0</xdr:rowOff>
    </xdr:from>
    <xdr:to>
      <xdr:col>2</xdr:col>
      <xdr:colOff>215937</xdr:colOff>
      <xdr:row>381</xdr:row>
      <xdr:rowOff>63588</xdr:rowOff>
    </xdr:to>
    <xdr:pic>
      <xdr:nvPicPr>
        <xdr:cNvPr id="14" name="Imagem 13" descr="  k_d = -d \\ f_d = 1 + k_d ">
          <a:extLst>
            <a:ext uri="{FF2B5EF4-FFF2-40B4-BE49-F238E27FC236}">
              <a16:creationId xmlns:a16="http://schemas.microsoft.com/office/drawing/2014/main" id="{50A8F626-6116-40B2-9E60-23DBB869F9E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04825" y="98307525"/>
          <a:ext cx="720762" cy="311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414</xdr:row>
      <xdr:rowOff>0</xdr:rowOff>
    </xdr:from>
    <xdr:to>
      <xdr:col>11</xdr:col>
      <xdr:colOff>192095</xdr:colOff>
      <xdr:row>424</xdr:row>
      <xdr:rowOff>208846</xdr:rowOff>
    </xdr:to>
    <xdr:graphicFrame macro="">
      <xdr:nvGraphicFramePr>
        <xdr:cNvPr id="15" name="Gráfico 14">
          <a:extLst>
            <a:ext uri="{FF2B5EF4-FFF2-40B4-BE49-F238E27FC236}">
              <a16:creationId xmlns:a16="http://schemas.microsoft.com/office/drawing/2014/main" id="{BEEFC317-4DAB-4EEA-B45A-56F4C850418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O468"/>
  <sheetViews>
    <sheetView tabSelected="1" zoomScaleNormal="100" workbookViewId="0"/>
  </sheetViews>
  <sheetFormatPr defaultColWidth="4.75" defaultRowHeight="20.100000000000001" customHeight="1" x14ac:dyDescent="0.25"/>
  <cols>
    <col min="1" max="19" width="6.625" style="30" customWidth="1"/>
    <col min="20" max="22" width="25.625" style="105" customWidth="1"/>
    <col min="23" max="25" width="20.625" style="23" customWidth="1"/>
    <col min="26" max="129" width="4.75" style="23" customWidth="1"/>
    <col min="130" max="16384" width="4.75" style="23"/>
  </cols>
  <sheetData>
    <row r="1" spans="1:19" ht="140.1" customHeight="1" x14ac:dyDescent="0.25">
      <c r="A1" s="84"/>
      <c r="B1" s="84"/>
      <c r="C1" s="84"/>
      <c r="D1" s="84"/>
      <c r="E1" s="84"/>
      <c r="F1" s="84"/>
      <c r="G1" s="84"/>
      <c r="H1" s="84"/>
      <c r="I1" s="84"/>
      <c r="J1" s="84"/>
      <c r="K1" s="84"/>
      <c r="L1" s="84"/>
      <c r="M1" s="84"/>
      <c r="N1" s="84"/>
      <c r="O1" s="84"/>
      <c r="P1" s="84"/>
      <c r="Q1" s="84"/>
      <c r="R1" s="84"/>
      <c r="S1" s="84"/>
    </row>
    <row r="2" spans="1:19" ht="5.0999999999999996" customHeight="1" x14ac:dyDescent="0.25"/>
    <row r="3" spans="1:19" ht="5.0999999999999996" customHeight="1" x14ac:dyDescent="0.25">
      <c r="A3" s="84"/>
      <c r="B3" s="84"/>
      <c r="C3" s="84"/>
      <c r="D3" s="84"/>
      <c r="E3" s="84"/>
      <c r="F3" s="84"/>
      <c r="G3" s="84"/>
      <c r="H3" s="84"/>
      <c r="I3" s="84"/>
      <c r="J3" s="84"/>
      <c r="K3" s="84"/>
      <c r="L3" s="84"/>
      <c r="M3" s="84"/>
      <c r="N3" s="84"/>
      <c r="O3" s="84"/>
      <c r="P3" s="84"/>
      <c r="Q3" s="84"/>
      <c r="R3" s="84"/>
      <c r="S3" s="84"/>
    </row>
    <row r="5" spans="1:19" ht="20.100000000000001" customHeight="1" x14ac:dyDescent="0.25">
      <c r="A5" s="177" t="s">
        <v>261</v>
      </c>
      <c r="B5" s="177"/>
      <c r="C5" s="177"/>
      <c r="D5" s="177"/>
      <c r="E5" s="177"/>
      <c r="F5" s="177"/>
      <c r="G5" s="177"/>
      <c r="H5" s="177"/>
      <c r="I5" s="177"/>
      <c r="J5" s="177"/>
      <c r="K5" s="177"/>
      <c r="L5" s="177"/>
      <c r="M5" s="177"/>
      <c r="N5" s="177"/>
      <c r="O5" s="177"/>
      <c r="P5" s="177"/>
      <c r="Q5" s="177"/>
      <c r="R5" s="177"/>
      <c r="S5" s="177"/>
    </row>
    <row r="7" spans="1:19" ht="20.100000000000001" customHeight="1" x14ac:dyDescent="0.25">
      <c r="A7" s="177" t="s">
        <v>248</v>
      </c>
      <c r="B7" s="177"/>
      <c r="C7" s="177"/>
      <c r="D7" s="177"/>
      <c r="E7" s="177"/>
      <c r="F7" s="177"/>
      <c r="G7" s="177"/>
      <c r="H7" s="177"/>
      <c r="I7" s="177"/>
      <c r="J7" s="177"/>
      <c r="K7" s="177"/>
      <c r="L7" s="177"/>
      <c r="M7" s="177"/>
      <c r="N7" s="177"/>
      <c r="O7" s="177"/>
      <c r="P7" s="177"/>
      <c r="Q7" s="177"/>
      <c r="R7" s="177"/>
      <c r="S7" s="177"/>
    </row>
    <row r="9" spans="1:19" ht="20.100000000000001" customHeight="1" x14ac:dyDescent="0.25">
      <c r="A9" s="195" t="s">
        <v>266</v>
      </c>
      <c r="B9" s="195"/>
      <c r="C9" s="195"/>
      <c r="D9" s="195"/>
      <c r="E9" s="195"/>
      <c r="F9" s="195"/>
      <c r="G9" s="195"/>
      <c r="H9" s="195"/>
      <c r="I9" s="195"/>
      <c r="J9" s="195"/>
      <c r="K9" s="195"/>
      <c r="L9" s="195"/>
      <c r="M9" s="195"/>
      <c r="N9" s="195"/>
      <c r="O9" s="195"/>
      <c r="P9" s="195"/>
      <c r="Q9" s="195"/>
      <c r="R9" s="195"/>
      <c r="S9" s="195"/>
    </row>
    <row r="10" spans="1:19" ht="20.100000000000001" customHeight="1" x14ac:dyDescent="0.25">
      <c r="A10" s="155" t="s">
        <v>17</v>
      </c>
      <c r="B10" s="155"/>
      <c r="C10" s="155"/>
      <c r="D10" s="155" t="s">
        <v>87</v>
      </c>
      <c r="E10" s="155"/>
      <c r="F10" s="155"/>
      <c r="G10" s="155"/>
      <c r="H10" s="155"/>
      <c r="I10" s="155"/>
      <c r="J10" s="155"/>
      <c r="K10" s="155" t="s">
        <v>88</v>
      </c>
      <c r="L10" s="155"/>
      <c r="M10" s="155"/>
      <c r="N10" s="155"/>
      <c r="O10" s="155"/>
      <c r="P10" s="155"/>
      <c r="Q10" s="155"/>
      <c r="R10" s="155"/>
      <c r="S10" s="155"/>
    </row>
    <row r="11" spans="1:19" ht="20.100000000000001" customHeight="1" x14ac:dyDescent="0.25">
      <c r="A11" s="170">
        <v>2</v>
      </c>
      <c r="B11" s="170"/>
      <c r="C11" s="170"/>
      <c r="D11" s="170" t="s">
        <v>265</v>
      </c>
      <c r="E11" s="170"/>
      <c r="F11" s="170"/>
      <c r="G11" s="170"/>
      <c r="H11" s="170"/>
      <c r="I11" s="170"/>
      <c r="J11" s="170"/>
      <c r="K11" s="170" t="s">
        <v>91</v>
      </c>
      <c r="L11" s="170"/>
      <c r="M11" s="170"/>
      <c r="N11" s="170" t="s">
        <v>92</v>
      </c>
      <c r="O11" s="170"/>
      <c r="P11" s="170"/>
      <c r="Q11" s="180" t="s">
        <v>82</v>
      </c>
      <c r="R11" s="180"/>
      <c r="S11" s="180"/>
    </row>
    <row r="12" spans="1:19" ht="20.100000000000001" customHeight="1" x14ac:dyDescent="0.25">
      <c r="A12" s="170"/>
      <c r="B12" s="170"/>
      <c r="C12" s="170"/>
      <c r="D12" s="170"/>
      <c r="E12" s="170"/>
      <c r="F12" s="170"/>
      <c r="G12" s="170"/>
      <c r="H12" s="170"/>
      <c r="I12" s="170"/>
      <c r="J12" s="170"/>
      <c r="K12" s="170">
        <v>12</v>
      </c>
      <c r="L12" s="170"/>
      <c r="M12" s="170"/>
      <c r="N12" s="170">
        <v>5</v>
      </c>
      <c r="O12" s="170"/>
      <c r="P12" s="170"/>
      <c r="Q12" s="180">
        <v>3</v>
      </c>
      <c r="R12" s="180"/>
      <c r="S12" s="180"/>
    </row>
    <row r="15" spans="1:19" ht="20.100000000000001" customHeight="1" x14ac:dyDescent="0.25">
      <c r="A15" s="120" t="s">
        <v>20</v>
      </c>
      <c r="B15" s="120"/>
      <c r="C15" s="120"/>
      <c r="D15" s="120"/>
      <c r="E15" s="120"/>
      <c r="F15" s="120"/>
      <c r="G15" s="120"/>
      <c r="H15" s="120"/>
      <c r="I15" s="120"/>
      <c r="J15" s="120"/>
      <c r="K15" s="120"/>
      <c r="L15" s="120"/>
      <c r="M15" s="120"/>
      <c r="N15" s="120"/>
      <c r="O15" s="120"/>
      <c r="P15" s="120"/>
      <c r="Q15" s="120"/>
      <c r="R15" s="120"/>
      <c r="S15" s="120"/>
    </row>
    <row r="17" spans="1:22" ht="39.950000000000003" customHeight="1" thickBot="1" x14ac:dyDescent="0.3">
      <c r="A17" s="159" t="s">
        <v>17</v>
      </c>
      <c r="B17" s="159"/>
      <c r="C17" s="159" t="s">
        <v>489</v>
      </c>
      <c r="D17" s="159"/>
      <c r="E17" s="159"/>
      <c r="F17" s="159" t="s">
        <v>18</v>
      </c>
      <c r="G17" s="159"/>
      <c r="H17" s="159"/>
      <c r="I17" s="159" t="s">
        <v>19</v>
      </c>
      <c r="J17" s="159"/>
      <c r="K17" s="159"/>
      <c r="L17" s="159" t="s">
        <v>246</v>
      </c>
      <c r="M17" s="159"/>
      <c r="N17" s="159"/>
      <c r="O17" s="159" t="s">
        <v>21</v>
      </c>
      <c r="P17" s="159"/>
      <c r="Q17" s="159" t="s">
        <v>22</v>
      </c>
      <c r="R17" s="159"/>
      <c r="S17" s="159"/>
      <c r="U17" s="196" t="s">
        <v>14</v>
      </c>
      <c r="V17" s="196"/>
    </row>
    <row r="18" spans="1:22" ht="20.100000000000001" customHeight="1" x14ac:dyDescent="0.25">
      <c r="A18" s="124">
        <v>1</v>
      </c>
      <c r="B18" s="124"/>
      <c r="C18" s="173">
        <v>210000</v>
      </c>
      <c r="D18" s="173"/>
      <c r="E18" s="173"/>
      <c r="F18" s="182">
        <v>360</v>
      </c>
      <c r="G18" s="182"/>
      <c r="H18" s="182"/>
      <c r="I18" s="173">
        <f>C18/F18</f>
        <v>583.33333333333337</v>
      </c>
      <c r="J18" s="173"/>
      <c r="K18" s="173"/>
      <c r="L18" s="198" t="s">
        <v>503</v>
      </c>
      <c r="M18" s="198"/>
      <c r="N18" s="198"/>
      <c r="O18" s="200">
        <f>VLOOKUP(L18,$U$19:$V$20,2,0)</f>
        <v>0.9</v>
      </c>
      <c r="P18" s="200"/>
      <c r="Q18" s="148">
        <f>I18*O18</f>
        <v>525</v>
      </c>
      <c r="R18" s="148"/>
      <c r="S18" s="148"/>
      <c r="U18" s="88" t="s">
        <v>504</v>
      </c>
      <c r="V18" s="88" t="s">
        <v>15</v>
      </c>
    </row>
    <row r="19" spans="1:22" ht="20.100000000000001" customHeight="1" x14ac:dyDescent="0.25">
      <c r="A19" s="124">
        <v>2</v>
      </c>
      <c r="B19" s="124"/>
      <c r="C19" s="140">
        <v>180000</v>
      </c>
      <c r="D19" s="140"/>
      <c r="E19" s="140"/>
      <c r="F19" s="165">
        <v>280</v>
      </c>
      <c r="G19" s="165"/>
      <c r="H19" s="165"/>
      <c r="I19" s="140">
        <f>C19/F19</f>
        <v>642.85714285714289</v>
      </c>
      <c r="J19" s="140"/>
      <c r="K19" s="140"/>
      <c r="L19" s="130" t="s">
        <v>503</v>
      </c>
      <c r="M19" s="130"/>
      <c r="N19" s="130"/>
      <c r="O19" s="192">
        <f>VLOOKUP(L19,$U$19:$V$20,2,0)</f>
        <v>0.9</v>
      </c>
      <c r="P19" s="192"/>
      <c r="Q19" s="140">
        <f>I19*O19</f>
        <v>578.57142857142867</v>
      </c>
      <c r="R19" s="140"/>
      <c r="S19" s="140"/>
      <c r="U19" s="103" t="s">
        <v>503</v>
      </c>
      <c r="V19" s="106">
        <v>0.9</v>
      </c>
    </row>
    <row r="20" spans="1:22" ht="20.100000000000001" customHeight="1" thickBot="1" x14ac:dyDescent="0.3">
      <c r="A20" s="160">
        <v>3</v>
      </c>
      <c r="B20" s="160"/>
      <c r="C20" s="172">
        <v>190000</v>
      </c>
      <c r="D20" s="172"/>
      <c r="E20" s="172"/>
      <c r="F20" s="194">
        <v>300</v>
      </c>
      <c r="G20" s="194"/>
      <c r="H20" s="194"/>
      <c r="I20" s="172">
        <f>C20/F20</f>
        <v>633.33333333333337</v>
      </c>
      <c r="J20" s="172"/>
      <c r="K20" s="172"/>
      <c r="L20" s="199" t="s">
        <v>503</v>
      </c>
      <c r="M20" s="199"/>
      <c r="N20" s="199"/>
      <c r="O20" s="183">
        <f>VLOOKUP(L20,$U$19:$V$20,2,0)</f>
        <v>0.9</v>
      </c>
      <c r="P20" s="183"/>
      <c r="Q20" s="172">
        <f>I20*O20</f>
        <v>570</v>
      </c>
      <c r="R20" s="172"/>
      <c r="S20" s="172"/>
      <c r="U20" s="103" t="s">
        <v>16</v>
      </c>
      <c r="V20" s="106">
        <v>1</v>
      </c>
    </row>
    <row r="22" spans="1:22" ht="20.100000000000001" customHeight="1" x14ac:dyDescent="0.25">
      <c r="M22" s="113" t="s">
        <v>36</v>
      </c>
      <c r="N22" s="113"/>
      <c r="O22" s="113"/>
      <c r="P22" s="113"/>
      <c r="Q22" s="148">
        <f>AVERAGE(Q18:S20)</f>
        <v>557.85714285714289</v>
      </c>
      <c r="R22" s="148"/>
      <c r="S22" s="148"/>
    </row>
    <row r="23" spans="1:22" ht="20.100000000000001" customHeight="1" x14ac:dyDescent="0.25">
      <c r="M23" s="112" t="s">
        <v>37</v>
      </c>
      <c r="N23" s="112"/>
      <c r="O23" s="112"/>
      <c r="P23" s="112"/>
      <c r="Q23" s="148">
        <f>STDEVA(Q18:S20)</f>
        <v>28.776052969262444</v>
      </c>
      <c r="R23" s="148"/>
      <c r="S23" s="148"/>
    </row>
    <row r="24" spans="1:22" ht="20.100000000000001" customHeight="1" x14ac:dyDescent="0.25">
      <c r="M24" s="114" t="s">
        <v>35</v>
      </c>
      <c r="N24" s="114"/>
      <c r="O24" s="114"/>
      <c r="P24" s="114"/>
      <c r="Q24" s="185">
        <f>Q23/Q22</f>
        <v>5.1583193542852013E-2</v>
      </c>
      <c r="R24" s="185"/>
      <c r="S24" s="185"/>
    </row>
    <row r="27" spans="1:22" ht="20.100000000000001" customHeight="1" x14ac:dyDescent="0.25">
      <c r="A27" s="120" t="s">
        <v>29</v>
      </c>
      <c r="B27" s="120"/>
      <c r="C27" s="120"/>
      <c r="D27" s="120"/>
      <c r="E27" s="120"/>
      <c r="F27" s="120"/>
      <c r="G27" s="120"/>
      <c r="H27" s="120"/>
      <c r="I27" s="120"/>
      <c r="J27" s="120"/>
      <c r="K27" s="120"/>
      <c r="L27" s="120"/>
      <c r="M27" s="120"/>
      <c r="N27" s="120"/>
      <c r="O27" s="120"/>
      <c r="P27" s="120"/>
      <c r="Q27" s="120"/>
      <c r="R27" s="120"/>
      <c r="S27" s="120"/>
    </row>
    <row r="29" spans="1:22" ht="80.099999999999994" customHeight="1" x14ac:dyDescent="0.25">
      <c r="A29" s="136" t="s">
        <v>85</v>
      </c>
      <c r="B29" s="136"/>
      <c r="C29" s="136"/>
      <c r="D29" s="136"/>
      <c r="E29" s="136"/>
      <c r="F29" s="136"/>
      <c r="G29" s="136"/>
      <c r="H29" s="136"/>
      <c r="I29" s="136"/>
      <c r="J29" s="136"/>
      <c r="K29" s="136"/>
      <c r="L29" s="136"/>
      <c r="M29" s="136"/>
      <c r="N29" s="136"/>
      <c r="O29" s="136"/>
      <c r="P29" s="136"/>
      <c r="Q29" s="136"/>
      <c r="R29" s="136"/>
      <c r="S29" s="136"/>
    </row>
    <row r="31" spans="1:22" ht="20.100000000000001" customHeight="1" x14ac:dyDescent="0.25">
      <c r="A31" s="159" t="s">
        <v>23</v>
      </c>
      <c r="B31" s="159"/>
      <c r="C31" s="159"/>
      <c r="D31" s="159"/>
      <c r="E31" s="159"/>
      <c r="F31" s="159"/>
      <c r="G31" s="159"/>
      <c r="H31" s="159"/>
      <c r="I31" s="159" t="s">
        <v>86</v>
      </c>
      <c r="J31" s="159"/>
      <c r="K31" s="108" t="s">
        <v>501</v>
      </c>
      <c r="L31" s="108"/>
      <c r="M31" s="108"/>
      <c r="N31" s="108"/>
      <c r="O31" s="108"/>
      <c r="P31" s="109" t="s">
        <v>502</v>
      </c>
      <c r="Q31" s="109"/>
      <c r="R31" s="109"/>
      <c r="S31" s="109"/>
    </row>
    <row r="32" spans="1:22" ht="20.100000000000001" customHeight="1" x14ac:dyDescent="0.25">
      <c r="A32" s="114" t="s">
        <v>24</v>
      </c>
      <c r="B32" s="114"/>
      <c r="C32" s="114"/>
      <c r="D32" s="114"/>
      <c r="E32" s="114"/>
      <c r="F32" s="114"/>
      <c r="G32" s="114"/>
      <c r="H32" s="114"/>
      <c r="I32" s="142" t="s">
        <v>505</v>
      </c>
      <c r="J32" s="142"/>
      <c r="K32" s="110" t="s">
        <v>496</v>
      </c>
      <c r="L32" s="110"/>
      <c r="M32" s="110"/>
      <c r="N32" s="110"/>
      <c r="O32" s="110"/>
      <c r="P32" s="111">
        <v>1</v>
      </c>
      <c r="Q32" s="111"/>
      <c r="R32" s="111"/>
      <c r="S32" s="111"/>
    </row>
    <row r="33" spans="1:19" ht="20.100000000000001" customHeight="1" x14ac:dyDescent="0.25">
      <c r="A33" s="114" t="s">
        <v>27</v>
      </c>
      <c r="B33" s="114"/>
      <c r="C33" s="114"/>
      <c r="D33" s="114"/>
      <c r="E33" s="114"/>
      <c r="F33" s="114"/>
      <c r="G33" s="114"/>
      <c r="H33" s="114"/>
      <c r="I33" s="124" t="s">
        <v>506</v>
      </c>
      <c r="J33" s="124"/>
      <c r="K33" s="110" t="s">
        <v>497</v>
      </c>
      <c r="L33" s="110"/>
      <c r="M33" s="110"/>
      <c r="N33" s="110"/>
      <c r="O33" s="110"/>
      <c r="P33" s="111">
        <v>1</v>
      </c>
      <c r="Q33" s="111"/>
      <c r="R33" s="111"/>
      <c r="S33" s="111"/>
    </row>
    <row r="34" spans="1:19" ht="20.100000000000001" customHeight="1" x14ac:dyDescent="0.25">
      <c r="A34" s="114" t="s">
        <v>28</v>
      </c>
      <c r="B34" s="114"/>
      <c r="C34" s="114"/>
      <c r="D34" s="114"/>
      <c r="E34" s="114"/>
      <c r="F34" s="114"/>
      <c r="G34" s="114"/>
      <c r="H34" s="114"/>
      <c r="I34" s="124" t="s">
        <v>507</v>
      </c>
      <c r="J34" s="124"/>
      <c r="K34" s="110" t="s">
        <v>498</v>
      </c>
      <c r="L34" s="110"/>
      <c r="M34" s="110"/>
      <c r="N34" s="110"/>
      <c r="O34" s="110"/>
      <c r="P34" s="111">
        <v>1</v>
      </c>
      <c r="Q34" s="111"/>
      <c r="R34" s="111"/>
      <c r="S34" s="111"/>
    </row>
    <row r="35" spans="1:19" ht="20.100000000000001" customHeight="1" x14ac:dyDescent="0.25">
      <c r="A35" s="114" t="s">
        <v>25</v>
      </c>
      <c r="B35" s="114"/>
      <c r="C35" s="114"/>
      <c r="D35" s="114"/>
      <c r="E35" s="114"/>
      <c r="F35" s="114"/>
      <c r="G35" s="114"/>
      <c r="H35" s="114"/>
      <c r="I35" s="124" t="s">
        <v>508</v>
      </c>
      <c r="J35" s="124"/>
      <c r="K35" s="110" t="s">
        <v>499</v>
      </c>
      <c r="L35" s="110"/>
      <c r="M35" s="110"/>
      <c r="N35" s="110"/>
      <c r="O35" s="110"/>
      <c r="P35" s="111">
        <v>1</v>
      </c>
      <c r="Q35" s="111"/>
      <c r="R35" s="111"/>
      <c r="S35" s="111"/>
    </row>
    <row r="36" spans="1:19" ht="20.100000000000001" customHeight="1" x14ac:dyDescent="0.25">
      <c r="A36" s="114" t="s">
        <v>26</v>
      </c>
      <c r="B36" s="114"/>
      <c r="C36" s="114"/>
      <c r="D36" s="114"/>
      <c r="E36" s="114"/>
      <c r="F36" s="114"/>
      <c r="G36" s="114"/>
      <c r="H36" s="114"/>
      <c r="I36" s="124" t="s">
        <v>509</v>
      </c>
      <c r="J36" s="124"/>
      <c r="K36" s="110" t="s">
        <v>500</v>
      </c>
      <c r="L36" s="110"/>
      <c r="M36" s="110"/>
      <c r="N36" s="110"/>
      <c r="O36" s="110"/>
      <c r="P36" s="111">
        <v>1</v>
      </c>
      <c r="Q36" s="111"/>
      <c r="R36" s="111"/>
      <c r="S36" s="111"/>
    </row>
    <row r="39" spans="1:19" ht="20.100000000000001" customHeight="1" x14ac:dyDescent="0.25">
      <c r="A39" s="171" t="s">
        <v>33</v>
      </c>
      <c r="B39" s="171"/>
      <c r="C39" s="171"/>
      <c r="D39" s="171"/>
      <c r="E39" s="171"/>
      <c r="F39" s="171" t="s">
        <v>34</v>
      </c>
      <c r="G39" s="171"/>
      <c r="H39" s="171"/>
      <c r="I39" s="171"/>
      <c r="J39" s="171"/>
      <c r="K39" s="171" t="s">
        <v>30</v>
      </c>
      <c r="L39" s="171"/>
    </row>
    <row r="40" spans="1:19" ht="20.100000000000001" customHeight="1" x14ac:dyDescent="0.25">
      <c r="A40" s="159"/>
      <c r="B40" s="159"/>
      <c r="C40" s="159"/>
      <c r="D40" s="159"/>
      <c r="E40" s="159"/>
      <c r="F40" s="85" t="s">
        <v>505</v>
      </c>
      <c r="G40" s="85" t="s">
        <v>506</v>
      </c>
      <c r="H40" s="85" t="s">
        <v>507</v>
      </c>
      <c r="I40" s="85" t="s">
        <v>508</v>
      </c>
      <c r="J40" s="85" t="s">
        <v>509</v>
      </c>
      <c r="K40" s="159"/>
      <c r="L40" s="159"/>
    </row>
    <row r="41" spans="1:19" ht="20.100000000000001" customHeight="1" thickBot="1" x14ac:dyDescent="0.3">
      <c r="A41" s="91"/>
      <c r="B41" s="91"/>
      <c r="C41" s="91"/>
      <c r="D41" s="91"/>
      <c r="E41" s="91"/>
      <c r="F41" s="90">
        <v>1</v>
      </c>
      <c r="G41" s="90">
        <v>1</v>
      </c>
      <c r="H41" s="90">
        <v>1</v>
      </c>
      <c r="I41" s="90">
        <v>0.9</v>
      </c>
      <c r="J41" s="90">
        <v>1</v>
      </c>
      <c r="K41" s="172">
        <f>SUM(F41:J41)-COUNT(F41:J41)+1</f>
        <v>0.90000000000000036</v>
      </c>
      <c r="L41" s="172"/>
    </row>
    <row r="43" spans="1:19" ht="39.950000000000003" customHeight="1" x14ac:dyDescent="0.25">
      <c r="A43" s="159" t="s">
        <v>17</v>
      </c>
      <c r="B43" s="159"/>
      <c r="C43" s="159" t="str">
        <f>Q17</f>
        <v>Valor unitário ajustado</v>
      </c>
      <c r="D43" s="159"/>
      <c r="E43" s="159"/>
      <c r="F43" s="85" t="s">
        <v>505</v>
      </c>
      <c r="G43" s="85" t="s">
        <v>506</v>
      </c>
      <c r="H43" s="85" t="s">
        <v>507</v>
      </c>
      <c r="I43" s="85" t="s">
        <v>508</v>
      </c>
      <c r="J43" s="85" t="s">
        <v>509</v>
      </c>
      <c r="K43" s="159" t="s">
        <v>30</v>
      </c>
      <c r="L43" s="159"/>
      <c r="M43" s="159" t="s">
        <v>31</v>
      </c>
      <c r="N43" s="159"/>
      <c r="O43" s="159" t="s">
        <v>23</v>
      </c>
      <c r="P43" s="159"/>
      <c r="Q43" s="159" t="s">
        <v>32</v>
      </c>
      <c r="R43" s="159"/>
      <c r="S43" s="159"/>
    </row>
    <row r="44" spans="1:19" ht="20.100000000000001" customHeight="1" x14ac:dyDescent="0.25">
      <c r="A44" s="124">
        <v>1</v>
      </c>
      <c r="B44" s="124"/>
      <c r="C44" s="173">
        <f>Q18</f>
        <v>525</v>
      </c>
      <c r="D44" s="173"/>
      <c r="E44" s="173"/>
      <c r="F44" s="87">
        <v>1</v>
      </c>
      <c r="G44" s="87">
        <v>1</v>
      </c>
      <c r="H44" s="87">
        <v>1</v>
      </c>
      <c r="I44" s="87">
        <v>1</v>
      </c>
      <c r="J44" s="87">
        <v>1</v>
      </c>
      <c r="K44" s="173">
        <f>SUM(F44:J44)-COUNT(F44:J44)+1</f>
        <v>1</v>
      </c>
      <c r="L44" s="112"/>
      <c r="M44" s="173">
        <f t="shared" ref="M44:M46" si="0">$K$41</f>
        <v>0.90000000000000036</v>
      </c>
      <c r="N44" s="112"/>
      <c r="O44" s="173">
        <f t="shared" ref="O44:O46" si="1">M44/K44</f>
        <v>0.90000000000000036</v>
      </c>
      <c r="P44" s="112"/>
      <c r="Q44" s="173">
        <f t="shared" ref="Q44:Q46" si="2">C44*O44</f>
        <v>472.50000000000017</v>
      </c>
      <c r="R44" s="173"/>
      <c r="S44" s="173"/>
    </row>
    <row r="45" spans="1:19" ht="20.100000000000001" customHeight="1" x14ac:dyDescent="0.25">
      <c r="A45" s="124">
        <v>2</v>
      </c>
      <c r="B45" s="124"/>
      <c r="C45" s="140">
        <f>Q19</f>
        <v>578.57142857142867</v>
      </c>
      <c r="D45" s="140"/>
      <c r="E45" s="140"/>
      <c r="F45" s="89">
        <v>0.95</v>
      </c>
      <c r="G45" s="89">
        <v>1</v>
      </c>
      <c r="H45" s="89">
        <v>1</v>
      </c>
      <c r="I45" s="89">
        <v>1</v>
      </c>
      <c r="J45" s="89">
        <v>1</v>
      </c>
      <c r="K45" s="140">
        <f t="shared" ref="K45:K46" si="3">SUM(F45:J45)-COUNT(F45:J45)+1</f>
        <v>0.95000000000000018</v>
      </c>
      <c r="L45" s="114"/>
      <c r="M45" s="140">
        <f t="shared" si="0"/>
        <v>0.90000000000000036</v>
      </c>
      <c r="N45" s="114"/>
      <c r="O45" s="140">
        <f t="shared" si="1"/>
        <v>0.94736842105263175</v>
      </c>
      <c r="P45" s="114"/>
      <c r="Q45" s="140">
        <f t="shared" si="2"/>
        <v>548.12030075187988</v>
      </c>
      <c r="R45" s="140"/>
      <c r="S45" s="140"/>
    </row>
    <row r="46" spans="1:19" ht="20.100000000000001" customHeight="1" thickBot="1" x14ac:dyDescent="0.3">
      <c r="A46" s="160">
        <v>3</v>
      </c>
      <c r="B46" s="160"/>
      <c r="C46" s="172">
        <f>Q20</f>
        <v>570</v>
      </c>
      <c r="D46" s="172"/>
      <c r="E46" s="172"/>
      <c r="F46" s="90">
        <v>1</v>
      </c>
      <c r="G46" s="90">
        <v>1</v>
      </c>
      <c r="H46" s="90">
        <v>1</v>
      </c>
      <c r="I46" s="90">
        <v>1</v>
      </c>
      <c r="J46" s="90">
        <v>1</v>
      </c>
      <c r="K46" s="172">
        <f t="shared" si="3"/>
        <v>1</v>
      </c>
      <c r="L46" s="181"/>
      <c r="M46" s="172">
        <f t="shared" si="0"/>
        <v>0.90000000000000036</v>
      </c>
      <c r="N46" s="181"/>
      <c r="O46" s="172">
        <f t="shared" si="1"/>
        <v>0.90000000000000036</v>
      </c>
      <c r="P46" s="181"/>
      <c r="Q46" s="172">
        <f t="shared" si="2"/>
        <v>513.00000000000023</v>
      </c>
      <c r="R46" s="172"/>
      <c r="S46" s="172"/>
    </row>
    <row r="48" spans="1:19" ht="20.100000000000001" customHeight="1" x14ac:dyDescent="0.25">
      <c r="F48" s="92"/>
      <c r="G48" s="92"/>
      <c r="H48" s="92"/>
      <c r="I48" s="92"/>
      <c r="J48" s="92"/>
      <c r="M48" s="113" t="s">
        <v>36</v>
      </c>
      <c r="N48" s="113"/>
      <c r="O48" s="113"/>
      <c r="P48" s="113"/>
      <c r="Q48" s="148">
        <f>AVERAGE(Q44:S46)</f>
        <v>511.20676691729341</v>
      </c>
      <c r="R48" s="148"/>
      <c r="S48" s="148"/>
    </row>
    <row r="49" spans="1:19" ht="20.100000000000001" customHeight="1" x14ac:dyDescent="0.25">
      <c r="F49" s="86"/>
      <c r="M49" s="112" t="s">
        <v>37</v>
      </c>
      <c r="N49" s="112"/>
      <c r="O49" s="112"/>
      <c r="P49" s="112"/>
      <c r="Q49" s="148">
        <f>STDEVA(Q44:S46)</f>
        <v>37.842030007887665</v>
      </c>
      <c r="R49" s="148"/>
      <c r="S49" s="148"/>
    </row>
    <row r="50" spans="1:19" ht="20.100000000000001" customHeight="1" x14ac:dyDescent="0.25">
      <c r="I50" s="93"/>
      <c r="M50" s="114" t="s">
        <v>35</v>
      </c>
      <c r="N50" s="114"/>
      <c r="O50" s="114"/>
      <c r="P50" s="114"/>
      <c r="Q50" s="185">
        <f>Q49/Q48</f>
        <v>7.4024900405925201E-2</v>
      </c>
      <c r="R50" s="185"/>
      <c r="S50" s="185"/>
    </row>
    <row r="51" spans="1:19" ht="20.100000000000001" customHeight="1" x14ac:dyDescent="0.25">
      <c r="J51" s="94"/>
    </row>
    <row r="52" spans="1:19" ht="20.100000000000001" customHeight="1" x14ac:dyDescent="0.25">
      <c r="J52" s="94"/>
    </row>
    <row r="53" spans="1:19" ht="20.100000000000001" customHeight="1" x14ac:dyDescent="0.25">
      <c r="A53" s="112" t="s">
        <v>95</v>
      </c>
      <c r="B53" s="112"/>
      <c r="C53" s="112"/>
      <c r="D53" s="112"/>
      <c r="E53" s="112"/>
      <c r="F53" s="112"/>
      <c r="G53" s="112"/>
      <c r="H53" s="112"/>
      <c r="I53" s="112"/>
      <c r="J53" s="112"/>
      <c r="K53" s="112"/>
      <c r="L53" s="112"/>
      <c r="M53" s="112"/>
      <c r="N53" s="112"/>
      <c r="O53" s="112"/>
      <c r="P53" s="112"/>
      <c r="Q53" s="112"/>
      <c r="R53" s="112"/>
      <c r="S53" s="112"/>
    </row>
    <row r="54" spans="1:19" ht="20.100000000000001" customHeight="1" x14ac:dyDescent="0.25">
      <c r="J54" s="94"/>
    </row>
    <row r="55" spans="1:19" ht="20.100000000000001" customHeight="1" x14ac:dyDescent="0.25">
      <c r="J55" s="94"/>
    </row>
    <row r="56" spans="1:19" ht="20.100000000000001" customHeight="1" x14ac:dyDescent="0.25">
      <c r="J56" s="94"/>
    </row>
    <row r="57" spans="1:19" ht="20.100000000000001" customHeight="1" x14ac:dyDescent="0.25">
      <c r="J57" s="94"/>
    </row>
    <row r="58" spans="1:19" ht="20.100000000000001" customHeight="1" x14ac:dyDescent="0.25">
      <c r="J58" s="94"/>
    </row>
    <row r="59" spans="1:19" ht="20.100000000000001" customHeight="1" x14ac:dyDescent="0.25">
      <c r="J59" s="94"/>
    </row>
    <row r="60" spans="1:19" ht="20.100000000000001" customHeight="1" x14ac:dyDescent="0.25">
      <c r="J60" s="94"/>
    </row>
    <row r="61" spans="1:19" ht="20.100000000000001" customHeight="1" x14ac:dyDescent="0.25">
      <c r="J61" s="94"/>
    </row>
    <row r="62" spans="1:19" ht="20.100000000000001" customHeight="1" x14ac:dyDescent="0.25">
      <c r="J62" s="94"/>
    </row>
    <row r="63" spans="1:19" ht="20.100000000000001" customHeight="1" x14ac:dyDescent="0.25">
      <c r="J63" s="94"/>
    </row>
    <row r="64" spans="1:19" ht="20.100000000000001" customHeight="1" x14ac:dyDescent="0.25">
      <c r="J64" s="94"/>
    </row>
    <row r="65" spans="10:10" ht="20.100000000000001" customHeight="1" x14ac:dyDescent="0.25">
      <c r="J65" s="94"/>
    </row>
    <row r="66" spans="10:10" ht="20.100000000000001" customHeight="1" x14ac:dyDescent="0.25">
      <c r="J66" s="94"/>
    </row>
    <row r="67" spans="10:10" ht="20.100000000000001" customHeight="1" x14ac:dyDescent="0.25">
      <c r="J67" s="94"/>
    </row>
    <row r="68" spans="10:10" ht="20.100000000000001" customHeight="1" x14ac:dyDescent="0.25">
      <c r="J68" s="94"/>
    </row>
    <row r="69" spans="10:10" ht="20.100000000000001" customHeight="1" x14ac:dyDescent="0.25">
      <c r="J69" s="94"/>
    </row>
    <row r="70" spans="10:10" ht="20.100000000000001" customHeight="1" x14ac:dyDescent="0.25">
      <c r="J70" s="94"/>
    </row>
    <row r="71" spans="10:10" ht="20.100000000000001" customHeight="1" x14ac:dyDescent="0.25">
      <c r="J71" s="94"/>
    </row>
    <row r="72" spans="10:10" ht="20.100000000000001" customHeight="1" x14ac:dyDescent="0.25">
      <c r="J72" s="94"/>
    </row>
    <row r="73" spans="10:10" ht="20.100000000000001" customHeight="1" x14ac:dyDescent="0.25">
      <c r="J73" s="94"/>
    </row>
    <row r="74" spans="10:10" ht="20.100000000000001" customHeight="1" x14ac:dyDescent="0.25">
      <c r="J74" s="94"/>
    </row>
    <row r="75" spans="10:10" ht="20.100000000000001" customHeight="1" x14ac:dyDescent="0.25">
      <c r="J75" s="94"/>
    </row>
    <row r="76" spans="10:10" ht="20.100000000000001" customHeight="1" x14ac:dyDescent="0.25">
      <c r="J76" s="94"/>
    </row>
    <row r="77" spans="10:10" ht="20.100000000000001" customHeight="1" x14ac:dyDescent="0.25">
      <c r="J77" s="94"/>
    </row>
    <row r="78" spans="10:10" ht="20.100000000000001" customHeight="1" x14ac:dyDescent="0.25">
      <c r="J78" s="94"/>
    </row>
    <row r="79" spans="10:10" ht="20.100000000000001" customHeight="1" x14ac:dyDescent="0.25">
      <c r="J79" s="94"/>
    </row>
    <row r="80" spans="10:10" ht="20.100000000000001" customHeight="1" x14ac:dyDescent="0.25">
      <c r="J80" s="94"/>
    </row>
    <row r="81" spans="1:19" ht="20.100000000000001" customHeight="1" x14ac:dyDescent="0.25">
      <c r="J81" s="94"/>
    </row>
    <row r="82" spans="1:19" ht="20.100000000000001" customHeight="1" x14ac:dyDescent="0.25">
      <c r="J82" s="94"/>
    </row>
    <row r="83" spans="1:19" ht="20.100000000000001" customHeight="1" x14ac:dyDescent="0.25">
      <c r="J83" s="94"/>
    </row>
    <row r="84" spans="1:19" ht="20.100000000000001" customHeight="1" x14ac:dyDescent="0.25">
      <c r="J84" s="94"/>
    </row>
    <row r="85" spans="1:19" ht="20.100000000000001" customHeight="1" x14ac:dyDescent="0.25">
      <c r="J85" s="94"/>
    </row>
    <row r="86" spans="1:19" ht="20.100000000000001" customHeight="1" x14ac:dyDescent="0.25">
      <c r="J86" s="94"/>
    </row>
    <row r="87" spans="1:19" ht="20.100000000000001" customHeight="1" x14ac:dyDescent="0.25">
      <c r="A87" s="112" t="s">
        <v>94</v>
      </c>
      <c r="B87" s="112"/>
      <c r="C87" s="112"/>
      <c r="D87" s="112"/>
      <c r="E87" s="112"/>
      <c r="F87" s="112"/>
      <c r="G87" s="112"/>
      <c r="H87" s="112"/>
      <c r="I87" s="112"/>
      <c r="J87" s="112"/>
      <c r="K87" s="112"/>
      <c r="L87" s="112"/>
      <c r="M87" s="112"/>
      <c r="N87" s="112"/>
      <c r="O87" s="112"/>
      <c r="P87" s="112"/>
      <c r="Q87" s="112"/>
      <c r="R87" s="112"/>
      <c r="S87" s="112"/>
    </row>
    <row r="88" spans="1:19" ht="20.100000000000001" customHeight="1" x14ac:dyDescent="0.25">
      <c r="J88" s="94"/>
    </row>
    <row r="89" spans="1:19" ht="20.100000000000001" customHeight="1" x14ac:dyDescent="0.25">
      <c r="J89" s="94"/>
    </row>
    <row r="90" spans="1:19" ht="20.100000000000001" customHeight="1" x14ac:dyDescent="0.25">
      <c r="J90" s="94"/>
    </row>
    <row r="91" spans="1:19" ht="20.100000000000001" customHeight="1" x14ac:dyDescent="0.25">
      <c r="J91" s="94"/>
    </row>
    <row r="92" spans="1:19" ht="20.100000000000001" customHeight="1" x14ac:dyDescent="0.25">
      <c r="J92" s="94"/>
    </row>
    <row r="93" spans="1:19" ht="20.100000000000001" customHeight="1" x14ac:dyDescent="0.25">
      <c r="J93" s="94"/>
    </row>
    <row r="94" spans="1:19" ht="20.100000000000001" customHeight="1" x14ac:dyDescent="0.25">
      <c r="J94" s="94"/>
    </row>
    <row r="95" spans="1:19" ht="20.100000000000001" customHeight="1" x14ac:dyDescent="0.25">
      <c r="J95" s="94"/>
    </row>
    <row r="96" spans="1:19" ht="20.100000000000001" customHeight="1" x14ac:dyDescent="0.25">
      <c r="J96" s="94"/>
    </row>
    <row r="97" spans="1:19" ht="20.100000000000001" customHeight="1" x14ac:dyDescent="0.25">
      <c r="J97" s="94"/>
    </row>
    <row r="98" spans="1:19" ht="20.100000000000001" customHeight="1" x14ac:dyDescent="0.25">
      <c r="J98" s="94"/>
    </row>
    <row r="99" spans="1:19" ht="20.100000000000001" customHeight="1" x14ac:dyDescent="0.25">
      <c r="J99" s="94"/>
    </row>
    <row r="100" spans="1:19" ht="20.100000000000001" customHeight="1" x14ac:dyDescent="0.25">
      <c r="J100" s="94"/>
    </row>
    <row r="101" spans="1:19" ht="20.100000000000001" customHeight="1" x14ac:dyDescent="0.25">
      <c r="J101" s="94"/>
    </row>
    <row r="102" spans="1:19" ht="20.100000000000001" customHeight="1" x14ac:dyDescent="0.25">
      <c r="J102" s="94"/>
    </row>
    <row r="103" spans="1:19" ht="20.100000000000001" customHeight="1" x14ac:dyDescent="0.25">
      <c r="J103" s="94"/>
    </row>
    <row r="104" spans="1:19" ht="20.100000000000001" customHeight="1" x14ac:dyDescent="0.25">
      <c r="J104" s="94"/>
    </row>
    <row r="105" spans="1:19" ht="20.100000000000001" customHeight="1" x14ac:dyDescent="0.25">
      <c r="A105" s="112" t="s">
        <v>93</v>
      </c>
      <c r="B105" s="112"/>
      <c r="C105" s="112"/>
      <c r="D105" s="112"/>
      <c r="E105" s="112"/>
      <c r="F105" s="112"/>
      <c r="G105" s="112"/>
      <c r="H105" s="112"/>
      <c r="I105" s="112"/>
      <c r="J105" s="112"/>
      <c r="K105" s="112"/>
      <c r="L105" s="112"/>
      <c r="M105" s="112"/>
      <c r="N105" s="112"/>
      <c r="O105" s="112"/>
      <c r="P105" s="112"/>
      <c r="Q105" s="112"/>
      <c r="R105" s="112"/>
      <c r="S105" s="112"/>
    </row>
    <row r="106" spans="1:19" ht="20.100000000000001" customHeight="1" x14ac:dyDescent="0.25">
      <c r="J106" s="94"/>
    </row>
    <row r="107" spans="1:19" ht="20.100000000000001" customHeight="1" x14ac:dyDescent="0.25">
      <c r="J107" s="94"/>
    </row>
    <row r="108" spans="1:19" ht="20.100000000000001" customHeight="1" x14ac:dyDescent="0.25">
      <c r="J108" s="94"/>
    </row>
    <row r="109" spans="1:19" ht="20.100000000000001" customHeight="1" x14ac:dyDescent="0.25">
      <c r="J109" s="94"/>
    </row>
    <row r="110" spans="1:19" ht="20.100000000000001" customHeight="1" x14ac:dyDescent="0.25">
      <c r="J110" s="94"/>
    </row>
    <row r="111" spans="1:19" ht="20.100000000000001" customHeight="1" x14ac:dyDescent="0.25">
      <c r="J111" s="94"/>
    </row>
    <row r="112" spans="1:19" ht="20.100000000000001" customHeight="1" x14ac:dyDescent="0.25">
      <c r="J112" s="94"/>
    </row>
    <row r="113" spans="1:19" ht="20.100000000000001" customHeight="1" x14ac:dyDescent="0.25">
      <c r="J113" s="94"/>
    </row>
    <row r="114" spans="1:19" ht="20.100000000000001" customHeight="1" x14ac:dyDescent="0.25">
      <c r="J114" s="94"/>
    </row>
    <row r="115" spans="1:19" ht="20.100000000000001" customHeight="1" x14ac:dyDescent="0.25">
      <c r="J115" s="94"/>
    </row>
    <row r="116" spans="1:19" ht="20.100000000000001" customHeight="1" x14ac:dyDescent="0.25">
      <c r="J116" s="94"/>
    </row>
    <row r="117" spans="1:19" ht="20.100000000000001" customHeight="1" x14ac:dyDescent="0.25">
      <c r="J117" s="94"/>
    </row>
    <row r="118" spans="1:19" ht="20.100000000000001" customHeight="1" x14ac:dyDescent="0.25">
      <c r="J118" s="94"/>
    </row>
    <row r="119" spans="1:19" ht="20.100000000000001" customHeight="1" x14ac:dyDescent="0.25">
      <c r="J119" s="94"/>
    </row>
    <row r="120" spans="1:19" ht="20.100000000000001" customHeight="1" x14ac:dyDescent="0.25">
      <c r="J120" s="94"/>
    </row>
    <row r="121" spans="1:19" ht="20.100000000000001" customHeight="1" x14ac:dyDescent="0.25">
      <c r="J121" s="94"/>
    </row>
    <row r="124" spans="1:19" ht="20.100000000000001" customHeight="1" x14ac:dyDescent="0.25">
      <c r="A124" s="120" t="s">
        <v>38</v>
      </c>
      <c r="B124" s="120"/>
      <c r="C124" s="120"/>
      <c r="D124" s="120"/>
      <c r="E124" s="120"/>
      <c r="F124" s="120"/>
      <c r="G124" s="120"/>
      <c r="H124" s="120"/>
      <c r="I124" s="120"/>
      <c r="J124" s="120"/>
      <c r="K124" s="120"/>
      <c r="L124" s="120"/>
      <c r="M124" s="120"/>
      <c r="N124" s="120"/>
      <c r="O124" s="120"/>
      <c r="P124" s="120"/>
      <c r="Q124" s="120"/>
      <c r="R124" s="120"/>
      <c r="S124" s="120"/>
    </row>
    <row r="126" spans="1:19" ht="39.950000000000003" customHeight="1" x14ac:dyDescent="0.25">
      <c r="A126" s="159" t="s">
        <v>40</v>
      </c>
      <c r="B126" s="159"/>
      <c r="C126" s="159"/>
      <c r="D126" s="159"/>
      <c r="E126" s="159"/>
      <c r="F126" s="159"/>
      <c r="G126" s="159"/>
      <c r="H126" s="159"/>
      <c r="I126" s="159"/>
      <c r="J126" s="95" t="s">
        <v>86</v>
      </c>
      <c r="K126" s="159" t="s">
        <v>39</v>
      </c>
      <c r="L126" s="159"/>
      <c r="M126" s="159"/>
      <c r="N126" s="159" t="s">
        <v>33</v>
      </c>
      <c r="O126" s="159"/>
      <c r="P126" s="159"/>
      <c r="Q126" s="159" t="s">
        <v>41</v>
      </c>
      <c r="R126" s="159"/>
      <c r="S126" s="159"/>
    </row>
    <row r="127" spans="1:19" ht="20.100000000000001" customHeight="1" x14ac:dyDescent="0.25">
      <c r="A127" s="112" t="s">
        <v>524</v>
      </c>
      <c r="B127" s="112"/>
      <c r="C127" s="112"/>
      <c r="D127" s="112"/>
      <c r="E127" s="112"/>
      <c r="F127" s="112"/>
      <c r="G127" s="112"/>
      <c r="H127" s="112"/>
      <c r="I127" s="112"/>
      <c r="J127" s="30" t="s">
        <v>510</v>
      </c>
      <c r="K127" s="186">
        <v>0.15</v>
      </c>
      <c r="L127" s="186"/>
      <c r="M127" s="186"/>
      <c r="N127" s="186">
        <f>K127</f>
        <v>0.15</v>
      </c>
      <c r="O127" s="186"/>
      <c r="P127" s="186"/>
      <c r="Q127" s="186">
        <f>(K127-N127)</f>
        <v>0</v>
      </c>
      <c r="R127" s="186"/>
      <c r="S127" s="186"/>
    </row>
    <row r="128" spans="1:19" ht="20.100000000000001" customHeight="1" x14ac:dyDescent="0.25">
      <c r="A128" s="114" t="s">
        <v>525</v>
      </c>
      <c r="B128" s="114"/>
      <c r="C128" s="114"/>
      <c r="D128" s="114"/>
      <c r="E128" s="114"/>
      <c r="F128" s="114"/>
      <c r="G128" s="114"/>
      <c r="H128" s="114"/>
      <c r="I128" s="114"/>
      <c r="J128" s="32" t="s">
        <v>511</v>
      </c>
      <c r="K128" s="175">
        <v>0.1</v>
      </c>
      <c r="L128" s="175"/>
      <c r="M128" s="175"/>
      <c r="N128" s="175">
        <f t="shared" ref="N128:N133" si="4">K128</f>
        <v>0.1</v>
      </c>
      <c r="O128" s="175"/>
      <c r="P128" s="175"/>
      <c r="Q128" s="175">
        <f t="shared" ref="Q128:Q133" si="5">(K128-N128)</f>
        <v>0</v>
      </c>
      <c r="R128" s="175"/>
      <c r="S128" s="175"/>
    </row>
    <row r="129" spans="1:19" ht="20.100000000000001" customHeight="1" x14ac:dyDescent="0.25">
      <c r="A129" s="114" t="s">
        <v>526</v>
      </c>
      <c r="B129" s="114"/>
      <c r="C129" s="114"/>
      <c r="D129" s="114"/>
      <c r="E129" s="114"/>
      <c r="F129" s="114"/>
      <c r="G129" s="114"/>
      <c r="H129" s="114"/>
      <c r="I129" s="114"/>
      <c r="J129" s="32" t="s">
        <v>512</v>
      </c>
      <c r="K129" s="175">
        <v>0.05</v>
      </c>
      <c r="L129" s="175"/>
      <c r="M129" s="175"/>
      <c r="N129" s="175">
        <f t="shared" si="4"/>
        <v>0.05</v>
      </c>
      <c r="O129" s="175"/>
      <c r="P129" s="175"/>
      <c r="Q129" s="175">
        <f t="shared" si="5"/>
        <v>0</v>
      </c>
      <c r="R129" s="175"/>
      <c r="S129" s="175"/>
    </row>
    <row r="130" spans="1:19" ht="20.100000000000001" customHeight="1" x14ac:dyDescent="0.25">
      <c r="A130" s="114" t="s">
        <v>527</v>
      </c>
      <c r="B130" s="114"/>
      <c r="C130" s="114"/>
      <c r="D130" s="114"/>
      <c r="E130" s="114"/>
      <c r="F130" s="114"/>
      <c r="G130" s="114"/>
      <c r="H130" s="114"/>
      <c r="I130" s="114"/>
      <c r="J130" s="32" t="s">
        <v>513</v>
      </c>
      <c r="K130" s="175">
        <v>0.15</v>
      </c>
      <c r="L130" s="175"/>
      <c r="M130" s="175"/>
      <c r="N130" s="175">
        <f t="shared" si="4"/>
        <v>0.15</v>
      </c>
      <c r="O130" s="175"/>
      <c r="P130" s="175"/>
      <c r="Q130" s="175">
        <f t="shared" si="5"/>
        <v>0</v>
      </c>
      <c r="R130" s="175"/>
      <c r="S130" s="175"/>
    </row>
    <row r="131" spans="1:19" ht="20.100000000000001" customHeight="1" x14ac:dyDescent="0.25">
      <c r="A131" s="114" t="s">
        <v>528</v>
      </c>
      <c r="B131" s="114"/>
      <c r="C131" s="114"/>
      <c r="D131" s="114"/>
      <c r="E131" s="114"/>
      <c r="F131" s="114"/>
      <c r="G131" s="114"/>
      <c r="H131" s="114"/>
      <c r="I131" s="114"/>
      <c r="J131" s="32" t="s">
        <v>514</v>
      </c>
      <c r="K131" s="175">
        <v>0.1</v>
      </c>
      <c r="L131" s="175"/>
      <c r="M131" s="175"/>
      <c r="N131" s="175">
        <f t="shared" si="4"/>
        <v>0.1</v>
      </c>
      <c r="O131" s="175"/>
      <c r="P131" s="175"/>
      <c r="Q131" s="175">
        <f t="shared" si="5"/>
        <v>0</v>
      </c>
      <c r="R131" s="175"/>
      <c r="S131" s="175"/>
    </row>
    <row r="132" spans="1:19" ht="20.100000000000001" customHeight="1" x14ac:dyDescent="0.25">
      <c r="A132" s="114" t="s">
        <v>1</v>
      </c>
      <c r="B132" s="114"/>
      <c r="C132" s="114"/>
      <c r="D132" s="114"/>
      <c r="E132" s="114"/>
      <c r="F132" s="114"/>
      <c r="G132" s="114"/>
      <c r="H132" s="114"/>
      <c r="I132" s="114"/>
      <c r="J132" s="32" t="s">
        <v>515</v>
      </c>
      <c r="K132" s="175">
        <v>0.3</v>
      </c>
      <c r="L132" s="175"/>
      <c r="M132" s="175"/>
      <c r="N132" s="175">
        <f t="shared" si="4"/>
        <v>0.3</v>
      </c>
      <c r="O132" s="175"/>
      <c r="P132" s="175"/>
      <c r="Q132" s="175">
        <f t="shared" si="5"/>
        <v>0</v>
      </c>
      <c r="R132" s="175"/>
      <c r="S132" s="175"/>
    </row>
    <row r="133" spans="1:19" ht="20.100000000000001" customHeight="1" x14ac:dyDescent="0.25">
      <c r="A133" s="114" t="s">
        <v>529</v>
      </c>
      <c r="B133" s="114"/>
      <c r="C133" s="114"/>
      <c r="D133" s="114"/>
      <c r="E133" s="114"/>
      <c r="F133" s="114"/>
      <c r="G133" s="114"/>
      <c r="H133" s="114"/>
      <c r="I133" s="114"/>
      <c r="J133" s="32" t="s">
        <v>516</v>
      </c>
      <c r="K133" s="175">
        <v>0.05</v>
      </c>
      <c r="L133" s="175"/>
      <c r="M133" s="175"/>
      <c r="N133" s="175">
        <f t="shared" si="4"/>
        <v>0.05</v>
      </c>
      <c r="O133" s="175"/>
      <c r="P133" s="175"/>
      <c r="Q133" s="175">
        <f t="shared" si="5"/>
        <v>0</v>
      </c>
      <c r="R133" s="175"/>
      <c r="S133" s="175"/>
    </row>
    <row r="135" spans="1:19" ht="20.100000000000001" customHeight="1" x14ac:dyDescent="0.25">
      <c r="A135" s="113" t="s">
        <v>267</v>
      </c>
      <c r="B135" s="113"/>
      <c r="C135" s="113"/>
      <c r="D135" s="113"/>
      <c r="E135" s="113"/>
      <c r="F135" s="113"/>
      <c r="G135" s="113"/>
      <c r="H135" s="113"/>
      <c r="I135" s="113"/>
      <c r="J135" s="113"/>
      <c r="K135" s="176">
        <f>1+(SUM(K127:M133))</f>
        <v>1.9</v>
      </c>
      <c r="L135" s="176"/>
      <c r="M135" s="176"/>
      <c r="N135" s="176">
        <f>1+(SUM(N127:P133))</f>
        <v>1.9</v>
      </c>
      <c r="O135" s="176"/>
      <c r="P135" s="176"/>
    </row>
    <row r="136" spans="1:19" ht="20.100000000000001" customHeight="1" x14ac:dyDescent="0.25">
      <c r="A136" s="136" t="s">
        <v>517</v>
      </c>
      <c r="B136" s="136"/>
      <c r="C136" s="136"/>
      <c r="D136" s="136"/>
      <c r="E136" s="136"/>
      <c r="F136" s="136"/>
      <c r="G136" s="136"/>
      <c r="H136" s="136"/>
      <c r="I136" s="136"/>
      <c r="J136" s="136"/>
      <c r="K136" s="136"/>
      <c r="L136" s="136"/>
      <c r="M136" s="136"/>
      <c r="N136" s="136"/>
      <c r="O136" s="136"/>
      <c r="P136" s="136"/>
    </row>
    <row r="137" spans="1:19" ht="20.100000000000001" customHeight="1" x14ac:dyDescent="0.25">
      <c r="A137" s="189"/>
      <c r="B137" s="189"/>
      <c r="C137" s="189"/>
      <c r="D137" s="189"/>
      <c r="E137" s="189"/>
      <c r="F137" s="189"/>
      <c r="G137" s="189"/>
      <c r="H137" s="189"/>
      <c r="I137" s="189"/>
      <c r="J137" s="189"/>
      <c r="K137" s="189"/>
      <c r="L137" s="189"/>
      <c r="M137" s="189"/>
      <c r="N137" s="189"/>
      <c r="O137" s="189"/>
      <c r="P137" s="189"/>
      <c r="Q137" s="176">
        <f>SUM(Q127:S133)</f>
        <v>0</v>
      </c>
      <c r="R137" s="176"/>
      <c r="S137" s="176"/>
    </row>
    <row r="139" spans="1:19" ht="20.100000000000001" customHeight="1" x14ac:dyDescent="0.25">
      <c r="A139" s="187" t="s">
        <v>530</v>
      </c>
      <c r="B139" s="187"/>
      <c r="C139" s="187"/>
      <c r="D139" s="187"/>
      <c r="E139" s="187"/>
      <c r="F139" s="187" t="s">
        <v>34</v>
      </c>
      <c r="G139" s="187"/>
      <c r="H139" s="187"/>
      <c r="I139" s="187"/>
      <c r="J139" s="187"/>
      <c r="K139" s="187"/>
      <c r="L139" s="187"/>
      <c r="M139" s="187"/>
      <c r="N139" s="187"/>
      <c r="O139" s="187"/>
      <c r="P139" s="187"/>
      <c r="Q139" s="187" t="s">
        <v>15</v>
      </c>
      <c r="R139" s="187"/>
      <c r="S139" s="187"/>
    </row>
    <row r="140" spans="1:19" ht="20.100000000000001" customHeight="1" x14ac:dyDescent="0.25">
      <c r="A140" s="187"/>
      <c r="B140" s="187"/>
      <c r="C140" s="187"/>
      <c r="D140" s="187"/>
      <c r="E140" s="187"/>
      <c r="F140" s="95"/>
      <c r="G140" s="95"/>
      <c r="H140" s="95"/>
      <c r="I140" s="95"/>
      <c r="J140" s="95" t="s">
        <v>510</v>
      </c>
      <c r="K140" s="95" t="s">
        <v>511</v>
      </c>
      <c r="L140" s="95" t="s">
        <v>512</v>
      </c>
      <c r="M140" s="95" t="s">
        <v>513</v>
      </c>
      <c r="N140" s="95" t="s">
        <v>514</v>
      </c>
      <c r="O140" s="95" t="s">
        <v>515</v>
      </c>
      <c r="P140" s="95" t="s">
        <v>516</v>
      </c>
      <c r="Q140" s="193"/>
      <c r="R140" s="193"/>
      <c r="S140" s="193"/>
    </row>
    <row r="141" spans="1:19" ht="20.100000000000001" customHeight="1" thickBot="1" x14ac:dyDescent="0.3">
      <c r="A141" s="188"/>
      <c r="B141" s="188"/>
      <c r="C141" s="188"/>
      <c r="D141" s="188"/>
      <c r="E141" s="188"/>
      <c r="F141" s="97"/>
      <c r="G141" s="97"/>
      <c r="H141" s="97"/>
      <c r="I141" s="97"/>
      <c r="J141" s="97">
        <f>$N$127</f>
        <v>0.15</v>
      </c>
      <c r="K141" s="97">
        <f>$N$128</f>
        <v>0.1</v>
      </c>
      <c r="L141" s="97">
        <f>$N$129</f>
        <v>0.05</v>
      </c>
      <c r="M141" s="97">
        <f>$N$130</f>
        <v>0.15</v>
      </c>
      <c r="N141" s="97">
        <f>$N$131</f>
        <v>0.1</v>
      </c>
      <c r="O141" s="97">
        <f>$N$132</f>
        <v>0.3</v>
      </c>
      <c r="P141" s="97">
        <f>$N$133</f>
        <v>0.05</v>
      </c>
      <c r="Q141" s="190">
        <f>1+(SUM(J141:P141))</f>
        <v>1.9</v>
      </c>
      <c r="R141" s="190"/>
      <c r="S141" s="190"/>
    </row>
    <row r="143" spans="1:19" ht="20.100000000000001" customHeight="1" x14ac:dyDescent="0.25">
      <c r="A143" s="112" t="s">
        <v>263</v>
      </c>
      <c r="B143" s="112"/>
      <c r="C143" s="112"/>
      <c r="D143" s="112"/>
      <c r="E143" s="112"/>
      <c r="F143" s="112"/>
      <c r="G143" s="112"/>
      <c r="H143" s="112"/>
      <c r="I143" s="112"/>
      <c r="J143" s="112"/>
      <c r="K143" s="112"/>
      <c r="L143" s="112"/>
      <c r="M143" s="112"/>
      <c r="N143" s="112"/>
      <c r="O143" s="112"/>
      <c r="P143" s="112"/>
      <c r="Q143" s="112"/>
      <c r="R143" s="112"/>
      <c r="S143" s="112"/>
    </row>
    <row r="144" spans="1:19" ht="20.100000000000001" customHeight="1" x14ac:dyDescent="0.25">
      <c r="A144" s="112"/>
      <c r="B144" s="112"/>
      <c r="C144" s="112"/>
      <c r="D144" s="112"/>
      <c r="E144" s="112"/>
      <c r="F144" s="112"/>
      <c r="G144" s="112"/>
      <c r="H144" s="112"/>
      <c r="I144" s="112"/>
      <c r="J144" s="112"/>
      <c r="K144" s="112"/>
      <c r="L144" s="112"/>
      <c r="M144" s="112"/>
      <c r="N144" s="112"/>
      <c r="O144" s="112"/>
      <c r="P144" s="112"/>
      <c r="Q144" s="112"/>
      <c r="R144" s="112"/>
      <c r="S144" s="112"/>
    </row>
    <row r="146" spans="1:19" ht="39.950000000000003" customHeight="1" x14ac:dyDescent="0.25">
      <c r="A146" s="159" t="s">
        <v>17</v>
      </c>
      <c r="B146" s="159"/>
      <c r="C146" s="159" t="str">
        <f>Q43</f>
        <v>Valor unitário homogeneizado</v>
      </c>
      <c r="D146" s="159"/>
      <c r="E146" s="159"/>
      <c r="F146" s="85"/>
      <c r="G146" s="85"/>
      <c r="H146" s="85"/>
      <c r="I146" s="85"/>
      <c r="J146" s="85" t="s">
        <v>510</v>
      </c>
      <c r="K146" s="85" t="s">
        <v>511</v>
      </c>
      <c r="L146" s="85" t="s">
        <v>512</v>
      </c>
      <c r="M146" s="85" t="s">
        <v>513</v>
      </c>
      <c r="N146" s="85" t="s">
        <v>514</v>
      </c>
      <c r="O146" s="85" t="s">
        <v>515</v>
      </c>
      <c r="P146" s="85" t="s">
        <v>516</v>
      </c>
      <c r="Q146" s="159" t="s">
        <v>15</v>
      </c>
      <c r="R146" s="159"/>
      <c r="S146" s="159"/>
    </row>
    <row r="147" spans="1:19" ht="20.100000000000001" customHeight="1" x14ac:dyDescent="0.25">
      <c r="A147" s="124">
        <v>1</v>
      </c>
      <c r="B147" s="124"/>
      <c r="C147" s="173">
        <f>Q44</f>
        <v>472.50000000000017</v>
      </c>
      <c r="D147" s="173"/>
      <c r="E147" s="173"/>
      <c r="F147" s="96"/>
      <c r="G147" s="96"/>
      <c r="H147" s="96"/>
      <c r="I147" s="96"/>
      <c r="J147" s="96">
        <f>$K$127</f>
        <v>0.15</v>
      </c>
      <c r="K147" s="96">
        <f>$K$128</f>
        <v>0.1</v>
      </c>
      <c r="L147" s="96">
        <f>$K$129</f>
        <v>0.05</v>
      </c>
      <c r="M147" s="96">
        <f>$K$130</f>
        <v>0.15</v>
      </c>
      <c r="N147" s="96">
        <f>$K$131</f>
        <v>0.1</v>
      </c>
      <c r="O147" s="96">
        <f>$K$132</f>
        <v>0.3</v>
      </c>
      <c r="P147" s="96">
        <f>$K$133</f>
        <v>0.05</v>
      </c>
      <c r="Q147" s="191">
        <f>1+(SUM(J147:P147))</f>
        <v>1.9</v>
      </c>
      <c r="R147" s="191"/>
      <c r="S147" s="191"/>
    </row>
    <row r="148" spans="1:19" ht="20.100000000000001" customHeight="1" x14ac:dyDescent="0.25">
      <c r="A148" s="124">
        <v>2</v>
      </c>
      <c r="B148" s="124"/>
      <c r="C148" s="140">
        <f>Q45</f>
        <v>548.12030075187988</v>
      </c>
      <c r="D148" s="140"/>
      <c r="E148" s="140"/>
      <c r="F148" s="96"/>
      <c r="G148" s="96"/>
      <c r="H148" s="96"/>
      <c r="I148" s="96"/>
      <c r="J148" s="96">
        <f t="shared" ref="J148:J149" si="6">$K$127</f>
        <v>0.15</v>
      </c>
      <c r="K148" s="96">
        <f t="shared" ref="K148:K149" si="7">$K$128</f>
        <v>0.1</v>
      </c>
      <c r="L148" s="96">
        <f t="shared" ref="L148:L149" si="8">$K$129</f>
        <v>0.05</v>
      </c>
      <c r="M148" s="96">
        <f t="shared" ref="M148:M149" si="9">$K$130</f>
        <v>0.15</v>
      </c>
      <c r="N148" s="96">
        <f t="shared" ref="N148:N149" si="10">$K$131</f>
        <v>0.1</v>
      </c>
      <c r="O148" s="96">
        <f t="shared" ref="O148:O149" si="11">$K$132</f>
        <v>0.3</v>
      </c>
      <c r="P148" s="96">
        <f t="shared" ref="P148:P149" si="12">$K$133</f>
        <v>0.05</v>
      </c>
      <c r="Q148" s="192">
        <f>1+(SUM(J148:P148))</f>
        <v>1.9</v>
      </c>
      <c r="R148" s="192"/>
      <c r="S148" s="192"/>
    </row>
    <row r="149" spans="1:19" ht="20.100000000000001" customHeight="1" thickBot="1" x14ac:dyDescent="0.3">
      <c r="A149" s="160">
        <v>3</v>
      </c>
      <c r="B149" s="160"/>
      <c r="C149" s="172">
        <f>Q46</f>
        <v>513.00000000000023</v>
      </c>
      <c r="D149" s="172"/>
      <c r="E149" s="172"/>
      <c r="F149" s="98"/>
      <c r="G149" s="98"/>
      <c r="H149" s="98"/>
      <c r="I149" s="98"/>
      <c r="J149" s="98">
        <f t="shared" si="6"/>
        <v>0.15</v>
      </c>
      <c r="K149" s="98">
        <f t="shared" si="7"/>
        <v>0.1</v>
      </c>
      <c r="L149" s="98">
        <f t="shared" si="8"/>
        <v>0.05</v>
      </c>
      <c r="M149" s="98">
        <f t="shared" si="9"/>
        <v>0.15</v>
      </c>
      <c r="N149" s="98">
        <f t="shared" si="10"/>
        <v>0.1</v>
      </c>
      <c r="O149" s="98">
        <f t="shared" si="11"/>
        <v>0.3</v>
      </c>
      <c r="P149" s="98">
        <f t="shared" si="12"/>
        <v>0.05</v>
      </c>
      <c r="Q149" s="183">
        <f>1+(SUM(J149:P149))</f>
        <v>1.9</v>
      </c>
      <c r="R149" s="183"/>
      <c r="S149" s="183"/>
    </row>
    <row r="151" spans="1:19" ht="39.950000000000003" customHeight="1" x14ac:dyDescent="0.25">
      <c r="A151" s="159" t="s">
        <v>17</v>
      </c>
      <c r="B151" s="159"/>
      <c r="C151" s="159" t="str">
        <f>C146</f>
        <v>Valor unitário homogeneizado</v>
      </c>
      <c r="D151" s="159"/>
      <c r="E151" s="159"/>
      <c r="F151" s="159" t="s">
        <v>518</v>
      </c>
      <c r="G151" s="159"/>
      <c r="H151" s="159"/>
      <c r="I151" s="159" t="s">
        <v>519</v>
      </c>
      <c r="J151" s="159"/>
      <c r="K151" s="159"/>
      <c r="L151" s="159" t="s">
        <v>23</v>
      </c>
      <c r="M151" s="159"/>
      <c r="N151" s="159"/>
      <c r="O151" s="159" t="s">
        <v>42</v>
      </c>
      <c r="P151" s="159"/>
      <c r="Q151" s="159"/>
      <c r="R151" s="159"/>
      <c r="S151" s="159"/>
    </row>
    <row r="152" spans="1:19" ht="20.100000000000001" customHeight="1" x14ac:dyDescent="0.25">
      <c r="A152" s="124">
        <v>1</v>
      </c>
      <c r="B152" s="124"/>
      <c r="C152" s="173">
        <f>C147</f>
        <v>472.50000000000017</v>
      </c>
      <c r="D152" s="173"/>
      <c r="E152" s="173"/>
      <c r="F152" s="184">
        <f>Q147</f>
        <v>1.9</v>
      </c>
      <c r="G152" s="184"/>
      <c r="H152" s="184"/>
      <c r="I152" s="184">
        <f>$Q$141</f>
        <v>1.9</v>
      </c>
      <c r="J152" s="184"/>
      <c r="K152" s="184"/>
      <c r="L152" s="184">
        <f>I152/F152</f>
        <v>1</v>
      </c>
      <c r="M152" s="184"/>
      <c r="N152" s="184"/>
      <c r="O152" s="173">
        <f t="shared" ref="O152:O154" si="13">C152*L152</f>
        <v>472.50000000000017</v>
      </c>
      <c r="P152" s="173"/>
      <c r="Q152" s="173"/>
      <c r="R152" s="173"/>
      <c r="S152" s="173"/>
    </row>
    <row r="153" spans="1:19" ht="20.100000000000001" customHeight="1" x14ac:dyDescent="0.25">
      <c r="A153" s="124">
        <v>2</v>
      </c>
      <c r="B153" s="124"/>
      <c r="C153" s="140">
        <f>C148</f>
        <v>548.12030075187988</v>
      </c>
      <c r="D153" s="140"/>
      <c r="E153" s="140"/>
      <c r="F153" s="132">
        <f>Q148</f>
        <v>1.9</v>
      </c>
      <c r="G153" s="132"/>
      <c r="H153" s="132"/>
      <c r="I153" s="132">
        <f t="shared" ref="I153:I154" si="14">$Q$141</f>
        <v>1.9</v>
      </c>
      <c r="J153" s="132"/>
      <c r="K153" s="132"/>
      <c r="L153" s="132">
        <f t="shared" ref="L153:L154" si="15">I153/F153</f>
        <v>1</v>
      </c>
      <c r="M153" s="132"/>
      <c r="N153" s="132"/>
      <c r="O153" s="140">
        <f t="shared" si="13"/>
        <v>548.12030075187988</v>
      </c>
      <c r="P153" s="140"/>
      <c r="Q153" s="140"/>
      <c r="R153" s="140"/>
      <c r="S153" s="140"/>
    </row>
    <row r="154" spans="1:19" ht="20.100000000000001" customHeight="1" thickBot="1" x14ac:dyDescent="0.3">
      <c r="A154" s="160">
        <v>3</v>
      </c>
      <c r="B154" s="160"/>
      <c r="C154" s="172">
        <f>C149</f>
        <v>513.00000000000023</v>
      </c>
      <c r="D154" s="172"/>
      <c r="E154" s="172"/>
      <c r="F154" s="174">
        <f>Q149</f>
        <v>1.9</v>
      </c>
      <c r="G154" s="174"/>
      <c r="H154" s="174"/>
      <c r="I154" s="174">
        <f t="shared" si="14"/>
        <v>1.9</v>
      </c>
      <c r="J154" s="174"/>
      <c r="K154" s="174"/>
      <c r="L154" s="174">
        <f t="shared" si="15"/>
        <v>1</v>
      </c>
      <c r="M154" s="174"/>
      <c r="N154" s="174"/>
      <c r="O154" s="172">
        <f t="shared" si="13"/>
        <v>513.00000000000023</v>
      </c>
      <c r="P154" s="172"/>
      <c r="Q154" s="172"/>
      <c r="R154" s="172"/>
      <c r="S154" s="172"/>
    </row>
    <row r="156" spans="1:19" ht="20.100000000000001" customHeight="1" x14ac:dyDescent="0.25">
      <c r="M156" s="113" t="s">
        <v>36</v>
      </c>
      <c r="N156" s="113"/>
      <c r="O156" s="113"/>
      <c r="P156" s="113"/>
      <c r="Q156" s="148">
        <f>AVERAGE(O152:S154)</f>
        <v>511.20676691729341</v>
      </c>
      <c r="R156" s="148"/>
      <c r="S156" s="148"/>
    </row>
    <row r="157" spans="1:19" ht="20.100000000000001" customHeight="1" x14ac:dyDescent="0.25">
      <c r="M157" s="112" t="s">
        <v>37</v>
      </c>
      <c r="N157" s="112"/>
      <c r="O157" s="112"/>
      <c r="P157" s="112"/>
      <c r="Q157" s="148">
        <f>STDEVA(O152:S154)</f>
        <v>37.842030007887665</v>
      </c>
      <c r="R157" s="148"/>
      <c r="S157" s="148"/>
    </row>
    <row r="158" spans="1:19" ht="20.100000000000001" customHeight="1" x14ac:dyDescent="0.25">
      <c r="M158" s="114" t="s">
        <v>35</v>
      </c>
      <c r="N158" s="114"/>
      <c r="O158" s="114"/>
      <c r="P158" s="114"/>
      <c r="Q158" s="185">
        <f>Q157/Q156</f>
        <v>7.4024900405925201E-2</v>
      </c>
      <c r="R158" s="185"/>
      <c r="S158" s="185"/>
    </row>
    <row r="161" spans="1:25" ht="20.100000000000001" customHeight="1" x14ac:dyDescent="0.25">
      <c r="A161" s="120" t="s">
        <v>49</v>
      </c>
      <c r="B161" s="120"/>
      <c r="C161" s="120"/>
      <c r="D161" s="120"/>
      <c r="E161" s="120"/>
      <c r="F161" s="120"/>
      <c r="G161" s="120"/>
      <c r="H161" s="120"/>
      <c r="I161" s="120"/>
      <c r="J161" s="120"/>
      <c r="K161" s="120"/>
      <c r="L161" s="120"/>
      <c r="M161" s="120"/>
      <c r="N161" s="120"/>
      <c r="O161" s="120"/>
      <c r="P161" s="120"/>
      <c r="Q161" s="120"/>
      <c r="R161" s="120"/>
      <c r="S161" s="120"/>
    </row>
    <row r="163" spans="1:25" ht="20.100000000000001" customHeight="1" x14ac:dyDescent="0.25">
      <c r="A163" s="159" t="s">
        <v>17</v>
      </c>
      <c r="B163" s="159"/>
      <c r="C163" s="159" t="s">
        <v>32</v>
      </c>
      <c r="D163" s="159"/>
      <c r="E163" s="159"/>
      <c r="F163" s="159"/>
      <c r="G163" s="159"/>
      <c r="M163" s="113" t="s">
        <v>43</v>
      </c>
      <c r="N163" s="113"/>
      <c r="O163" s="113"/>
      <c r="P163" s="113"/>
      <c r="Q163" s="113"/>
      <c r="R163" s="179">
        <v>0.3</v>
      </c>
      <c r="S163" s="179"/>
    </row>
    <row r="164" spans="1:25" ht="20.100000000000001" customHeight="1" x14ac:dyDescent="0.25">
      <c r="A164" s="124">
        <v>1</v>
      </c>
      <c r="B164" s="124"/>
      <c r="C164" s="182">
        <f>O152</f>
        <v>472.50000000000017</v>
      </c>
      <c r="D164" s="182"/>
      <c r="E164" s="182"/>
      <c r="F164" s="182"/>
      <c r="G164" s="182"/>
      <c r="H164" s="23">
        <f t="shared" ref="H164:H166" si="16">A164</f>
        <v>1</v>
      </c>
    </row>
    <row r="165" spans="1:25" ht="20.100000000000001" customHeight="1" x14ac:dyDescent="0.25">
      <c r="A165" s="124">
        <v>2</v>
      </c>
      <c r="B165" s="124"/>
      <c r="C165" s="165">
        <f>O153</f>
        <v>548.12030075187988</v>
      </c>
      <c r="D165" s="165"/>
      <c r="E165" s="165"/>
      <c r="F165" s="165"/>
      <c r="G165" s="165"/>
      <c r="H165" s="23">
        <f t="shared" si="16"/>
        <v>2</v>
      </c>
      <c r="M165" s="113" t="s">
        <v>36</v>
      </c>
      <c r="N165" s="113"/>
      <c r="O165" s="113"/>
      <c r="P165" s="113"/>
      <c r="Q165" s="148">
        <f>AVERAGE(C164:C166)</f>
        <v>511.20676691729341</v>
      </c>
      <c r="R165" s="148"/>
      <c r="S165" s="148"/>
    </row>
    <row r="166" spans="1:25" ht="20.100000000000001" customHeight="1" x14ac:dyDescent="0.25">
      <c r="A166" s="124">
        <v>3</v>
      </c>
      <c r="B166" s="124"/>
      <c r="C166" s="165">
        <f>O154</f>
        <v>513.00000000000023</v>
      </c>
      <c r="D166" s="165"/>
      <c r="E166" s="165"/>
      <c r="F166" s="165"/>
      <c r="G166" s="165"/>
      <c r="H166" s="23">
        <f t="shared" si="16"/>
        <v>3</v>
      </c>
      <c r="M166" s="113" t="s">
        <v>45</v>
      </c>
      <c r="N166" s="113"/>
      <c r="O166" s="113"/>
      <c r="P166" s="113"/>
      <c r="Q166" s="148">
        <f>Q165*(1+R163)</f>
        <v>664.56879699248145</v>
      </c>
      <c r="R166" s="148"/>
      <c r="S166" s="148"/>
    </row>
    <row r="167" spans="1:25" ht="20.100000000000001" customHeight="1" x14ac:dyDescent="0.25">
      <c r="M167" s="113" t="s">
        <v>44</v>
      </c>
      <c r="N167" s="113"/>
      <c r="O167" s="113"/>
      <c r="P167" s="113"/>
      <c r="Q167" s="148">
        <f>Q165*(1-R163)</f>
        <v>357.84473684210536</v>
      </c>
      <c r="R167" s="148"/>
      <c r="S167" s="148"/>
    </row>
    <row r="168" spans="1:25" ht="20.100000000000001" customHeight="1" x14ac:dyDescent="0.25">
      <c r="M168" s="113" t="s">
        <v>47</v>
      </c>
      <c r="N168" s="113"/>
      <c r="O168" s="113"/>
      <c r="P168" s="113"/>
      <c r="Q168" s="148">
        <f>MAX(C164:C166)</f>
        <v>548.12030075187988</v>
      </c>
      <c r="R168" s="148"/>
      <c r="S168" s="148"/>
      <c r="W168" s="29"/>
    </row>
    <row r="169" spans="1:25" ht="20.100000000000001" customHeight="1" x14ac:dyDescent="0.25">
      <c r="M169" s="113" t="s">
        <v>46</v>
      </c>
      <c r="N169" s="113"/>
      <c r="O169" s="113"/>
      <c r="P169" s="113"/>
      <c r="Q169" s="148">
        <f>MIN(C164:C166)</f>
        <v>472.50000000000017</v>
      </c>
      <c r="R169" s="148"/>
      <c r="S169" s="148"/>
      <c r="W169" s="29"/>
    </row>
    <row r="170" spans="1:25" ht="20.100000000000001" customHeight="1" x14ac:dyDescent="0.25">
      <c r="M170" s="112"/>
      <c r="N170" s="112"/>
      <c r="O170" s="112"/>
      <c r="P170" s="112"/>
      <c r="Q170" s="173"/>
      <c r="R170" s="173"/>
      <c r="S170" s="173"/>
    </row>
    <row r="171" spans="1:25" ht="20.100000000000001" customHeight="1" x14ac:dyDescent="0.25">
      <c r="M171" s="113" t="s">
        <v>51</v>
      </c>
      <c r="N171" s="113"/>
      <c r="O171" s="113" t="str">
        <f>IF(Q171="Nada a excluir","",Y171)</f>
        <v/>
      </c>
      <c r="P171" s="113"/>
      <c r="Q171" s="148" t="str" cm="1">
        <f t="array" ref="Q171">_xlfn.IFS(AND(OR(Q168&gt;Q166,Q169&lt;Q167),(Q168-Q165)&gt;(Q165-Q169)),Q168,AND(OR(Q169&lt;Q167,Q168&gt;Q166),(Q165-Q169)&gt;(Q168-Q165)),Q169,AND(Q168&lt;=Q166,Q169&gt;=Q167),"Nada a excluir")</f>
        <v>Nada a excluir</v>
      </c>
      <c r="R171" s="148"/>
      <c r="S171" s="148"/>
      <c r="Y171" s="23" t="e">
        <f>VLOOKUP(Q171,C164:H166,6,0)</f>
        <v>#N/A</v>
      </c>
    </row>
    <row r="172" spans="1:25" ht="20.100000000000001" customHeight="1" x14ac:dyDescent="0.25">
      <c r="M172" s="114" t="s">
        <v>50</v>
      </c>
      <c r="N172" s="114"/>
      <c r="O172" s="114"/>
      <c r="P172" s="114"/>
      <c r="Q172" s="150" t="str">
        <f>IF(Q171="Nada a excluir","Encerrar","Continuar")</f>
        <v>Encerrar</v>
      </c>
      <c r="R172" s="150"/>
      <c r="S172" s="150"/>
    </row>
    <row r="174" spans="1:25" ht="20.100000000000001" customHeight="1" x14ac:dyDescent="0.25">
      <c r="M174" s="113" t="s">
        <v>48</v>
      </c>
      <c r="N174" s="113"/>
      <c r="O174" s="113"/>
      <c r="P174" s="113"/>
      <c r="Q174" s="131">
        <f>STDEVA(C164:C166)</f>
        <v>37.842030007887665</v>
      </c>
      <c r="R174" s="161"/>
      <c r="S174" s="161"/>
    </row>
    <row r="175" spans="1:25" ht="20.100000000000001" customHeight="1" x14ac:dyDescent="0.25">
      <c r="M175" s="114" t="s">
        <v>35</v>
      </c>
      <c r="N175" s="114"/>
      <c r="O175" s="114"/>
      <c r="P175" s="114"/>
      <c r="Q175" s="149">
        <f>Q174/Q165</f>
        <v>7.4024900405925201E-2</v>
      </c>
      <c r="R175" s="149"/>
      <c r="S175" s="149"/>
    </row>
    <row r="176" spans="1:25" ht="20.100000000000001" customHeight="1" x14ac:dyDescent="0.25">
      <c r="Q176" s="99"/>
      <c r="R176" s="99"/>
      <c r="S176" s="99"/>
    </row>
    <row r="177" spans="17:26" ht="20.100000000000001" customHeight="1" x14ac:dyDescent="0.25">
      <c r="Q177" s="99"/>
      <c r="R177" s="99"/>
      <c r="S177" s="99"/>
    </row>
    <row r="178" spans="17:26" ht="20.100000000000001" customHeight="1" x14ac:dyDescent="0.25">
      <c r="Q178" s="99"/>
      <c r="R178" s="99"/>
      <c r="S178" s="99"/>
      <c r="X178" s="23" t="s">
        <v>44</v>
      </c>
      <c r="Y178" s="23" t="s">
        <v>45</v>
      </c>
      <c r="Z178" s="23" t="s">
        <v>36</v>
      </c>
    </row>
    <row r="179" spans="17:26" ht="20.100000000000001" customHeight="1" x14ac:dyDescent="0.25">
      <c r="Q179" s="99"/>
      <c r="R179" s="99"/>
      <c r="S179" s="99"/>
      <c r="X179" s="29">
        <f>$Q$167</f>
        <v>357.84473684210536</v>
      </c>
      <c r="Y179" s="29">
        <f>$Q$166</f>
        <v>664.56879699248145</v>
      </c>
      <c r="Z179" s="29">
        <f>$Q$165</f>
        <v>511.20676691729341</v>
      </c>
    </row>
    <row r="180" spans="17:26" ht="20.100000000000001" customHeight="1" x14ac:dyDescent="0.25">
      <c r="Q180" s="99"/>
      <c r="R180" s="99"/>
      <c r="S180" s="99"/>
      <c r="X180" s="29">
        <f t="shared" ref="X180:X181" si="17">$Q$167</f>
        <v>357.84473684210536</v>
      </c>
      <c r="Y180" s="29">
        <f t="shared" ref="Y180:Y181" si="18">$Q$166</f>
        <v>664.56879699248145</v>
      </c>
      <c r="Z180" s="29">
        <f t="shared" ref="Z180:Z181" si="19">$Q$165</f>
        <v>511.20676691729341</v>
      </c>
    </row>
    <row r="181" spans="17:26" ht="20.100000000000001" customHeight="1" x14ac:dyDescent="0.25">
      <c r="Q181" s="99"/>
      <c r="R181" s="99"/>
      <c r="S181" s="99"/>
      <c r="X181" s="29">
        <f t="shared" si="17"/>
        <v>357.84473684210536</v>
      </c>
      <c r="Y181" s="29">
        <f t="shared" si="18"/>
        <v>664.56879699248145</v>
      </c>
      <c r="Z181" s="29">
        <f t="shared" si="19"/>
        <v>511.20676691729341</v>
      </c>
    </row>
    <row r="182" spans="17:26" ht="20.100000000000001" customHeight="1" x14ac:dyDescent="0.25">
      <c r="Q182" s="99"/>
      <c r="R182" s="99"/>
      <c r="S182" s="99"/>
      <c r="X182" s="29"/>
      <c r="Y182" s="29"/>
      <c r="Z182" s="29"/>
    </row>
    <row r="183" spans="17:26" ht="20.100000000000001" customHeight="1" x14ac:dyDescent="0.25">
      <c r="Q183" s="99"/>
      <c r="R183" s="99"/>
      <c r="S183" s="99"/>
      <c r="X183" s="29"/>
      <c r="Y183" s="29"/>
      <c r="Z183" s="29"/>
    </row>
    <row r="184" spans="17:26" ht="20.100000000000001" customHeight="1" x14ac:dyDescent="0.25">
      <c r="Q184" s="99"/>
      <c r="R184" s="99"/>
      <c r="S184" s="99"/>
      <c r="X184" s="29"/>
      <c r="Y184" s="29"/>
      <c r="Z184" s="29"/>
    </row>
    <row r="185" spans="17:26" ht="20.100000000000001" customHeight="1" x14ac:dyDescent="0.25">
      <c r="Q185" s="99"/>
      <c r="R185" s="99"/>
      <c r="S185" s="99"/>
      <c r="X185" s="29"/>
      <c r="Y185" s="29"/>
      <c r="Z185" s="29"/>
    </row>
    <row r="186" spans="17:26" ht="20.100000000000001" customHeight="1" x14ac:dyDescent="0.25">
      <c r="Q186" s="99"/>
      <c r="R186" s="99"/>
      <c r="S186" s="99"/>
    </row>
    <row r="187" spans="17:26" ht="20.100000000000001" customHeight="1" x14ac:dyDescent="0.25">
      <c r="Q187" s="99"/>
      <c r="R187" s="99"/>
      <c r="S187" s="99"/>
    </row>
    <row r="188" spans="17:26" ht="20.100000000000001" customHeight="1" x14ac:dyDescent="0.25">
      <c r="Q188" s="99"/>
      <c r="R188" s="99"/>
      <c r="S188" s="99"/>
    </row>
    <row r="189" spans="17:26" ht="20.100000000000001" customHeight="1" x14ac:dyDescent="0.25">
      <c r="Q189" s="99"/>
      <c r="R189" s="99"/>
      <c r="S189" s="99"/>
    </row>
    <row r="190" spans="17:26" ht="20.100000000000001" customHeight="1" x14ac:dyDescent="0.25">
      <c r="Q190" s="99"/>
      <c r="R190" s="99"/>
      <c r="S190" s="99"/>
    </row>
    <row r="191" spans="17:26" ht="20.100000000000001" customHeight="1" x14ac:dyDescent="0.25">
      <c r="Q191" s="99"/>
      <c r="R191" s="99"/>
      <c r="S191" s="99"/>
    </row>
    <row r="192" spans="17:26" ht="20.100000000000001" customHeight="1" x14ac:dyDescent="0.25">
      <c r="Q192" s="99"/>
      <c r="R192" s="99"/>
      <c r="S192" s="99"/>
    </row>
    <row r="194" spans="1:31" ht="20.100000000000001" customHeight="1" x14ac:dyDescent="0.25">
      <c r="A194" s="120" t="s">
        <v>52</v>
      </c>
      <c r="B194" s="120"/>
      <c r="C194" s="120"/>
      <c r="D194" s="120"/>
      <c r="E194" s="120"/>
      <c r="F194" s="120"/>
      <c r="G194" s="120"/>
      <c r="H194" s="120"/>
      <c r="I194" s="120"/>
      <c r="J194" s="120"/>
      <c r="K194" s="120"/>
      <c r="L194" s="120"/>
      <c r="M194" s="120"/>
      <c r="N194" s="120"/>
      <c r="O194" s="120"/>
      <c r="P194" s="120"/>
      <c r="Q194" s="120"/>
      <c r="R194" s="120"/>
      <c r="S194" s="120"/>
    </row>
    <row r="196" spans="1:31" ht="20.100000000000001" customHeight="1" x14ac:dyDescent="0.25">
      <c r="A196" s="159" t="s">
        <v>17</v>
      </c>
      <c r="B196" s="159"/>
      <c r="C196" s="159" t="s">
        <v>32</v>
      </c>
      <c r="D196" s="159"/>
      <c r="E196" s="159"/>
      <c r="F196" s="159"/>
      <c r="G196" s="159"/>
      <c r="M196" s="113" t="s">
        <v>247</v>
      </c>
      <c r="N196" s="113"/>
      <c r="O196" s="113"/>
      <c r="P196" s="113"/>
      <c r="Q196" s="113"/>
      <c r="R196" s="206">
        <v>3</v>
      </c>
      <c r="S196" s="206"/>
      <c r="T196" s="168" t="s">
        <v>262</v>
      </c>
      <c r="U196" s="168"/>
      <c r="V196" s="168"/>
      <c r="AE196" s="23" t="s">
        <v>44</v>
      </c>
    </row>
    <row r="197" spans="1:31" ht="20.100000000000001" customHeight="1" x14ac:dyDescent="0.25">
      <c r="A197" s="124">
        <v>1</v>
      </c>
      <c r="B197" s="124"/>
      <c r="C197" s="182">
        <f>O152</f>
        <v>472.50000000000017</v>
      </c>
      <c r="D197" s="182"/>
      <c r="E197" s="182"/>
      <c r="F197" s="182"/>
      <c r="G197" s="182"/>
      <c r="H197" s="23">
        <f>A197</f>
        <v>1</v>
      </c>
      <c r="M197" s="113" t="s">
        <v>53</v>
      </c>
      <c r="N197" s="113"/>
      <c r="O197" s="113"/>
      <c r="P197" s="113"/>
      <c r="Q197" s="113"/>
      <c r="R197" s="147">
        <f>_xlfn.NORM.S.INV(1-((1/R196)/4))</f>
        <v>1.3829941271006372</v>
      </c>
      <c r="S197" s="147"/>
      <c r="Z197" s="100"/>
      <c r="AC197" s="29"/>
      <c r="AD197" s="29"/>
      <c r="AE197" s="29">
        <f>$Q$203</f>
        <v>458.8714616588187</v>
      </c>
    </row>
    <row r="198" spans="1:31" ht="20.100000000000001" customHeight="1" x14ac:dyDescent="0.25">
      <c r="A198" s="124">
        <v>2</v>
      </c>
      <c r="B198" s="124"/>
      <c r="C198" s="165">
        <f>O153</f>
        <v>548.12030075187988</v>
      </c>
      <c r="D198" s="165"/>
      <c r="E198" s="165"/>
      <c r="F198" s="165"/>
      <c r="G198" s="165"/>
      <c r="H198" s="23">
        <f t="shared" ref="H198:H199" si="20">A198</f>
        <v>2</v>
      </c>
      <c r="AC198" s="29"/>
      <c r="AD198" s="29"/>
      <c r="AE198" s="29">
        <f t="shared" ref="AE198:AE203" si="21">$Q$203</f>
        <v>458.8714616588187</v>
      </c>
    </row>
    <row r="199" spans="1:31" ht="20.100000000000001" customHeight="1" x14ac:dyDescent="0.25">
      <c r="A199" s="124">
        <v>3</v>
      </c>
      <c r="B199" s="124"/>
      <c r="C199" s="165">
        <f>O154</f>
        <v>513.00000000000023</v>
      </c>
      <c r="D199" s="165"/>
      <c r="E199" s="165"/>
      <c r="F199" s="165"/>
      <c r="G199" s="165"/>
      <c r="H199" s="23">
        <f t="shared" si="20"/>
        <v>3</v>
      </c>
      <c r="M199" s="113" t="s">
        <v>36</v>
      </c>
      <c r="N199" s="113"/>
      <c r="O199" s="113"/>
      <c r="P199" s="113"/>
      <c r="Q199" s="148">
        <f>AVERAGE(C197:C199)</f>
        <v>511.20676691729341</v>
      </c>
      <c r="R199" s="148"/>
      <c r="S199" s="148"/>
      <c r="AC199" s="29"/>
      <c r="AD199" s="29"/>
      <c r="AE199" s="29">
        <f t="shared" si="21"/>
        <v>458.8714616588187</v>
      </c>
    </row>
    <row r="200" spans="1:31" ht="20.100000000000001" customHeight="1" x14ac:dyDescent="0.25">
      <c r="M200" s="113" t="s">
        <v>37</v>
      </c>
      <c r="N200" s="113"/>
      <c r="O200" s="113"/>
      <c r="P200" s="113"/>
      <c r="Q200" s="148">
        <f>STDEVA(C197:G199)</f>
        <v>37.842030007887665</v>
      </c>
      <c r="R200" s="148"/>
      <c r="S200" s="148"/>
      <c r="AC200" s="29"/>
      <c r="AD200" s="29"/>
      <c r="AE200" s="29">
        <f t="shared" si="21"/>
        <v>458.8714616588187</v>
      </c>
    </row>
    <row r="201" spans="1:31" ht="20.100000000000001" customHeight="1" x14ac:dyDescent="0.25">
      <c r="AC201" s="29"/>
      <c r="AD201" s="29"/>
      <c r="AE201" s="29">
        <f t="shared" si="21"/>
        <v>458.8714616588187</v>
      </c>
    </row>
    <row r="202" spans="1:31" ht="20.100000000000001" customHeight="1" x14ac:dyDescent="0.25">
      <c r="M202" s="113" t="s">
        <v>45</v>
      </c>
      <c r="N202" s="113"/>
      <c r="O202" s="113"/>
      <c r="P202" s="113"/>
      <c r="Q202" s="148">
        <f>Q199+(R197*Q200)</f>
        <v>563.54207217576811</v>
      </c>
      <c r="R202" s="148"/>
      <c r="S202" s="148"/>
      <c r="AC202" s="29"/>
      <c r="AD202" s="29"/>
      <c r="AE202" s="29">
        <f t="shared" si="21"/>
        <v>458.8714616588187</v>
      </c>
    </row>
    <row r="203" spans="1:31" ht="20.100000000000001" customHeight="1" x14ac:dyDescent="0.25">
      <c r="M203" s="113" t="s">
        <v>44</v>
      </c>
      <c r="N203" s="113"/>
      <c r="O203" s="113"/>
      <c r="P203" s="113"/>
      <c r="Q203" s="148">
        <f>Q199-(R197*Q200)</f>
        <v>458.8714616588187</v>
      </c>
      <c r="R203" s="148"/>
      <c r="S203" s="148"/>
      <c r="AC203" s="29"/>
      <c r="AD203" s="29"/>
      <c r="AE203" s="29">
        <f t="shared" si="21"/>
        <v>458.8714616588187</v>
      </c>
    </row>
    <row r="204" spans="1:31" ht="20.100000000000001" customHeight="1" x14ac:dyDescent="0.25">
      <c r="M204" s="113" t="s">
        <v>47</v>
      </c>
      <c r="N204" s="113"/>
      <c r="O204" s="113"/>
      <c r="P204" s="113"/>
      <c r="Q204" s="148">
        <f>MAX(C197:C199)</f>
        <v>548.12030075187988</v>
      </c>
      <c r="R204" s="148"/>
      <c r="S204" s="148"/>
    </row>
    <row r="205" spans="1:31" ht="20.100000000000001" customHeight="1" x14ac:dyDescent="0.25">
      <c r="M205" s="113" t="s">
        <v>46</v>
      </c>
      <c r="N205" s="113"/>
      <c r="O205" s="113"/>
      <c r="P205" s="113"/>
      <c r="Q205" s="148">
        <f>MIN(C197:C199)</f>
        <v>472.50000000000017</v>
      </c>
      <c r="R205" s="148"/>
      <c r="S205" s="148"/>
    </row>
    <row r="207" spans="1:31" ht="20.100000000000001" customHeight="1" x14ac:dyDescent="0.25">
      <c r="M207" s="113" t="s">
        <v>51</v>
      </c>
      <c r="N207" s="113"/>
      <c r="O207" s="113" t="str">
        <f>IF(Q207="Nada a excluir","",Y207)</f>
        <v/>
      </c>
      <c r="P207" s="113"/>
      <c r="Q207" s="148" t="str" cm="1">
        <f t="array" ref="Q207">_xlfn.IFS(AND(OR(Q204&gt;Q202,Q205&lt;Q203),(Q204-Q199)&gt;(Q199-Q205)),Q204,AND(OR(Q205&lt;Q203,Q204&gt;Q202),(Q199-Q205)&gt;(Q204-Q199)),Q205,AND(Q204&lt;=Q202,Q205&gt;=Q203),"Nada a excluir")</f>
        <v>Nada a excluir</v>
      </c>
      <c r="R207" s="148"/>
      <c r="S207" s="148"/>
      <c r="Y207" s="23" t="e">
        <f>VLOOKUP(Q207,C197:H199,6,0)</f>
        <v>#N/A</v>
      </c>
    </row>
    <row r="208" spans="1:31" ht="20.100000000000001" customHeight="1" x14ac:dyDescent="0.25">
      <c r="M208" s="114" t="s">
        <v>50</v>
      </c>
      <c r="N208" s="114"/>
      <c r="O208" s="114"/>
      <c r="P208" s="114"/>
      <c r="Q208" s="150" t="str">
        <f>IF(Q207="Nada a excluir","Encerrar","Continuar")</f>
        <v>Encerrar</v>
      </c>
      <c r="R208" s="150"/>
      <c r="S208" s="150"/>
    </row>
    <row r="210" spans="13:26" ht="20.100000000000001" customHeight="1" x14ac:dyDescent="0.25">
      <c r="M210" s="113" t="s">
        <v>48</v>
      </c>
      <c r="N210" s="113"/>
      <c r="O210" s="113"/>
      <c r="P210" s="113"/>
      <c r="Q210" s="131">
        <f>Q200</f>
        <v>37.842030007887665</v>
      </c>
      <c r="R210" s="161"/>
      <c r="S210" s="161"/>
    </row>
    <row r="211" spans="13:26" ht="20.100000000000001" customHeight="1" x14ac:dyDescent="0.25">
      <c r="M211" s="114" t="s">
        <v>35</v>
      </c>
      <c r="N211" s="114"/>
      <c r="O211" s="114"/>
      <c r="P211" s="114"/>
      <c r="Q211" s="149">
        <f>Q200/Q199</f>
        <v>7.4024900405925201E-2</v>
      </c>
      <c r="R211" s="149"/>
      <c r="S211" s="149"/>
    </row>
    <row r="213" spans="13:26" ht="20.100000000000001" customHeight="1" x14ac:dyDescent="0.25">
      <c r="X213" s="23" t="s">
        <v>44</v>
      </c>
      <c r="Y213" s="23" t="s">
        <v>45</v>
      </c>
      <c r="Z213" s="23" t="s">
        <v>36</v>
      </c>
    </row>
    <row r="214" spans="13:26" ht="20.100000000000001" customHeight="1" x14ac:dyDescent="0.25">
      <c r="X214" s="29">
        <f>$Q$203</f>
        <v>458.8714616588187</v>
      </c>
      <c r="Y214" s="29">
        <f>$Q$202</f>
        <v>563.54207217576811</v>
      </c>
      <c r="Z214" s="29">
        <f>$Q$165</f>
        <v>511.20676691729341</v>
      </c>
    </row>
    <row r="215" spans="13:26" ht="20.100000000000001" customHeight="1" x14ac:dyDescent="0.25">
      <c r="X215" s="29">
        <f t="shared" ref="X215:X216" si="22">$Q$203</f>
        <v>458.8714616588187</v>
      </c>
      <c r="Y215" s="29">
        <f t="shared" ref="Y215:Y216" si="23">$Q$202</f>
        <v>563.54207217576811</v>
      </c>
      <c r="Z215" s="29">
        <f t="shared" ref="Z215:Z216" si="24">$Q$165</f>
        <v>511.20676691729341</v>
      </c>
    </row>
    <row r="216" spans="13:26" ht="20.100000000000001" customHeight="1" x14ac:dyDescent="0.25">
      <c r="X216" s="29">
        <f t="shared" si="22"/>
        <v>458.8714616588187</v>
      </c>
      <c r="Y216" s="29">
        <f t="shared" si="23"/>
        <v>563.54207217576811</v>
      </c>
      <c r="Z216" s="29">
        <f t="shared" si="24"/>
        <v>511.20676691729341</v>
      </c>
    </row>
    <row r="217" spans="13:26" ht="20.100000000000001" customHeight="1" x14ac:dyDescent="0.25">
      <c r="X217" s="29"/>
      <c r="Y217" s="29"/>
      <c r="Z217" s="29"/>
    </row>
    <row r="218" spans="13:26" ht="20.100000000000001" customHeight="1" x14ac:dyDescent="0.25">
      <c r="X218" s="29"/>
      <c r="Y218" s="29"/>
      <c r="Z218" s="29"/>
    </row>
    <row r="219" spans="13:26" ht="20.100000000000001" customHeight="1" x14ac:dyDescent="0.25">
      <c r="X219" s="29"/>
      <c r="Y219" s="29"/>
      <c r="Z219" s="29"/>
    </row>
    <row r="220" spans="13:26" ht="20.100000000000001" customHeight="1" x14ac:dyDescent="0.25">
      <c r="X220" s="29"/>
      <c r="Y220" s="29"/>
      <c r="Z220" s="29"/>
    </row>
    <row r="230" spans="1:25" ht="20.100000000000001" customHeight="1" x14ac:dyDescent="0.25">
      <c r="A230" s="120" t="s">
        <v>54</v>
      </c>
      <c r="B230" s="120"/>
      <c r="C230" s="120"/>
      <c r="D230" s="120"/>
      <c r="E230" s="120"/>
      <c r="F230" s="120"/>
      <c r="G230" s="120"/>
      <c r="H230" s="120"/>
      <c r="I230" s="120"/>
      <c r="J230" s="120"/>
      <c r="K230" s="120"/>
      <c r="L230" s="120"/>
      <c r="M230" s="120"/>
      <c r="N230" s="120"/>
      <c r="O230" s="120"/>
      <c r="P230" s="120"/>
      <c r="Q230" s="120"/>
      <c r="R230" s="120"/>
      <c r="S230" s="120"/>
    </row>
    <row r="232" spans="1:25" ht="20.100000000000001" customHeight="1" x14ac:dyDescent="0.25">
      <c r="A232" s="159" t="s">
        <v>17</v>
      </c>
      <c r="B232" s="159"/>
      <c r="C232" s="159" t="s">
        <v>32</v>
      </c>
      <c r="D232" s="159"/>
      <c r="E232" s="159"/>
      <c r="F232" s="159"/>
      <c r="G232" s="159"/>
      <c r="M232" s="113" t="s">
        <v>247</v>
      </c>
      <c r="N232" s="113"/>
      <c r="O232" s="113"/>
      <c r="P232" s="113"/>
      <c r="Q232" s="113"/>
      <c r="R232" s="203">
        <v>3</v>
      </c>
      <c r="S232" s="203"/>
      <c r="T232" s="168" t="s">
        <v>262</v>
      </c>
      <c r="U232" s="168"/>
      <c r="V232" s="168"/>
    </row>
    <row r="233" spans="1:25" ht="20.100000000000001" customHeight="1" x14ac:dyDescent="0.25">
      <c r="A233" s="124">
        <v>1</v>
      </c>
      <c r="B233" s="124"/>
      <c r="C233" s="182">
        <f>O152</f>
        <v>472.50000000000017</v>
      </c>
      <c r="D233" s="182"/>
      <c r="E233" s="182"/>
      <c r="F233" s="182"/>
      <c r="G233" s="182"/>
      <c r="H233" s="23">
        <f>A233</f>
        <v>1</v>
      </c>
      <c r="M233" s="113" t="s">
        <v>55</v>
      </c>
      <c r="N233" s="113"/>
      <c r="O233" s="113"/>
      <c r="P233" s="113"/>
      <c r="Q233" s="113"/>
      <c r="R233" s="157" cm="1">
        <f t="array" ref="R233">_xlfn.IFS(R232&lt;=5,0.1,AND(R232&gt;=6,R232&lt;=10),0.05,AND(R232&gt;=11,R232&lt;=50),0.01,R232&gt;50,0.001)</f>
        <v>0.1</v>
      </c>
      <c r="S233" s="157"/>
    </row>
    <row r="234" spans="1:25" ht="20.100000000000001" customHeight="1" x14ac:dyDescent="0.25">
      <c r="A234" s="124">
        <v>2</v>
      </c>
      <c r="B234" s="124"/>
      <c r="C234" s="165">
        <f>O153</f>
        <v>548.12030075187988</v>
      </c>
      <c r="D234" s="165"/>
      <c r="E234" s="165"/>
      <c r="F234" s="165"/>
      <c r="G234" s="165"/>
      <c r="H234" s="23">
        <f t="shared" ref="H234:H235" si="25">A234</f>
        <v>2</v>
      </c>
      <c r="M234" s="113" t="s">
        <v>56</v>
      </c>
      <c r="N234" s="113"/>
      <c r="O234" s="113"/>
      <c r="P234" s="113"/>
      <c r="Q234" s="113"/>
      <c r="R234" s="205">
        <f>R232-2</f>
        <v>1</v>
      </c>
      <c r="S234" s="205"/>
    </row>
    <row r="235" spans="1:25" ht="20.100000000000001" customHeight="1" x14ac:dyDescent="0.25">
      <c r="A235" s="124">
        <v>3</v>
      </c>
      <c r="B235" s="124"/>
      <c r="C235" s="165">
        <f>O154</f>
        <v>513.00000000000023</v>
      </c>
      <c r="D235" s="165"/>
      <c r="E235" s="165"/>
      <c r="F235" s="165"/>
      <c r="G235" s="165"/>
      <c r="H235" s="23">
        <f t="shared" si="25"/>
        <v>3</v>
      </c>
      <c r="M235" s="113" t="s">
        <v>53</v>
      </c>
      <c r="N235" s="113"/>
      <c r="O235" s="113"/>
      <c r="P235" s="113"/>
      <c r="Q235" s="113"/>
      <c r="R235" s="147">
        <f>Y237</f>
        <v>1.3968022466674204</v>
      </c>
      <c r="S235" s="147"/>
    </row>
    <row r="236" spans="1:25" ht="20.100000000000001" customHeight="1" x14ac:dyDescent="0.25">
      <c r="Y236" s="23">
        <f>_xlfn.T.INV.2T(R233,R234)</f>
        <v>6.3137515146750438</v>
      </c>
    </row>
    <row r="237" spans="1:25" ht="20.100000000000001" customHeight="1" x14ac:dyDescent="0.25">
      <c r="M237" s="113" t="s">
        <v>36</v>
      </c>
      <c r="N237" s="113"/>
      <c r="O237" s="113"/>
      <c r="P237" s="113"/>
      <c r="Q237" s="148">
        <f>AVERAGE(C233:C235)</f>
        <v>511.20676691729341</v>
      </c>
      <c r="R237" s="148"/>
      <c r="S237" s="148"/>
      <c r="Y237" s="23">
        <f>((((Y236^2)*(R232))-Y236^2)/(R232-2+Y236^2))^(1/2)</f>
        <v>1.3968022466674204</v>
      </c>
    </row>
    <row r="238" spans="1:25" ht="20.100000000000001" customHeight="1" x14ac:dyDescent="0.25">
      <c r="M238" s="113" t="s">
        <v>37</v>
      </c>
      <c r="N238" s="113"/>
      <c r="O238" s="113"/>
      <c r="P238" s="113"/>
      <c r="Q238" s="148">
        <f>STDEVA(C233:G235)</f>
        <v>37.842030007887665</v>
      </c>
      <c r="R238" s="148"/>
      <c r="S238" s="148"/>
    </row>
    <row r="240" spans="1:25" ht="20.100000000000001" customHeight="1" x14ac:dyDescent="0.25">
      <c r="M240" s="113" t="s">
        <v>45</v>
      </c>
      <c r="N240" s="113"/>
      <c r="O240" s="113"/>
      <c r="P240" s="113"/>
      <c r="Q240" s="148">
        <f>Q237+(R235*Q238)</f>
        <v>564.06459945076688</v>
      </c>
      <c r="R240" s="148"/>
      <c r="S240" s="148"/>
    </row>
    <row r="241" spans="13:26" ht="20.100000000000001" customHeight="1" x14ac:dyDescent="0.25">
      <c r="M241" s="113" t="s">
        <v>44</v>
      </c>
      <c r="N241" s="113"/>
      <c r="O241" s="113"/>
      <c r="P241" s="113"/>
      <c r="Q241" s="148">
        <f>Q237-(R235*Q238)</f>
        <v>458.34893438381999</v>
      </c>
      <c r="R241" s="148"/>
      <c r="S241" s="148"/>
    </row>
    <row r="242" spans="13:26" ht="20.100000000000001" customHeight="1" x14ac:dyDescent="0.25">
      <c r="M242" s="113" t="s">
        <v>47</v>
      </c>
      <c r="N242" s="113"/>
      <c r="O242" s="113"/>
      <c r="P242" s="113"/>
      <c r="Q242" s="148">
        <f>MAX(C233:C235)</f>
        <v>548.12030075187988</v>
      </c>
      <c r="R242" s="148"/>
      <c r="S242" s="148"/>
    </row>
    <row r="243" spans="13:26" ht="20.100000000000001" customHeight="1" x14ac:dyDescent="0.25">
      <c r="M243" s="113" t="s">
        <v>46</v>
      </c>
      <c r="N243" s="113"/>
      <c r="O243" s="113"/>
      <c r="P243" s="113"/>
      <c r="Q243" s="148">
        <f>MIN(C233:C235)</f>
        <v>472.50000000000017</v>
      </c>
      <c r="R243" s="148"/>
      <c r="S243" s="148"/>
    </row>
    <row r="245" spans="13:26" ht="20.100000000000001" customHeight="1" x14ac:dyDescent="0.25">
      <c r="M245" s="113" t="s">
        <v>51</v>
      </c>
      <c r="N245" s="113"/>
      <c r="O245" s="113" t="str">
        <f>IF(Q245="Nada a excluir","",Y246)</f>
        <v/>
      </c>
      <c r="P245" s="113"/>
      <c r="Q245" s="148" t="str" cm="1">
        <f t="array" ref="Q245">_xlfn.IFS(AND(OR(Q242&gt;Q240,Q243&lt;Q241),(Q242-Q237)&gt;(Q237-Q243)),Q242,AND(OR(Q243&lt;Q241,Q242&gt;Q240),(Q237-Q243)&gt;(Q242-Q237)),Q243,AND(Q242&lt;=Q240,Q243&gt;=Q241),"Nada a excluir")</f>
        <v>Nada a excluir</v>
      </c>
      <c r="R245" s="148"/>
      <c r="S245" s="148"/>
    </row>
    <row r="246" spans="13:26" ht="20.100000000000001" customHeight="1" x14ac:dyDescent="0.25">
      <c r="M246" s="114" t="s">
        <v>50</v>
      </c>
      <c r="N246" s="114"/>
      <c r="O246" s="114"/>
      <c r="P246" s="114"/>
      <c r="Q246" s="150" t="str">
        <f>IF(Q245="Nada a excluir","Encerrar","Continuar")</f>
        <v>Encerrar</v>
      </c>
      <c r="R246" s="150"/>
      <c r="S246" s="150"/>
      <c r="Y246" s="23" t="e">
        <f>VLOOKUP(Q245,C233:H235,6,0)</f>
        <v>#N/A</v>
      </c>
    </row>
    <row r="248" spans="13:26" ht="20.100000000000001" customHeight="1" x14ac:dyDescent="0.25">
      <c r="M248" s="113" t="s">
        <v>48</v>
      </c>
      <c r="N248" s="113"/>
      <c r="O248" s="113"/>
      <c r="P248" s="113"/>
      <c r="Q248" s="131">
        <f>Q238</f>
        <v>37.842030007887665</v>
      </c>
      <c r="R248" s="161"/>
      <c r="S248" s="161"/>
    </row>
    <row r="249" spans="13:26" ht="20.100000000000001" customHeight="1" x14ac:dyDescent="0.25">
      <c r="M249" s="114" t="s">
        <v>35</v>
      </c>
      <c r="N249" s="114"/>
      <c r="O249" s="114"/>
      <c r="P249" s="114"/>
      <c r="Q249" s="149">
        <f>Q238/Q237</f>
        <v>7.4024900405925201E-2</v>
      </c>
      <c r="R249" s="149"/>
      <c r="S249" s="149"/>
    </row>
    <row r="252" spans="13:26" ht="20.100000000000001" customHeight="1" x14ac:dyDescent="0.25">
      <c r="X252" s="23" t="s">
        <v>44</v>
      </c>
      <c r="Y252" s="23" t="s">
        <v>45</v>
      </c>
      <c r="Z252" s="23" t="s">
        <v>36</v>
      </c>
    </row>
    <row r="253" spans="13:26" ht="20.100000000000001" customHeight="1" x14ac:dyDescent="0.25">
      <c r="X253" s="29">
        <f>$Q$241</f>
        <v>458.34893438381999</v>
      </c>
      <c r="Y253" s="29">
        <f>$Q$240</f>
        <v>564.06459945076688</v>
      </c>
      <c r="Z253" s="29">
        <f>$Q$237</f>
        <v>511.20676691729341</v>
      </c>
    </row>
    <row r="254" spans="13:26" ht="20.100000000000001" customHeight="1" x14ac:dyDescent="0.25">
      <c r="X254" s="29">
        <f>$Q$241</f>
        <v>458.34893438381999</v>
      </c>
      <c r="Y254" s="29">
        <f>$Q$240</f>
        <v>564.06459945076688</v>
      </c>
      <c r="Z254" s="29">
        <f>$Q$237</f>
        <v>511.20676691729341</v>
      </c>
    </row>
    <row r="255" spans="13:26" ht="20.100000000000001" customHeight="1" x14ac:dyDescent="0.25">
      <c r="X255" s="29">
        <f>$Q$241</f>
        <v>458.34893438381999</v>
      </c>
      <c r="Y255" s="29">
        <f>$Q$240</f>
        <v>564.06459945076688</v>
      </c>
      <c r="Z255" s="29">
        <f>$Q$237</f>
        <v>511.20676691729341</v>
      </c>
    </row>
    <row r="256" spans="13:26" ht="20.100000000000001" customHeight="1" x14ac:dyDescent="0.25">
      <c r="X256" s="29"/>
      <c r="Y256" s="29"/>
      <c r="Z256" s="29"/>
    </row>
    <row r="257" spans="1:28" ht="20.100000000000001" customHeight="1" x14ac:dyDescent="0.25">
      <c r="X257" s="29"/>
      <c r="Y257" s="29"/>
      <c r="Z257" s="29"/>
    </row>
    <row r="258" spans="1:28" ht="20.100000000000001" customHeight="1" x14ac:dyDescent="0.25">
      <c r="X258" s="29"/>
      <c r="Y258" s="29"/>
      <c r="Z258" s="29"/>
    </row>
    <row r="259" spans="1:28" ht="20.100000000000001" customHeight="1" x14ac:dyDescent="0.25">
      <c r="X259" s="29"/>
      <c r="Y259" s="29"/>
      <c r="Z259" s="29"/>
    </row>
    <row r="269" spans="1:28" ht="20.100000000000001" customHeight="1" x14ac:dyDescent="0.25">
      <c r="A269" s="151" t="s">
        <v>57</v>
      </c>
      <c r="B269" s="151"/>
      <c r="C269" s="151"/>
      <c r="D269" s="151"/>
      <c r="E269" s="151"/>
      <c r="F269" s="151"/>
      <c r="G269" s="151"/>
      <c r="H269" s="151" t="s">
        <v>36</v>
      </c>
      <c r="I269" s="151"/>
      <c r="J269" s="151"/>
      <c r="K269" s="151"/>
      <c r="L269" s="151" t="s">
        <v>37</v>
      </c>
      <c r="M269" s="151"/>
      <c r="N269" s="151"/>
      <c r="O269" s="151"/>
      <c r="P269" s="151" t="s">
        <v>35</v>
      </c>
      <c r="Q269" s="151"/>
      <c r="R269" s="151"/>
      <c r="S269" s="151"/>
    </row>
    <row r="270" spans="1:28" ht="20.100000000000001" customHeight="1" x14ac:dyDescent="0.25">
      <c r="A270" s="112" t="s">
        <v>58</v>
      </c>
      <c r="B270" s="112"/>
      <c r="C270" s="112"/>
      <c r="D270" s="112"/>
      <c r="E270" s="112"/>
      <c r="F270" s="112"/>
      <c r="G270" s="112"/>
      <c r="H270" s="148">
        <f>Q165</f>
        <v>511.20676691729341</v>
      </c>
      <c r="I270" s="148"/>
      <c r="J270" s="148"/>
      <c r="K270" s="148"/>
      <c r="L270" s="148">
        <f>Q174</f>
        <v>37.842030007887665</v>
      </c>
      <c r="M270" s="148"/>
      <c r="N270" s="148"/>
      <c r="O270" s="148"/>
      <c r="P270" s="152">
        <f>Q175</f>
        <v>7.4024900405925201E-2</v>
      </c>
      <c r="Q270" s="152"/>
      <c r="R270" s="152"/>
      <c r="S270" s="152"/>
      <c r="Y270" s="101">
        <f>P270</f>
        <v>7.4024900405925201E-2</v>
      </c>
      <c r="Z270" s="23" t="str">
        <f>A270</f>
        <v>Intervalo em torno da média</v>
      </c>
      <c r="AA270" s="29">
        <f>H270</f>
        <v>511.20676691729341</v>
      </c>
      <c r="AB270" s="29">
        <f>L270</f>
        <v>37.842030007887665</v>
      </c>
    </row>
    <row r="271" spans="1:28" ht="20.100000000000001" customHeight="1" x14ac:dyDescent="0.25">
      <c r="A271" s="114" t="s">
        <v>59</v>
      </c>
      <c r="B271" s="114"/>
      <c r="C271" s="114"/>
      <c r="D271" s="114"/>
      <c r="E271" s="114"/>
      <c r="F271" s="114"/>
      <c r="G271" s="114"/>
      <c r="H271" s="140">
        <f>Q199</f>
        <v>511.20676691729341</v>
      </c>
      <c r="I271" s="140"/>
      <c r="J271" s="140"/>
      <c r="K271" s="140"/>
      <c r="L271" s="140">
        <f>Q200</f>
        <v>37.842030007887665</v>
      </c>
      <c r="M271" s="140"/>
      <c r="N271" s="140"/>
      <c r="O271" s="140"/>
      <c r="P271" s="202">
        <f>Q211</f>
        <v>7.4024900405925201E-2</v>
      </c>
      <c r="Q271" s="202"/>
      <c r="R271" s="202"/>
      <c r="S271" s="202"/>
      <c r="Y271" s="101">
        <f>P271</f>
        <v>7.4024900405925201E-2</v>
      </c>
      <c r="Z271" s="23" t="str">
        <f>A271</f>
        <v>Critério de Chauvenet</v>
      </c>
      <c r="AA271" s="29">
        <f>H271</f>
        <v>511.20676691729341</v>
      </c>
      <c r="AB271" s="29">
        <f>L271</f>
        <v>37.842030007887665</v>
      </c>
    </row>
    <row r="272" spans="1:28" ht="20.100000000000001" customHeight="1" x14ac:dyDescent="0.25">
      <c r="A272" s="114" t="s">
        <v>60</v>
      </c>
      <c r="B272" s="114"/>
      <c r="C272" s="114"/>
      <c r="D272" s="114"/>
      <c r="E272" s="114"/>
      <c r="F272" s="114"/>
      <c r="G272" s="114"/>
      <c r="H272" s="140">
        <f>Q237</f>
        <v>511.20676691729341</v>
      </c>
      <c r="I272" s="140"/>
      <c r="J272" s="140"/>
      <c r="K272" s="140"/>
      <c r="L272" s="140">
        <f>Q248</f>
        <v>37.842030007887665</v>
      </c>
      <c r="M272" s="140"/>
      <c r="N272" s="140"/>
      <c r="O272" s="140"/>
      <c r="P272" s="202">
        <f>Q249</f>
        <v>7.4024900405925201E-2</v>
      </c>
      <c r="Q272" s="202"/>
      <c r="R272" s="202"/>
      <c r="S272" s="202"/>
      <c r="Y272" s="101">
        <f>P272</f>
        <v>7.4024900405925201E-2</v>
      </c>
      <c r="Z272" s="23" t="str">
        <f>A272</f>
        <v>Critério de Arley</v>
      </c>
      <c r="AA272" s="29">
        <f>H272</f>
        <v>511.20676691729341</v>
      </c>
      <c r="AB272" s="29">
        <f>L272</f>
        <v>37.842030007887665</v>
      </c>
    </row>
    <row r="274" spans="1:22" ht="20.100000000000001" customHeight="1" x14ac:dyDescent="0.25">
      <c r="A274" s="113" t="s">
        <v>61</v>
      </c>
      <c r="B274" s="113"/>
      <c r="C274" s="113"/>
      <c r="D274" s="113"/>
      <c r="E274" s="113"/>
      <c r="F274" s="113"/>
      <c r="G274" s="113"/>
      <c r="H274" s="178">
        <f>MIN(P270:S272)</f>
        <v>7.4024900405925201E-2</v>
      </c>
      <c r="I274" s="178"/>
      <c r="J274" s="178"/>
      <c r="K274" s="178"/>
      <c r="L274" s="178"/>
      <c r="M274" s="178"/>
    </row>
    <row r="275" spans="1:22" ht="20.100000000000001" customHeight="1" x14ac:dyDescent="0.25">
      <c r="A275" s="114" t="s">
        <v>62</v>
      </c>
      <c r="B275" s="114"/>
      <c r="C275" s="114"/>
      <c r="D275" s="114"/>
      <c r="E275" s="114"/>
      <c r="F275" s="114"/>
      <c r="G275" s="114"/>
      <c r="H275" s="150" t="str">
        <f>VLOOKUP(H274,Y270:AA272,2,0)</f>
        <v>Intervalo em torno da média</v>
      </c>
      <c r="I275" s="150"/>
      <c r="J275" s="150"/>
      <c r="K275" s="150"/>
      <c r="L275" s="150"/>
      <c r="M275" s="150"/>
    </row>
    <row r="276" spans="1:22" ht="20.100000000000001" customHeight="1" x14ac:dyDescent="0.25">
      <c r="A276" s="114" t="s">
        <v>63</v>
      </c>
      <c r="B276" s="114"/>
      <c r="C276" s="114"/>
      <c r="D276" s="114"/>
      <c r="E276" s="114"/>
      <c r="F276" s="114"/>
      <c r="G276" s="114"/>
      <c r="H276" s="140">
        <f>VLOOKUP(H274,Y270:AA272,3,0)</f>
        <v>511.20676691729341</v>
      </c>
      <c r="I276" s="140"/>
      <c r="J276" s="140"/>
      <c r="K276" s="140"/>
      <c r="L276" s="140"/>
      <c r="M276" s="140"/>
    </row>
    <row r="277" spans="1:22" ht="20.100000000000001" customHeight="1" x14ac:dyDescent="0.25">
      <c r="A277" s="114" t="s">
        <v>70</v>
      </c>
      <c r="B277" s="114"/>
      <c r="C277" s="114"/>
      <c r="D277" s="114"/>
      <c r="E277" s="114"/>
      <c r="F277" s="114"/>
      <c r="G277" s="114"/>
      <c r="H277" s="140">
        <f>VLOOKUP(H274,Y270:AB272,4,0)</f>
        <v>37.842030007887665</v>
      </c>
      <c r="I277" s="140"/>
      <c r="J277" s="140"/>
      <c r="K277" s="140"/>
      <c r="L277" s="140"/>
      <c r="M277" s="140"/>
    </row>
    <row r="280" spans="1:22" ht="20.100000000000001" customHeight="1" x14ac:dyDescent="0.25">
      <c r="A280" s="197" t="s">
        <v>522</v>
      </c>
      <c r="B280" s="197"/>
      <c r="C280" s="197"/>
      <c r="D280" s="197"/>
      <c r="E280" s="197"/>
      <c r="F280" s="197"/>
      <c r="G280" s="197"/>
      <c r="H280" s="197"/>
      <c r="I280" s="197"/>
      <c r="J280" s="197"/>
      <c r="K280" s="197"/>
      <c r="L280" s="197"/>
      <c r="M280" s="197"/>
      <c r="N280" s="197"/>
      <c r="O280" s="197"/>
      <c r="P280" s="197"/>
      <c r="Q280" s="197"/>
      <c r="R280" s="197"/>
      <c r="S280" s="197"/>
    </row>
    <row r="282" spans="1:22" ht="39.950000000000003" customHeight="1" x14ac:dyDescent="0.25">
      <c r="A282" s="136" t="s">
        <v>245</v>
      </c>
      <c r="B282" s="136"/>
      <c r="C282" s="136"/>
      <c r="D282" s="136"/>
      <c r="E282" s="136"/>
      <c r="F282" s="136"/>
      <c r="G282" s="136"/>
      <c r="H282" s="136"/>
      <c r="I282" s="136"/>
      <c r="J282" s="136"/>
      <c r="K282" s="136"/>
      <c r="L282" s="136"/>
      <c r="M282" s="136"/>
      <c r="N282" s="136"/>
      <c r="O282" s="136"/>
      <c r="P282" s="136"/>
      <c r="Q282" s="136"/>
      <c r="R282" s="136"/>
      <c r="S282" s="136"/>
    </row>
    <row r="284" spans="1:22" ht="20.100000000000001" customHeight="1" x14ac:dyDescent="0.25">
      <c r="A284" s="113" t="s">
        <v>36</v>
      </c>
      <c r="B284" s="113"/>
      <c r="C284" s="113"/>
      <c r="D284" s="113"/>
      <c r="E284" s="113"/>
      <c r="F284" s="131">
        <f>H276</f>
        <v>511.20676691729341</v>
      </c>
      <c r="G284" s="161"/>
      <c r="H284" s="161"/>
      <c r="I284" s="161"/>
    </row>
    <row r="285" spans="1:22" ht="20.100000000000001" customHeight="1" x14ac:dyDescent="0.25">
      <c r="A285" s="114" t="s">
        <v>37</v>
      </c>
      <c r="B285" s="114"/>
      <c r="C285" s="114"/>
      <c r="D285" s="114"/>
      <c r="E285" s="114"/>
      <c r="F285" s="132">
        <f>H277</f>
        <v>37.842030007887665</v>
      </c>
      <c r="G285" s="150"/>
      <c r="H285" s="150"/>
      <c r="I285" s="150"/>
    </row>
    <row r="286" spans="1:22" ht="20.100000000000001" customHeight="1" x14ac:dyDescent="0.25">
      <c r="A286" s="114" t="s">
        <v>247</v>
      </c>
      <c r="B286" s="114"/>
      <c r="C286" s="114"/>
      <c r="D286" s="114"/>
      <c r="E286" s="114"/>
      <c r="F286" s="153">
        <v>3</v>
      </c>
      <c r="G286" s="153"/>
      <c r="H286" s="153"/>
      <c r="I286" s="153"/>
      <c r="T286" s="168" t="s">
        <v>262</v>
      </c>
      <c r="U286" s="168"/>
      <c r="V286" s="168"/>
    </row>
    <row r="287" spans="1:22" ht="20.100000000000001" customHeight="1" x14ac:dyDescent="0.25">
      <c r="A287" s="114" t="s">
        <v>69</v>
      </c>
      <c r="B287" s="114"/>
      <c r="C287" s="114"/>
      <c r="D287" s="114"/>
      <c r="E287" s="114"/>
      <c r="F287" s="154">
        <v>0.8</v>
      </c>
      <c r="G287" s="154"/>
      <c r="H287" s="154"/>
      <c r="I287" s="154"/>
    </row>
    <row r="288" spans="1:22" ht="20.100000000000001" customHeight="1" x14ac:dyDescent="0.25">
      <c r="A288" s="114" t="s">
        <v>520</v>
      </c>
      <c r="B288" s="114"/>
      <c r="C288" s="114"/>
      <c r="D288" s="114"/>
      <c r="E288" s="114"/>
      <c r="F288" s="204">
        <f>_xlfn.T.INV.2T(1-F287,F286-1)</f>
        <v>1.8856180831641269</v>
      </c>
      <c r="G288" s="204"/>
      <c r="H288" s="204"/>
      <c r="I288" s="204"/>
    </row>
    <row r="289" spans="1:67" ht="20.100000000000001" customHeight="1" x14ac:dyDescent="0.25">
      <c r="A289" s="112"/>
      <c r="B289" s="112"/>
      <c r="C289" s="112"/>
      <c r="D289" s="112"/>
      <c r="E289" s="112"/>
      <c r="F289" s="169"/>
      <c r="G289" s="169"/>
      <c r="H289" s="169"/>
      <c r="I289" s="169"/>
    </row>
    <row r="290" spans="1:67" ht="20.100000000000001" customHeight="1" x14ac:dyDescent="0.25">
      <c r="A290" s="112"/>
      <c r="B290" s="112"/>
      <c r="C290" s="112"/>
      <c r="D290" s="112"/>
      <c r="E290" s="112"/>
      <c r="F290" s="169"/>
      <c r="G290" s="169"/>
      <c r="H290" s="169"/>
      <c r="I290" s="169"/>
    </row>
    <row r="291" spans="1:67" ht="20.100000000000001" customHeight="1" x14ac:dyDescent="0.25">
      <c r="A291" s="120" t="s">
        <v>523</v>
      </c>
      <c r="B291" s="120"/>
      <c r="C291" s="120"/>
      <c r="D291" s="120"/>
      <c r="E291" s="120"/>
      <c r="F291" s="120"/>
      <c r="G291" s="120"/>
      <c r="H291" s="120"/>
      <c r="I291" s="120"/>
      <c r="J291" s="120"/>
      <c r="K291" s="120"/>
      <c r="L291" s="120"/>
      <c r="M291" s="120"/>
      <c r="N291" s="120"/>
      <c r="O291" s="120"/>
      <c r="P291" s="120"/>
      <c r="Q291" s="120"/>
      <c r="R291" s="120"/>
      <c r="S291" s="120"/>
    </row>
    <row r="293" spans="1:67" ht="20.100000000000001" customHeight="1" x14ac:dyDescent="0.25">
      <c r="A293" s="113" t="s">
        <v>44</v>
      </c>
      <c r="B293" s="113"/>
      <c r="C293" s="113"/>
      <c r="D293" s="113"/>
      <c r="E293" s="113"/>
      <c r="F293" s="131">
        <f>F284-(_xlfn.CONFIDENCE.T(1-F287,F285,F286))</f>
        <v>470.00958276155382</v>
      </c>
      <c r="G293" s="161"/>
      <c r="H293" s="161"/>
      <c r="I293" s="161"/>
      <c r="L293" s="113" t="s">
        <v>71</v>
      </c>
      <c r="M293" s="113"/>
      <c r="N293" s="113"/>
      <c r="O293" s="113"/>
      <c r="P293" s="131">
        <f>F294-F293</f>
        <v>82.394368311479184</v>
      </c>
      <c r="Q293" s="161"/>
      <c r="R293" s="161"/>
      <c r="S293" s="161"/>
    </row>
    <row r="294" spans="1:67" ht="20.100000000000001" customHeight="1" x14ac:dyDescent="0.25">
      <c r="A294" s="113" t="s">
        <v>45</v>
      </c>
      <c r="B294" s="113"/>
      <c r="C294" s="113"/>
      <c r="D294" s="113"/>
      <c r="E294" s="113"/>
      <c r="F294" s="131">
        <f>F284+(_xlfn.CONFIDENCE.T(1-F287,F285,F286))</f>
        <v>552.403951073033</v>
      </c>
      <c r="G294" s="161"/>
      <c r="H294" s="161"/>
      <c r="I294" s="161"/>
      <c r="L294" s="113" t="s">
        <v>36</v>
      </c>
      <c r="M294" s="113"/>
      <c r="N294" s="113"/>
      <c r="O294" s="113"/>
      <c r="P294" s="131">
        <f>F284</f>
        <v>511.20676691729341</v>
      </c>
      <c r="Q294" s="161"/>
      <c r="R294" s="161"/>
      <c r="S294" s="161"/>
    </row>
    <row r="295" spans="1:67" ht="20.100000000000001" customHeight="1" x14ac:dyDescent="0.25">
      <c r="L295" s="113" t="s">
        <v>72</v>
      </c>
      <c r="M295" s="113"/>
      <c r="N295" s="113"/>
      <c r="O295" s="113"/>
      <c r="P295" s="201">
        <f>P293/P294</f>
        <v>0.16117620822654236</v>
      </c>
      <c r="Q295" s="201"/>
      <c r="R295" s="201"/>
      <c r="S295" s="201"/>
    </row>
    <row r="297" spans="1:67" ht="20.100000000000001" customHeight="1" x14ac:dyDescent="0.25">
      <c r="A297" s="121" t="str" cm="1">
        <f t="array" ref="A297">_xlfn.IFS(P295&lt;=0.3,X302,AND(P295&gt;0.3,P295&lt;=0.4),X303,AND(P295&gt;0.4,P295&lt;=0.5),X304,P295&gt;0.5,X305)</f>
        <v>O grau de precisão calculado foi inferior a 30% (trinta por cento); em razão disso, o laudo atingiu o grau de fundamentação III, máximo previsto na tabela 5 do item 9.2.3 da NBR 14653-2:2011 (Avaliação de bens. Parte 2: Imóveis urbanos).</v>
      </c>
      <c r="B297" s="121"/>
      <c r="C297" s="121"/>
      <c r="D297" s="121"/>
      <c r="E297" s="121"/>
      <c r="F297" s="121"/>
      <c r="G297" s="121"/>
      <c r="H297" s="121"/>
      <c r="I297" s="121"/>
      <c r="J297" s="121"/>
      <c r="K297" s="121"/>
      <c r="L297" s="121"/>
      <c r="M297" s="121"/>
      <c r="N297" s="121"/>
      <c r="O297" s="121"/>
      <c r="P297" s="121"/>
      <c r="Q297" s="121"/>
      <c r="R297" s="121"/>
      <c r="S297" s="121"/>
    </row>
    <row r="298" spans="1:67" ht="20.100000000000001" customHeight="1" x14ac:dyDescent="0.25">
      <c r="A298" s="121"/>
      <c r="B298" s="121"/>
      <c r="C298" s="121"/>
      <c r="D298" s="121"/>
      <c r="E298" s="121"/>
      <c r="F298" s="121"/>
      <c r="G298" s="121"/>
      <c r="H298" s="121"/>
      <c r="I298" s="121"/>
      <c r="J298" s="121"/>
      <c r="K298" s="121"/>
      <c r="L298" s="121"/>
      <c r="M298" s="121"/>
      <c r="N298" s="121"/>
      <c r="O298" s="121"/>
      <c r="P298" s="121"/>
      <c r="Q298" s="121"/>
      <c r="R298" s="121"/>
      <c r="S298" s="121"/>
    </row>
    <row r="299" spans="1:67" ht="20.100000000000001" customHeight="1" x14ac:dyDescent="0.25">
      <c r="A299" s="83"/>
      <c r="B299" s="83"/>
      <c r="C299" s="83"/>
      <c r="D299" s="83"/>
      <c r="E299" s="83"/>
      <c r="F299" s="83"/>
      <c r="G299" s="83"/>
      <c r="H299" s="83"/>
      <c r="I299" s="83"/>
      <c r="J299" s="83"/>
      <c r="K299" s="83"/>
      <c r="L299" s="83"/>
      <c r="M299" s="83"/>
      <c r="N299" s="83"/>
      <c r="O299" s="83"/>
      <c r="P299" s="83"/>
      <c r="Q299" s="83"/>
      <c r="R299" s="83"/>
      <c r="S299" s="83"/>
    </row>
    <row r="300" spans="1:67" ht="20.100000000000001" customHeight="1" x14ac:dyDescent="0.25">
      <c r="A300" s="142" t="s">
        <v>521</v>
      </c>
      <c r="B300" s="142"/>
      <c r="C300" s="142"/>
      <c r="D300" s="142"/>
      <c r="E300" s="142"/>
      <c r="F300" s="142"/>
      <c r="G300" s="142"/>
      <c r="H300" s="142"/>
      <c r="I300" s="142"/>
      <c r="J300" s="142"/>
      <c r="K300" s="142"/>
      <c r="L300" s="142"/>
      <c r="M300" s="142"/>
      <c r="N300" s="142"/>
      <c r="O300" s="142"/>
      <c r="P300" s="142"/>
      <c r="Q300" s="142"/>
      <c r="R300" s="142"/>
      <c r="S300" s="142"/>
    </row>
    <row r="301" spans="1:67" ht="20.100000000000001" customHeight="1" x14ac:dyDescent="0.25">
      <c r="A301" s="142"/>
      <c r="B301" s="142"/>
      <c r="C301" s="142"/>
      <c r="D301" s="142"/>
      <c r="E301" s="142"/>
      <c r="F301" s="142"/>
      <c r="G301" s="142"/>
      <c r="H301" s="142"/>
      <c r="I301" s="142"/>
      <c r="J301" s="142"/>
      <c r="K301" s="142"/>
      <c r="L301" s="142"/>
      <c r="M301" s="142"/>
      <c r="N301" s="142"/>
      <c r="O301" s="142"/>
      <c r="P301" s="142"/>
      <c r="Q301" s="142"/>
      <c r="R301" s="142"/>
      <c r="S301" s="142"/>
    </row>
    <row r="302" spans="1:67" ht="20.100000000000001" customHeight="1" x14ac:dyDescent="0.25">
      <c r="A302" s="195" t="s">
        <v>90</v>
      </c>
      <c r="B302" s="195"/>
      <c r="C302" s="195"/>
      <c r="D302" s="195"/>
      <c r="E302" s="195"/>
      <c r="F302" s="195"/>
      <c r="G302" s="195"/>
      <c r="H302" s="195"/>
      <c r="I302" s="195"/>
      <c r="J302" s="195"/>
      <c r="K302" s="195"/>
      <c r="L302" s="195"/>
      <c r="M302" s="195"/>
      <c r="N302" s="195"/>
      <c r="O302" s="195"/>
      <c r="P302" s="195"/>
      <c r="Q302" s="195"/>
      <c r="R302" s="195"/>
      <c r="S302" s="195"/>
      <c r="X302" s="167" t="s">
        <v>100</v>
      </c>
      <c r="Y302" s="167"/>
      <c r="Z302" s="167"/>
      <c r="AA302" s="167"/>
      <c r="AB302" s="167"/>
      <c r="AC302" s="167"/>
      <c r="AD302" s="167"/>
      <c r="AE302" s="167"/>
      <c r="AF302" s="167"/>
      <c r="AG302" s="167"/>
      <c r="AH302" s="167"/>
      <c r="AI302" s="167"/>
      <c r="AJ302" s="167"/>
      <c r="AK302" s="167"/>
      <c r="AL302" s="167"/>
      <c r="AM302" s="167"/>
      <c r="AN302" s="167"/>
      <c r="AO302" s="167"/>
      <c r="AP302" s="167"/>
      <c r="AQ302" s="167"/>
      <c r="AR302" s="167"/>
      <c r="AS302" s="167"/>
      <c r="AT302" s="167"/>
      <c r="AU302" s="167"/>
      <c r="AV302" s="167"/>
      <c r="AW302" s="167"/>
      <c r="AX302" s="167"/>
      <c r="AY302" s="167"/>
      <c r="AZ302" s="167"/>
      <c r="BA302" s="167"/>
      <c r="BB302" s="167"/>
      <c r="BC302" s="167"/>
      <c r="BD302" s="167"/>
      <c r="BE302" s="167"/>
      <c r="BF302" s="167"/>
      <c r="BG302" s="167"/>
      <c r="BH302" s="167"/>
      <c r="BI302" s="167"/>
      <c r="BJ302" s="167"/>
      <c r="BK302" s="167"/>
      <c r="BL302" s="167"/>
      <c r="BM302" s="167"/>
      <c r="BN302" s="167"/>
      <c r="BO302" s="167"/>
    </row>
    <row r="303" spans="1:67" ht="20.100000000000001" customHeight="1" x14ac:dyDescent="0.25">
      <c r="A303" s="195"/>
      <c r="B303" s="195"/>
      <c r="C303" s="195"/>
      <c r="D303" s="195"/>
      <c r="E303" s="195"/>
      <c r="F303" s="195"/>
      <c r="G303" s="195"/>
      <c r="H303" s="195"/>
      <c r="I303" s="195"/>
      <c r="J303" s="195"/>
      <c r="K303" s="195"/>
      <c r="L303" s="195"/>
      <c r="M303" s="195"/>
      <c r="N303" s="195"/>
      <c r="O303" s="195"/>
      <c r="P303" s="195"/>
      <c r="Q303" s="195"/>
      <c r="R303" s="195"/>
      <c r="S303" s="195"/>
      <c r="X303" s="167" t="s">
        <v>101</v>
      </c>
      <c r="Y303" s="167"/>
      <c r="Z303" s="167"/>
      <c r="AA303" s="167"/>
      <c r="AB303" s="167"/>
      <c r="AC303" s="167"/>
      <c r="AD303" s="167"/>
      <c r="AE303" s="167"/>
      <c r="AF303" s="167"/>
      <c r="AG303" s="167"/>
      <c r="AH303" s="167"/>
      <c r="AI303" s="167"/>
      <c r="AJ303" s="167"/>
      <c r="AK303" s="167"/>
      <c r="AL303" s="167"/>
      <c r="AM303" s="167"/>
      <c r="AN303" s="167"/>
      <c r="AO303" s="167"/>
      <c r="AP303" s="167"/>
      <c r="AQ303" s="167"/>
      <c r="AR303" s="167"/>
      <c r="AS303" s="167"/>
      <c r="AT303" s="167"/>
      <c r="AU303" s="167"/>
      <c r="AV303" s="167"/>
      <c r="AW303" s="167"/>
      <c r="AX303" s="167"/>
      <c r="AY303" s="167"/>
      <c r="AZ303" s="167"/>
      <c r="BA303" s="167"/>
      <c r="BB303" s="167"/>
      <c r="BC303" s="167"/>
      <c r="BD303" s="167"/>
      <c r="BE303" s="167"/>
      <c r="BF303" s="167"/>
      <c r="BG303" s="167"/>
      <c r="BH303" s="167"/>
      <c r="BI303" s="167"/>
      <c r="BJ303" s="167"/>
      <c r="BK303" s="167"/>
      <c r="BL303" s="167"/>
      <c r="BM303" s="167"/>
      <c r="BN303" s="167"/>
      <c r="BO303" s="167"/>
    </row>
    <row r="304" spans="1:67" ht="20.100000000000001" customHeight="1" x14ac:dyDescent="0.25">
      <c r="A304" s="155" t="s">
        <v>87</v>
      </c>
      <c r="B304" s="155"/>
      <c r="C304" s="155"/>
      <c r="D304" s="155"/>
      <c r="E304" s="155"/>
      <c r="F304" s="155"/>
      <c r="G304" s="155"/>
      <c r="H304" s="155" t="s">
        <v>88</v>
      </c>
      <c r="I304" s="155"/>
      <c r="J304" s="155"/>
      <c r="K304" s="155"/>
      <c r="L304" s="155"/>
      <c r="M304" s="155"/>
      <c r="N304" s="155"/>
      <c r="O304" s="155"/>
      <c r="P304" s="155"/>
      <c r="Q304" s="155"/>
      <c r="R304" s="155"/>
      <c r="S304" s="155"/>
      <c r="X304" s="167" t="s">
        <v>102</v>
      </c>
      <c r="Y304" s="167"/>
      <c r="Z304" s="167"/>
      <c r="AA304" s="167"/>
      <c r="AB304" s="167"/>
      <c r="AC304" s="167"/>
      <c r="AD304" s="167"/>
      <c r="AE304" s="167"/>
      <c r="AF304" s="167"/>
      <c r="AG304" s="167"/>
      <c r="AH304" s="167"/>
      <c r="AI304" s="167"/>
      <c r="AJ304" s="167"/>
      <c r="AK304" s="167"/>
      <c r="AL304" s="167"/>
      <c r="AM304" s="167"/>
      <c r="AN304" s="167"/>
      <c r="AO304" s="167"/>
      <c r="AP304" s="167"/>
      <c r="AQ304" s="167"/>
      <c r="AR304" s="167"/>
      <c r="AS304" s="167"/>
      <c r="AT304" s="167"/>
      <c r="AU304" s="167"/>
      <c r="AV304" s="167"/>
      <c r="AW304" s="167"/>
      <c r="AX304" s="167"/>
      <c r="AY304" s="167"/>
      <c r="AZ304" s="167"/>
      <c r="BA304" s="167"/>
      <c r="BB304" s="167"/>
      <c r="BC304" s="167"/>
      <c r="BD304" s="167"/>
      <c r="BE304" s="167"/>
      <c r="BF304" s="167"/>
      <c r="BG304" s="167"/>
      <c r="BH304" s="167"/>
      <c r="BI304" s="167"/>
      <c r="BJ304" s="167"/>
      <c r="BK304" s="167"/>
      <c r="BL304" s="167"/>
      <c r="BM304" s="167"/>
      <c r="BN304" s="167"/>
      <c r="BO304" s="167"/>
    </row>
    <row r="305" spans="1:67" ht="20.100000000000001" customHeight="1" x14ac:dyDescent="0.25">
      <c r="A305" s="155"/>
      <c r="B305" s="155"/>
      <c r="C305" s="155"/>
      <c r="D305" s="155"/>
      <c r="E305" s="155"/>
      <c r="F305" s="155"/>
      <c r="G305" s="155"/>
      <c r="H305" s="155" t="s">
        <v>91</v>
      </c>
      <c r="I305" s="155"/>
      <c r="J305" s="155"/>
      <c r="K305" s="155"/>
      <c r="L305" s="155" t="s">
        <v>92</v>
      </c>
      <c r="M305" s="155"/>
      <c r="N305" s="155"/>
      <c r="O305" s="155"/>
      <c r="P305" s="155" t="s">
        <v>82</v>
      </c>
      <c r="Q305" s="155"/>
      <c r="R305" s="155"/>
      <c r="S305" s="155"/>
      <c r="X305" s="167" t="s">
        <v>490</v>
      </c>
      <c r="Y305" s="167"/>
      <c r="Z305" s="167"/>
      <c r="AA305" s="167"/>
      <c r="AB305" s="167"/>
      <c r="AC305" s="167"/>
      <c r="AD305" s="167"/>
      <c r="AE305" s="167"/>
      <c r="AF305" s="167"/>
      <c r="AG305" s="167"/>
      <c r="AH305" s="167"/>
      <c r="AI305" s="167"/>
      <c r="AJ305" s="167"/>
      <c r="AK305" s="167"/>
      <c r="AL305" s="167"/>
      <c r="AM305" s="167"/>
      <c r="AN305" s="167"/>
      <c r="AO305" s="167"/>
      <c r="AP305" s="167"/>
      <c r="AQ305" s="167"/>
      <c r="AR305" s="167"/>
      <c r="AS305" s="167"/>
      <c r="AT305" s="167"/>
      <c r="AU305" s="167"/>
      <c r="AV305" s="167"/>
      <c r="AW305" s="167"/>
      <c r="AX305" s="167"/>
      <c r="AY305" s="167"/>
      <c r="AZ305" s="167"/>
      <c r="BA305" s="167"/>
      <c r="BB305" s="167"/>
      <c r="BC305" s="167"/>
      <c r="BD305" s="167"/>
      <c r="BE305" s="167"/>
      <c r="BF305" s="167"/>
      <c r="BG305" s="167"/>
      <c r="BH305" s="167"/>
      <c r="BI305" s="167"/>
      <c r="BJ305" s="167"/>
      <c r="BK305" s="167"/>
      <c r="BL305" s="167"/>
      <c r="BM305" s="167"/>
      <c r="BN305" s="167"/>
      <c r="BO305" s="167"/>
    </row>
    <row r="306" spans="1:67" ht="20.100000000000001" customHeight="1" x14ac:dyDescent="0.25">
      <c r="A306" s="170" t="s">
        <v>89</v>
      </c>
      <c r="B306" s="170"/>
      <c r="C306" s="170"/>
      <c r="D306" s="170"/>
      <c r="E306" s="170"/>
      <c r="F306" s="170"/>
      <c r="G306" s="170"/>
      <c r="H306" s="156" t="s">
        <v>97</v>
      </c>
      <c r="I306" s="156"/>
      <c r="J306" s="156"/>
      <c r="K306" s="156"/>
      <c r="L306" s="156" t="s">
        <v>98</v>
      </c>
      <c r="M306" s="156"/>
      <c r="N306" s="156"/>
      <c r="O306" s="156"/>
      <c r="P306" s="156" t="s">
        <v>99</v>
      </c>
      <c r="Q306" s="156"/>
      <c r="R306" s="156"/>
      <c r="S306" s="156"/>
    </row>
    <row r="307" spans="1:67" ht="20.100000000000001" customHeight="1" x14ac:dyDescent="0.25">
      <c r="A307" s="170"/>
      <c r="B307" s="170"/>
      <c r="C307" s="170"/>
      <c r="D307" s="170"/>
      <c r="E307" s="170"/>
      <c r="F307" s="170"/>
      <c r="G307" s="170"/>
      <c r="H307" s="156"/>
      <c r="I307" s="156"/>
      <c r="J307" s="156"/>
      <c r="K307" s="156"/>
      <c r="L307" s="156"/>
      <c r="M307" s="156"/>
      <c r="N307" s="156"/>
      <c r="O307" s="156"/>
      <c r="P307" s="156"/>
      <c r="Q307" s="156"/>
      <c r="R307" s="156"/>
      <c r="S307" s="156"/>
    </row>
    <row r="309" spans="1:67" ht="20.100000000000001" customHeight="1" x14ac:dyDescent="0.25">
      <c r="W309" s="30"/>
    </row>
    <row r="310" spans="1:67" ht="20.100000000000001" customHeight="1" x14ac:dyDescent="0.25">
      <c r="A310" s="120" t="s">
        <v>96</v>
      </c>
      <c r="B310" s="120"/>
      <c r="C310" s="120"/>
      <c r="D310" s="120"/>
      <c r="E310" s="120"/>
      <c r="F310" s="120"/>
      <c r="G310" s="120"/>
      <c r="H310" s="120"/>
      <c r="I310" s="120"/>
      <c r="J310" s="120"/>
      <c r="K310" s="120"/>
      <c r="L310" s="120"/>
      <c r="M310" s="120"/>
      <c r="N310" s="120"/>
      <c r="O310" s="120"/>
      <c r="P310" s="120"/>
      <c r="Q310" s="120"/>
      <c r="R310" s="120"/>
      <c r="S310" s="120"/>
      <c r="V310" s="107"/>
      <c r="W310" s="86"/>
    </row>
    <row r="311" spans="1:67" ht="20.100000000000001" customHeight="1" x14ac:dyDescent="0.25">
      <c r="W311" s="104"/>
    </row>
    <row r="312" spans="1:67" ht="20.100000000000001" customHeight="1" x14ac:dyDescent="0.25">
      <c r="A312" s="113" t="s">
        <v>73</v>
      </c>
      <c r="B312" s="113"/>
      <c r="C312" s="113"/>
      <c r="D312" s="113"/>
      <c r="E312" s="113"/>
      <c r="F312" s="113"/>
      <c r="G312" s="113"/>
      <c r="H312" s="113"/>
      <c r="I312" s="113"/>
      <c r="J312" s="113"/>
      <c r="K312" s="113"/>
      <c r="L312" s="113"/>
      <c r="M312" s="113"/>
      <c r="N312" s="166">
        <v>320</v>
      </c>
      <c r="O312" s="166"/>
      <c r="P312" s="166"/>
      <c r="Q312" s="166"/>
      <c r="R312" s="166"/>
      <c r="S312" s="166"/>
      <c r="W312" s="102"/>
    </row>
    <row r="313" spans="1:67" ht="20.100000000000001" customHeight="1" x14ac:dyDescent="0.25">
      <c r="A313" s="113" t="s">
        <v>74</v>
      </c>
      <c r="B313" s="113"/>
      <c r="C313" s="113"/>
      <c r="D313" s="113"/>
      <c r="E313" s="113"/>
      <c r="F313" s="113"/>
      <c r="G313" s="113"/>
      <c r="H313" s="113"/>
      <c r="I313" s="113"/>
      <c r="J313" s="113"/>
      <c r="K313" s="113"/>
      <c r="L313" s="113"/>
      <c r="M313" s="113"/>
      <c r="N313" s="131">
        <f>F284</f>
        <v>511.20676691729341</v>
      </c>
      <c r="O313" s="131"/>
      <c r="P313" s="131"/>
      <c r="Q313" s="131"/>
      <c r="R313" s="131"/>
      <c r="S313" s="131"/>
    </row>
    <row r="314" spans="1:67" ht="20.100000000000001" customHeight="1" x14ac:dyDescent="0.25">
      <c r="A314" s="113" t="s">
        <v>96</v>
      </c>
      <c r="B314" s="113"/>
      <c r="C314" s="113"/>
      <c r="D314" s="113"/>
      <c r="E314" s="113"/>
      <c r="F314" s="113"/>
      <c r="G314" s="113"/>
      <c r="H314" s="113"/>
      <c r="I314" s="113"/>
      <c r="J314" s="113"/>
      <c r="K314" s="113"/>
      <c r="L314" s="113"/>
      <c r="M314" s="113"/>
      <c r="N314" s="131">
        <f>N312*N313</f>
        <v>163586.16541353389</v>
      </c>
      <c r="O314" s="131"/>
      <c r="P314" s="131"/>
      <c r="Q314" s="131"/>
      <c r="R314" s="131"/>
      <c r="S314" s="131"/>
      <c r="AB314" s="102"/>
    </row>
    <row r="315" spans="1:67" ht="20.100000000000001" customHeight="1" x14ac:dyDescent="0.25">
      <c r="AB315" s="102"/>
    </row>
    <row r="317" spans="1:67" ht="20.100000000000001" customHeight="1" x14ac:dyDescent="0.25">
      <c r="A317" s="120" t="s">
        <v>391</v>
      </c>
      <c r="B317" s="120"/>
      <c r="C317" s="120"/>
      <c r="D317" s="120"/>
      <c r="E317" s="120"/>
      <c r="F317" s="120"/>
      <c r="G317" s="120"/>
      <c r="H317" s="120"/>
      <c r="I317" s="120"/>
      <c r="J317" s="120"/>
      <c r="K317" s="120"/>
      <c r="L317" s="120"/>
      <c r="M317" s="120"/>
      <c r="N317" s="120"/>
      <c r="O317" s="120"/>
      <c r="P317" s="120"/>
      <c r="Q317" s="120"/>
      <c r="R317" s="120"/>
      <c r="S317" s="120"/>
      <c r="W317" s="24"/>
      <c r="X317" s="24"/>
      <c r="Y317" s="24"/>
      <c r="Z317" s="24"/>
      <c r="AA317" s="24"/>
      <c r="AB317" s="24"/>
      <c r="AC317" s="24"/>
      <c r="AD317" s="24"/>
      <c r="AE317" s="24"/>
      <c r="AF317" s="24"/>
      <c r="AG317" s="24"/>
      <c r="AI317" s="23" t="s">
        <v>392</v>
      </c>
      <c r="AJ317" s="23" t="s">
        <v>393</v>
      </c>
    </row>
    <row r="318" spans="1:67" ht="20.100000000000001" customHeight="1" x14ac:dyDescent="0.25">
      <c r="AI318" s="23" t="s">
        <v>394</v>
      </c>
      <c r="AJ318" s="23" t="s">
        <v>395</v>
      </c>
    </row>
    <row r="319" spans="1:67" ht="20.100000000000001" customHeight="1" x14ac:dyDescent="0.25">
      <c r="A319" s="121" t="s">
        <v>491</v>
      </c>
      <c r="B319" s="121"/>
      <c r="C319" s="121"/>
      <c r="D319" s="121"/>
      <c r="E319" s="121"/>
      <c r="F319" s="121"/>
      <c r="G319" s="121"/>
      <c r="H319" s="121"/>
      <c r="I319" s="121"/>
      <c r="J319" s="121"/>
      <c r="K319" s="121"/>
      <c r="L319" s="121"/>
      <c r="M319" s="121"/>
      <c r="N319" s="121"/>
      <c r="O319" s="121"/>
      <c r="P319" s="121"/>
      <c r="Q319" s="121"/>
      <c r="R319" s="121"/>
      <c r="S319" s="121"/>
      <c r="AI319" s="23" t="s">
        <v>396</v>
      </c>
      <c r="AJ319" s="23" t="s">
        <v>397</v>
      </c>
    </row>
    <row r="320" spans="1:67" ht="20.100000000000001" customHeight="1" x14ac:dyDescent="0.25">
      <c r="A320" s="121"/>
      <c r="B320" s="121"/>
      <c r="C320" s="121"/>
      <c r="D320" s="121"/>
      <c r="E320" s="121"/>
      <c r="F320" s="121"/>
      <c r="G320" s="121"/>
      <c r="H320" s="121"/>
      <c r="I320" s="121"/>
      <c r="J320" s="121"/>
      <c r="K320" s="121"/>
      <c r="L320" s="121"/>
      <c r="M320" s="121"/>
      <c r="N320" s="121"/>
      <c r="O320" s="121"/>
      <c r="P320" s="121"/>
      <c r="Q320" s="121"/>
      <c r="R320" s="121"/>
      <c r="S320" s="121"/>
      <c r="AI320" s="23" t="s">
        <v>398</v>
      </c>
    </row>
    <row r="321" spans="1:36" ht="20.100000000000001" customHeight="1" x14ac:dyDescent="0.25">
      <c r="A321" s="121"/>
      <c r="B321" s="121"/>
      <c r="C321" s="121"/>
      <c r="D321" s="121"/>
      <c r="E321" s="121"/>
      <c r="F321" s="121"/>
      <c r="G321" s="121"/>
      <c r="H321" s="121"/>
      <c r="I321" s="121"/>
      <c r="J321" s="121"/>
      <c r="K321" s="121"/>
      <c r="L321" s="121"/>
      <c r="M321" s="121"/>
      <c r="N321" s="121"/>
      <c r="O321" s="121"/>
      <c r="P321" s="121"/>
      <c r="Q321" s="121"/>
      <c r="R321" s="121"/>
      <c r="S321" s="121"/>
      <c r="AI321" s="23" t="s">
        <v>399</v>
      </c>
      <c r="AJ321" s="23" t="s">
        <v>400</v>
      </c>
    </row>
    <row r="322" spans="1:36" ht="20.100000000000001" customHeight="1" x14ac:dyDescent="0.25">
      <c r="A322" s="121"/>
      <c r="B322" s="121"/>
      <c r="C322" s="121"/>
      <c r="D322" s="121"/>
      <c r="E322" s="121"/>
      <c r="F322" s="121"/>
      <c r="G322" s="121"/>
      <c r="H322" s="121"/>
      <c r="I322" s="121"/>
      <c r="J322" s="121"/>
      <c r="K322" s="121"/>
      <c r="L322" s="121"/>
      <c r="M322" s="121"/>
      <c r="N322" s="121"/>
      <c r="O322" s="121"/>
      <c r="P322" s="121"/>
      <c r="Q322" s="121"/>
      <c r="R322" s="121"/>
      <c r="S322" s="121"/>
      <c r="AI322" s="23" t="s">
        <v>401</v>
      </c>
      <c r="AJ322" s="23" t="s">
        <v>402</v>
      </c>
    </row>
    <row r="323" spans="1:36" ht="20.100000000000001" customHeight="1" x14ac:dyDescent="0.25">
      <c r="AI323" s="23" t="s">
        <v>403</v>
      </c>
      <c r="AJ323" s="23" t="s">
        <v>404</v>
      </c>
    </row>
    <row r="324" spans="1:36" ht="20.100000000000001" customHeight="1" x14ac:dyDescent="0.25">
      <c r="A324" s="113" t="s">
        <v>405</v>
      </c>
      <c r="B324" s="113"/>
      <c r="C324" s="113"/>
      <c r="D324" s="113"/>
      <c r="E324" s="143" t="s">
        <v>400</v>
      </c>
      <c r="F324" s="143"/>
      <c r="G324" s="143"/>
      <c r="H324" s="143"/>
      <c r="I324" s="143"/>
      <c r="J324" s="143"/>
      <c r="K324" s="113" t="s">
        <v>406</v>
      </c>
      <c r="L324" s="113"/>
      <c r="M324" s="113"/>
      <c r="N324" s="113"/>
      <c r="O324" s="113"/>
      <c r="P324" s="163" t="s">
        <v>395</v>
      </c>
      <c r="Q324" s="163"/>
      <c r="R324" s="163"/>
      <c r="S324" s="163"/>
      <c r="AI324" s="23" t="s">
        <v>407</v>
      </c>
      <c r="AJ324" s="23" t="s">
        <v>64</v>
      </c>
    </row>
    <row r="325" spans="1:36" ht="20.100000000000001" customHeight="1" x14ac:dyDescent="0.25">
      <c r="A325" s="114" t="s">
        <v>408</v>
      </c>
      <c r="B325" s="114"/>
      <c r="C325" s="114"/>
      <c r="D325" s="114"/>
      <c r="E325" s="129" t="s">
        <v>392</v>
      </c>
      <c r="F325" s="129"/>
      <c r="G325" s="129"/>
      <c r="H325" s="129"/>
      <c r="I325" s="129"/>
      <c r="J325" s="129"/>
      <c r="K325" s="114" t="s">
        <v>409</v>
      </c>
      <c r="L325" s="114"/>
      <c r="M325" s="114"/>
      <c r="N325" s="114"/>
      <c r="O325" s="114"/>
      <c r="P325" s="130" t="s">
        <v>410</v>
      </c>
      <c r="Q325" s="130"/>
      <c r="R325" s="130"/>
      <c r="S325" s="130"/>
      <c r="AI325" s="23" t="s">
        <v>411</v>
      </c>
    </row>
    <row r="326" spans="1:36" ht="20.100000000000001" customHeight="1" x14ac:dyDescent="0.25">
      <c r="A326" s="114" t="s">
        <v>414</v>
      </c>
      <c r="B326" s="114"/>
      <c r="C326" s="114"/>
      <c r="D326" s="114"/>
      <c r="E326" s="114"/>
      <c r="F326" s="114"/>
      <c r="G326" s="114"/>
      <c r="H326" s="114"/>
      <c r="I326" s="114"/>
      <c r="J326" s="114"/>
      <c r="K326" s="114"/>
      <c r="L326" s="114"/>
      <c r="M326" s="114"/>
      <c r="N326" s="114"/>
      <c r="O326" s="114"/>
      <c r="P326" s="118">
        <v>1997.51</v>
      </c>
      <c r="Q326" s="118"/>
      <c r="R326" s="118"/>
      <c r="S326" s="118"/>
    </row>
    <row r="328" spans="1:36" ht="20.100000000000001" customHeight="1" x14ac:dyDescent="0.25">
      <c r="A328" s="116" t="s">
        <v>412</v>
      </c>
      <c r="B328" s="116"/>
      <c r="C328" s="116"/>
      <c r="D328" s="116"/>
      <c r="E328" s="116"/>
      <c r="F328" s="116"/>
      <c r="G328" s="116"/>
      <c r="H328" s="116"/>
      <c r="I328" s="116"/>
      <c r="J328" s="116"/>
      <c r="K328" s="116"/>
      <c r="L328" s="116"/>
      <c r="M328" s="116"/>
      <c r="N328" s="116"/>
      <c r="O328" s="116"/>
      <c r="P328" s="116"/>
      <c r="Q328" s="116"/>
      <c r="R328" s="116"/>
      <c r="S328" s="116"/>
    </row>
    <row r="329" spans="1:36" ht="20.100000000000001" customHeight="1" x14ac:dyDescent="0.25">
      <c r="A329" s="116" t="s">
        <v>413</v>
      </c>
      <c r="B329" s="116"/>
      <c r="C329" s="116"/>
      <c r="D329" s="116"/>
      <c r="E329" s="116"/>
      <c r="F329" s="116"/>
      <c r="G329" s="116"/>
      <c r="H329" s="116"/>
      <c r="I329" s="116"/>
      <c r="J329" s="116"/>
      <c r="K329" s="116"/>
      <c r="L329" s="116"/>
      <c r="M329" s="116"/>
      <c r="N329" s="116"/>
      <c r="O329" s="116"/>
      <c r="P329" s="116"/>
      <c r="Q329" s="116"/>
      <c r="R329" s="116"/>
      <c r="S329" s="116"/>
    </row>
    <row r="330" spans="1:36" ht="20.100000000000001" customHeight="1" x14ac:dyDescent="0.25">
      <c r="A330" s="116"/>
      <c r="B330" s="116"/>
      <c r="C330" s="116"/>
      <c r="D330" s="116"/>
      <c r="E330" s="116"/>
      <c r="F330" s="116"/>
      <c r="G330" s="116"/>
      <c r="H330" s="116"/>
      <c r="I330" s="116"/>
      <c r="J330" s="116"/>
      <c r="K330" s="116"/>
      <c r="L330" s="116"/>
      <c r="M330" s="116"/>
      <c r="N330" s="116"/>
      <c r="O330" s="116"/>
      <c r="P330" s="116"/>
      <c r="Q330" s="116"/>
      <c r="R330" s="116"/>
      <c r="S330" s="116"/>
    </row>
    <row r="331" spans="1:36" ht="20.100000000000001" customHeight="1" x14ac:dyDescent="0.25">
      <c r="A331" s="116"/>
      <c r="B331" s="116"/>
      <c r="C331" s="116"/>
      <c r="D331" s="116"/>
      <c r="E331" s="116"/>
      <c r="F331" s="116"/>
      <c r="G331" s="116"/>
      <c r="H331" s="116"/>
      <c r="I331" s="116"/>
      <c r="J331" s="116"/>
      <c r="K331" s="116"/>
      <c r="L331" s="116"/>
      <c r="M331" s="116"/>
      <c r="N331" s="116"/>
      <c r="O331" s="116"/>
      <c r="P331" s="116"/>
      <c r="Q331" s="116"/>
      <c r="R331" s="116"/>
      <c r="S331" s="116"/>
    </row>
    <row r="332" spans="1:36" ht="20.100000000000001" customHeight="1" x14ac:dyDescent="0.25">
      <c r="A332" s="116"/>
      <c r="B332" s="116"/>
      <c r="C332" s="116"/>
      <c r="D332" s="116"/>
      <c r="E332" s="116"/>
      <c r="F332" s="116"/>
      <c r="G332" s="116"/>
      <c r="H332" s="116"/>
      <c r="I332" s="116"/>
      <c r="J332" s="116"/>
      <c r="K332" s="116"/>
      <c r="L332" s="116"/>
      <c r="M332" s="116"/>
      <c r="N332" s="116"/>
      <c r="O332" s="116"/>
      <c r="P332" s="116"/>
      <c r="Q332" s="116"/>
      <c r="R332" s="116"/>
      <c r="S332" s="116"/>
    </row>
    <row r="333" spans="1:36" ht="20.100000000000001" customHeight="1" x14ac:dyDescent="0.25">
      <c r="A333" s="116"/>
      <c r="B333" s="116"/>
      <c r="C333" s="116"/>
      <c r="D333" s="116"/>
      <c r="E333" s="116"/>
      <c r="F333" s="116"/>
      <c r="G333" s="116"/>
      <c r="H333" s="116"/>
      <c r="I333" s="116"/>
      <c r="J333" s="116"/>
      <c r="K333" s="116"/>
      <c r="L333" s="116"/>
      <c r="M333" s="116"/>
      <c r="N333" s="116"/>
      <c r="O333" s="116"/>
      <c r="P333" s="116"/>
      <c r="Q333" s="116"/>
      <c r="R333" s="116"/>
      <c r="S333" s="116"/>
    </row>
    <row r="334" spans="1:36" ht="20.100000000000001" customHeight="1" x14ac:dyDescent="0.25">
      <c r="A334" s="116"/>
      <c r="B334" s="116"/>
      <c r="C334" s="116"/>
      <c r="D334" s="116"/>
      <c r="E334" s="116"/>
      <c r="F334" s="116"/>
      <c r="G334" s="116"/>
      <c r="H334" s="116"/>
      <c r="I334" s="116"/>
      <c r="J334" s="116"/>
      <c r="K334" s="116"/>
      <c r="L334" s="116"/>
      <c r="M334" s="116"/>
      <c r="N334" s="116"/>
      <c r="O334" s="116"/>
      <c r="P334" s="116"/>
      <c r="Q334" s="116"/>
      <c r="R334" s="116"/>
      <c r="S334" s="116"/>
    </row>
    <row r="335" spans="1:36" ht="20.100000000000001" customHeight="1" x14ac:dyDescent="0.25">
      <c r="A335" s="33"/>
      <c r="B335" s="33"/>
      <c r="C335" s="33"/>
      <c r="D335" s="33"/>
      <c r="E335" s="33"/>
      <c r="F335" s="33"/>
      <c r="G335" s="33"/>
      <c r="H335" s="33"/>
      <c r="I335" s="33"/>
      <c r="J335" s="33"/>
      <c r="K335" s="33"/>
      <c r="L335" s="33"/>
      <c r="M335" s="33"/>
      <c r="N335" s="33"/>
      <c r="O335" s="33"/>
      <c r="P335" s="33"/>
      <c r="Q335" s="33"/>
    </row>
    <row r="336" spans="1:36" ht="39.950000000000003" customHeight="1" x14ac:dyDescent="0.25">
      <c r="A336" s="34" t="s">
        <v>17</v>
      </c>
      <c r="B336" s="119" t="s">
        <v>87</v>
      </c>
      <c r="C336" s="119"/>
      <c r="D336" s="119"/>
      <c r="E336" s="119"/>
      <c r="F336" s="119"/>
      <c r="G336" s="119"/>
      <c r="H336" s="119"/>
      <c r="I336" s="119"/>
      <c r="J336" s="119"/>
      <c r="K336" s="119"/>
      <c r="L336" s="119" t="s">
        <v>452</v>
      </c>
      <c r="M336" s="119"/>
      <c r="N336" s="119" t="s">
        <v>453</v>
      </c>
      <c r="O336" s="119"/>
      <c r="P336" s="119" t="s">
        <v>454</v>
      </c>
      <c r="Q336" s="119"/>
      <c r="R336" s="119" t="s">
        <v>455</v>
      </c>
      <c r="S336" s="119"/>
    </row>
    <row r="337" spans="1:19" ht="20.100000000000001" customHeight="1" x14ac:dyDescent="0.25">
      <c r="A337" s="35" t="s">
        <v>456</v>
      </c>
      <c r="B337" s="115" t="s">
        <v>457</v>
      </c>
      <c r="C337" s="115"/>
      <c r="D337" s="115"/>
      <c r="E337" s="115"/>
      <c r="F337" s="115"/>
      <c r="G337" s="115"/>
      <c r="H337" s="115"/>
      <c r="I337" s="115"/>
      <c r="J337" s="115"/>
      <c r="K337" s="115"/>
      <c r="L337" s="122">
        <v>0</v>
      </c>
      <c r="M337" s="122"/>
      <c r="N337" s="123">
        <f t="shared" ref="N337:N351" si="26">L337/$L$353</f>
        <v>0</v>
      </c>
      <c r="O337" s="123"/>
      <c r="P337" s="117">
        <v>0.5</v>
      </c>
      <c r="Q337" s="117"/>
      <c r="R337" s="117">
        <f t="shared" ref="R337:R346" si="27">L337*P337</f>
        <v>0</v>
      </c>
      <c r="S337" s="117"/>
    </row>
    <row r="338" spans="1:19" ht="20.100000000000001" customHeight="1" x14ac:dyDescent="0.25">
      <c r="A338" s="36" t="s">
        <v>458</v>
      </c>
      <c r="B338" s="115" t="s">
        <v>459</v>
      </c>
      <c r="C338" s="115"/>
      <c r="D338" s="115"/>
      <c r="E338" s="115"/>
      <c r="F338" s="115"/>
      <c r="G338" s="115"/>
      <c r="H338" s="115"/>
      <c r="I338" s="115"/>
      <c r="J338" s="115"/>
      <c r="K338" s="115"/>
      <c r="L338" s="122">
        <v>149</v>
      </c>
      <c r="M338" s="122"/>
      <c r="N338" s="123">
        <f t="shared" si="26"/>
        <v>0.51027397260273977</v>
      </c>
      <c r="O338" s="123"/>
      <c r="P338" s="117">
        <v>1</v>
      </c>
      <c r="Q338" s="117"/>
      <c r="R338" s="117">
        <f t="shared" si="27"/>
        <v>149</v>
      </c>
      <c r="S338" s="117"/>
    </row>
    <row r="339" spans="1:19" ht="20.100000000000001" customHeight="1" x14ac:dyDescent="0.25">
      <c r="A339" s="36" t="s">
        <v>460</v>
      </c>
      <c r="B339" s="115" t="s">
        <v>461</v>
      </c>
      <c r="C339" s="115"/>
      <c r="D339" s="115"/>
      <c r="E339" s="115"/>
      <c r="F339" s="115"/>
      <c r="G339" s="115"/>
      <c r="H339" s="115"/>
      <c r="I339" s="115"/>
      <c r="J339" s="115"/>
      <c r="K339" s="115"/>
      <c r="L339" s="122">
        <v>12</v>
      </c>
      <c r="M339" s="122"/>
      <c r="N339" s="123">
        <f t="shared" si="26"/>
        <v>4.1095890410958902E-2</v>
      </c>
      <c r="O339" s="123"/>
      <c r="P339" s="117">
        <v>1</v>
      </c>
      <c r="Q339" s="117"/>
      <c r="R339" s="117">
        <f t="shared" si="27"/>
        <v>12</v>
      </c>
      <c r="S339" s="117"/>
    </row>
    <row r="340" spans="1:19" ht="20.100000000000001" customHeight="1" x14ac:dyDescent="0.25">
      <c r="A340" s="36" t="s">
        <v>462</v>
      </c>
      <c r="B340" s="115" t="s">
        <v>463</v>
      </c>
      <c r="C340" s="115"/>
      <c r="D340" s="115"/>
      <c r="E340" s="115"/>
      <c r="F340" s="115"/>
      <c r="G340" s="115"/>
      <c r="H340" s="115"/>
      <c r="I340" s="115"/>
      <c r="J340" s="115"/>
      <c r="K340" s="115"/>
      <c r="L340" s="122">
        <v>0</v>
      </c>
      <c r="M340" s="122"/>
      <c r="N340" s="123">
        <f t="shared" si="26"/>
        <v>0</v>
      </c>
      <c r="O340" s="123"/>
      <c r="P340" s="117">
        <v>0.75</v>
      </c>
      <c r="Q340" s="117"/>
      <c r="R340" s="117">
        <f t="shared" si="27"/>
        <v>0</v>
      </c>
      <c r="S340" s="117"/>
    </row>
    <row r="341" spans="1:19" ht="20.100000000000001" customHeight="1" x14ac:dyDescent="0.25">
      <c r="A341" s="36" t="s">
        <v>464</v>
      </c>
      <c r="B341" s="115" t="s">
        <v>465</v>
      </c>
      <c r="C341" s="115"/>
      <c r="D341" s="115"/>
      <c r="E341" s="115"/>
      <c r="F341" s="115"/>
      <c r="G341" s="115"/>
      <c r="H341" s="115"/>
      <c r="I341" s="115"/>
      <c r="J341" s="115"/>
      <c r="K341" s="115"/>
      <c r="L341" s="122">
        <v>0</v>
      </c>
      <c r="M341" s="122"/>
      <c r="N341" s="123">
        <f t="shared" si="26"/>
        <v>0</v>
      </c>
      <c r="O341" s="123"/>
      <c r="P341" s="117">
        <v>0.4</v>
      </c>
      <c r="Q341" s="117"/>
      <c r="R341" s="117">
        <f t="shared" si="27"/>
        <v>0</v>
      </c>
      <c r="S341" s="117"/>
    </row>
    <row r="342" spans="1:19" ht="20.100000000000001" customHeight="1" x14ac:dyDescent="0.25">
      <c r="A342" s="36" t="s">
        <v>466</v>
      </c>
      <c r="B342" s="115" t="s">
        <v>467</v>
      </c>
      <c r="C342" s="115"/>
      <c r="D342" s="115"/>
      <c r="E342" s="115"/>
      <c r="F342" s="115"/>
      <c r="G342" s="115"/>
      <c r="H342" s="115"/>
      <c r="I342" s="115"/>
      <c r="J342" s="115"/>
      <c r="K342" s="115"/>
      <c r="L342" s="122">
        <v>16</v>
      </c>
      <c r="M342" s="122"/>
      <c r="N342" s="123">
        <f t="shared" si="26"/>
        <v>5.4794520547945202E-2</v>
      </c>
      <c r="O342" s="123"/>
      <c r="P342" s="117">
        <v>0.75</v>
      </c>
      <c r="Q342" s="117"/>
      <c r="R342" s="117">
        <f t="shared" si="27"/>
        <v>12</v>
      </c>
      <c r="S342" s="117"/>
    </row>
    <row r="343" spans="1:19" ht="20.100000000000001" customHeight="1" x14ac:dyDescent="0.25">
      <c r="A343" s="36" t="s">
        <v>468</v>
      </c>
      <c r="B343" s="115" t="s">
        <v>469</v>
      </c>
      <c r="C343" s="115"/>
      <c r="D343" s="115"/>
      <c r="E343" s="115"/>
      <c r="F343" s="115"/>
      <c r="G343" s="115"/>
      <c r="H343" s="115"/>
      <c r="I343" s="115"/>
      <c r="J343" s="115"/>
      <c r="K343" s="115"/>
      <c r="L343" s="122">
        <v>0</v>
      </c>
      <c r="M343" s="122"/>
      <c r="N343" s="123">
        <f t="shared" si="26"/>
        <v>0</v>
      </c>
      <c r="O343" s="123"/>
      <c r="P343" s="117">
        <v>0.3</v>
      </c>
      <c r="Q343" s="117"/>
      <c r="R343" s="117">
        <f t="shared" si="27"/>
        <v>0</v>
      </c>
      <c r="S343" s="117"/>
    </row>
    <row r="344" spans="1:19" ht="20.100000000000001" customHeight="1" x14ac:dyDescent="0.25">
      <c r="A344" s="36" t="s">
        <v>470</v>
      </c>
      <c r="B344" s="115" t="s">
        <v>471</v>
      </c>
      <c r="C344" s="115"/>
      <c r="D344" s="115"/>
      <c r="E344" s="115"/>
      <c r="F344" s="115"/>
      <c r="G344" s="115"/>
      <c r="H344" s="115"/>
      <c r="I344" s="115"/>
      <c r="J344" s="115"/>
      <c r="K344" s="115"/>
      <c r="L344" s="122">
        <v>0</v>
      </c>
      <c r="M344" s="122"/>
      <c r="N344" s="123">
        <f t="shared" si="26"/>
        <v>0</v>
      </c>
      <c r="O344" s="123"/>
      <c r="P344" s="117">
        <v>0.05</v>
      </c>
      <c r="Q344" s="117"/>
      <c r="R344" s="117">
        <f t="shared" si="27"/>
        <v>0</v>
      </c>
      <c r="S344" s="117"/>
    </row>
    <row r="345" spans="1:19" ht="20.100000000000001" customHeight="1" x14ac:dyDescent="0.25">
      <c r="A345" s="36" t="s">
        <v>472</v>
      </c>
      <c r="B345" s="115" t="s">
        <v>473</v>
      </c>
      <c r="C345" s="115"/>
      <c r="D345" s="115"/>
      <c r="E345" s="115"/>
      <c r="F345" s="115"/>
      <c r="G345" s="115"/>
      <c r="H345" s="115"/>
      <c r="I345" s="115"/>
      <c r="J345" s="115"/>
      <c r="K345" s="115"/>
      <c r="L345" s="122">
        <v>85</v>
      </c>
      <c r="M345" s="122"/>
      <c r="N345" s="123">
        <f t="shared" si="26"/>
        <v>0.2910958904109589</v>
      </c>
      <c r="O345" s="123"/>
      <c r="P345" s="117">
        <v>0</v>
      </c>
      <c r="Q345" s="117"/>
      <c r="R345" s="117">
        <f t="shared" si="27"/>
        <v>0</v>
      </c>
      <c r="S345" s="117"/>
    </row>
    <row r="346" spans="1:19" ht="20.100000000000001" customHeight="1" x14ac:dyDescent="0.25">
      <c r="A346" s="37" t="s">
        <v>474</v>
      </c>
      <c r="B346" s="115" t="s">
        <v>475</v>
      </c>
      <c r="C346" s="115"/>
      <c r="D346" s="115"/>
      <c r="E346" s="115"/>
      <c r="F346" s="115"/>
      <c r="G346" s="115"/>
      <c r="H346" s="115"/>
      <c r="I346" s="115"/>
      <c r="J346" s="115"/>
      <c r="K346" s="115"/>
      <c r="L346" s="125">
        <v>12</v>
      </c>
      <c r="M346" s="125"/>
      <c r="N346" s="126">
        <f t="shared" si="26"/>
        <v>4.1095890410958902E-2</v>
      </c>
      <c r="O346" s="126"/>
      <c r="P346" s="127">
        <v>0.5</v>
      </c>
      <c r="Q346" s="127"/>
      <c r="R346" s="128">
        <f t="shared" si="27"/>
        <v>6</v>
      </c>
      <c r="S346" s="128"/>
    </row>
    <row r="347" spans="1:19" ht="20.100000000000001" customHeight="1" x14ac:dyDescent="0.25">
      <c r="A347" s="36" t="s">
        <v>476</v>
      </c>
      <c r="B347" s="115" t="s">
        <v>477</v>
      </c>
      <c r="C347" s="115"/>
      <c r="D347" s="115"/>
      <c r="E347" s="115"/>
      <c r="F347" s="115"/>
      <c r="G347" s="115"/>
      <c r="H347" s="115"/>
      <c r="I347" s="115"/>
      <c r="J347" s="115"/>
      <c r="K347" s="115"/>
      <c r="L347" s="122">
        <v>0</v>
      </c>
      <c r="M347" s="122"/>
      <c r="N347" s="126">
        <f t="shared" si="26"/>
        <v>0</v>
      </c>
      <c r="O347" s="126"/>
      <c r="P347" s="117">
        <v>0.5</v>
      </c>
      <c r="Q347" s="117"/>
      <c r="R347" s="117">
        <f>L347*P347</f>
        <v>0</v>
      </c>
      <c r="S347" s="117"/>
    </row>
    <row r="348" spans="1:19" ht="20.100000000000001" customHeight="1" x14ac:dyDescent="0.25">
      <c r="A348" s="36" t="s">
        <v>478</v>
      </c>
      <c r="B348" s="115" t="s">
        <v>479</v>
      </c>
      <c r="C348" s="115"/>
      <c r="D348" s="115"/>
      <c r="E348" s="115"/>
      <c r="F348" s="115"/>
      <c r="G348" s="115"/>
      <c r="H348" s="115"/>
      <c r="I348" s="115"/>
      <c r="J348" s="115"/>
      <c r="K348" s="115"/>
      <c r="L348" s="122">
        <v>0</v>
      </c>
      <c r="M348" s="122"/>
      <c r="N348" s="126">
        <f t="shared" si="26"/>
        <v>0</v>
      </c>
      <c r="O348" s="126"/>
      <c r="P348" s="117">
        <v>0.5</v>
      </c>
      <c r="Q348" s="117"/>
      <c r="R348" s="117">
        <f>L348*P348</f>
        <v>0</v>
      </c>
      <c r="S348" s="117"/>
    </row>
    <row r="349" spans="1:19" ht="20.100000000000001" customHeight="1" x14ac:dyDescent="0.25">
      <c r="A349" s="36" t="s">
        <v>480</v>
      </c>
      <c r="B349" s="115" t="s">
        <v>481</v>
      </c>
      <c r="C349" s="115"/>
      <c r="D349" s="115"/>
      <c r="E349" s="115"/>
      <c r="F349" s="115"/>
      <c r="G349" s="115"/>
      <c r="H349" s="115"/>
      <c r="I349" s="115"/>
      <c r="J349" s="115"/>
      <c r="K349" s="115"/>
      <c r="L349" s="122">
        <v>0</v>
      </c>
      <c r="M349" s="122"/>
      <c r="N349" s="126">
        <f t="shared" si="26"/>
        <v>0</v>
      </c>
      <c r="O349" s="126"/>
      <c r="P349" s="117">
        <v>0.5</v>
      </c>
      <c r="Q349" s="117"/>
      <c r="R349" s="117">
        <f>L349*P349</f>
        <v>0</v>
      </c>
      <c r="S349" s="117"/>
    </row>
    <row r="350" spans="1:19" ht="20.100000000000001" customHeight="1" x14ac:dyDescent="0.25">
      <c r="A350" s="36" t="s">
        <v>482</v>
      </c>
      <c r="B350" s="115" t="s">
        <v>483</v>
      </c>
      <c r="C350" s="115"/>
      <c r="D350" s="115"/>
      <c r="E350" s="115"/>
      <c r="F350" s="115"/>
      <c r="G350" s="115"/>
      <c r="H350" s="115"/>
      <c r="I350" s="115"/>
      <c r="J350" s="115"/>
      <c r="K350" s="115"/>
      <c r="L350" s="122">
        <v>0</v>
      </c>
      <c r="M350" s="122"/>
      <c r="N350" s="126">
        <f t="shared" si="26"/>
        <v>0</v>
      </c>
      <c r="O350" s="126"/>
      <c r="P350" s="117">
        <v>0.5</v>
      </c>
      <c r="Q350" s="117"/>
      <c r="R350" s="117">
        <f>L350*P350</f>
        <v>0</v>
      </c>
      <c r="S350" s="117"/>
    </row>
    <row r="351" spans="1:19" ht="20.100000000000001" customHeight="1" x14ac:dyDescent="0.25">
      <c r="A351" s="36" t="s">
        <v>484</v>
      </c>
      <c r="B351" s="115" t="s">
        <v>485</v>
      </c>
      <c r="C351" s="115"/>
      <c r="D351" s="115"/>
      <c r="E351" s="115"/>
      <c r="F351" s="115"/>
      <c r="G351" s="115"/>
      <c r="H351" s="115"/>
      <c r="I351" s="115"/>
      <c r="J351" s="115"/>
      <c r="K351" s="115"/>
      <c r="L351" s="122">
        <v>18</v>
      </c>
      <c r="M351" s="122"/>
      <c r="N351" s="123">
        <f t="shared" si="26"/>
        <v>6.1643835616438353E-2</v>
      </c>
      <c r="O351" s="123"/>
      <c r="P351" s="117">
        <v>0.1</v>
      </c>
      <c r="Q351" s="117"/>
      <c r="R351" s="117">
        <f>L351*P351</f>
        <v>1.8</v>
      </c>
      <c r="S351" s="117"/>
    </row>
    <row r="352" spans="1:19" ht="20.100000000000001" customHeight="1" x14ac:dyDescent="0.25">
      <c r="A352" s="38"/>
      <c r="R352" s="82"/>
      <c r="S352" s="82"/>
    </row>
    <row r="353" spans="1:19" ht="20.100000000000001" customHeight="1" x14ac:dyDescent="0.25">
      <c r="B353" s="134" t="s">
        <v>486</v>
      </c>
      <c r="C353" s="134"/>
      <c r="D353" s="134"/>
      <c r="E353" s="134"/>
      <c r="F353" s="134"/>
      <c r="G353" s="134"/>
      <c r="H353" s="134"/>
      <c r="I353" s="134"/>
      <c r="J353" s="134"/>
      <c r="K353" s="134"/>
      <c r="L353" s="133">
        <f>SUM(L337:L351)</f>
        <v>292</v>
      </c>
      <c r="M353" s="133"/>
      <c r="N353" s="31"/>
      <c r="O353" s="134" t="s">
        <v>487</v>
      </c>
      <c r="P353" s="134"/>
      <c r="Q353" s="134"/>
      <c r="R353" s="135">
        <f>SUM(R337:R351)</f>
        <v>180.8</v>
      </c>
      <c r="S353" s="135"/>
    </row>
    <row r="355" spans="1:19" ht="20.100000000000001" customHeight="1" x14ac:dyDescent="0.25">
      <c r="A355" s="113" t="s">
        <v>488</v>
      </c>
      <c r="B355" s="113"/>
      <c r="C355" s="113"/>
      <c r="D355" s="113"/>
      <c r="E355" s="113"/>
      <c r="F355" s="113"/>
      <c r="G355" s="113"/>
      <c r="H355" s="113"/>
      <c r="I355" s="113"/>
      <c r="J355" s="113"/>
      <c r="K355" s="113"/>
      <c r="L355" s="113"/>
      <c r="M355" s="113"/>
      <c r="N355" s="131">
        <f>R353</f>
        <v>180.8</v>
      </c>
      <c r="O355" s="131"/>
      <c r="P355" s="131"/>
      <c r="Q355" s="131"/>
      <c r="R355" s="131"/>
      <c r="S355" s="131"/>
    </row>
    <row r="356" spans="1:19" ht="20.100000000000001" customHeight="1" x14ac:dyDescent="0.25">
      <c r="A356" s="114" t="s">
        <v>414</v>
      </c>
      <c r="B356" s="114"/>
      <c r="C356" s="114"/>
      <c r="D356" s="114"/>
      <c r="E356" s="114"/>
      <c r="F356" s="114"/>
      <c r="G356" s="114"/>
      <c r="H356" s="114"/>
      <c r="I356" s="114"/>
      <c r="J356" s="114"/>
      <c r="K356" s="114"/>
      <c r="L356" s="114"/>
      <c r="M356" s="114"/>
      <c r="N356" s="132">
        <f>P326</f>
        <v>1997.51</v>
      </c>
      <c r="O356" s="132"/>
      <c r="P356" s="132"/>
      <c r="Q356" s="132"/>
      <c r="R356" s="132"/>
      <c r="S356" s="132"/>
    </row>
    <row r="357" spans="1:19" ht="20.100000000000001" customHeight="1" x14ac:dyDescent="0.25">
      <c r="A357" s="114" t="s">
        <v>415</v>
      </c>
      <c r="B357" s="114"/>
      <c r="C357" s="114"/>
      <c r="D357" s="114"/>
      <c r="E357" s="114"/>
      <c r="F357" s="114"/>
      <c r="G357" s="114"/>
      <c r="H357" s="114"/>
      <c r="I357" s="114"/>
      <c r="J357" s="114"/>
      <c r="K357" s="114"/>
      <c r="L357" s="114"/>
      <c r="M357" s="114"/>
      <c r="N357" s="131">
        <f>P326*N355</f>
        <v>361149.80800000002</v>
      </c>
      <c r="O357" s="131"/>
      <c r="P357" s="131"/>
      <c r="Q357" s="131"/>
      <c r="R357" s="131"/>
      <c r="S357" s="131"/>
    </row>
    <row r="358" spans="1:19" ht="20.100000000000001" customHeight="1" x14ac:dyDescent="0.25">
      <c r="A358" s="33"/>
      <c r="B358" s="33"/>
      <c r="C358" s="33"/>
      <c r="D358" s="33"/>
      <c r="E358" s="33"/>
      <c r="F358" s="33"/>
      <c r="G358" s="33"/>
      <c r="H358" s="33"/>
      <c r="I358" s="33"/>
      <c r="J358" s="33"/>
      <c r="K358" s="33"/>
      <c r="L358" s="33"/>
      <c r="M358" s="33"/>
      <c r="N358" s="33"/>
      <c r="O358" s="33"/>
      <c r="P358" s="33"/>
      <c r="Q358" s="33"/>
      <c r="R358" s="33"/>
      <c r="S358" s="33"/>
    </row>
    <row r="360" spans="1:19" ht="20.100000000000001" customHeight="1" x14ac:dyDescent="0.25">
      <c r="A360" s="138" t="s">
        <v>416</v>
      </c>
      <c r="B360" s="138"/>
      <c r="C360" s="138"/>
      <c r="D360" s="138"/>
      <c r="E360" s="138"/>
      <c r="F360" s="138"/>
      <c r="G360" s="138"/>
      <c r="H360" s="138"/>
      <c r="I360" s="138"/>
      <c r="J360" s="138"/>
      <c r="K360" s="138"/>
      <c r="L360" s="138"/>
      <c r="M360" s="138"/>
      <c r="N360" s="138"/>
      <c r="O360" s="138"/>
      <c r="P360" s="138"/>
      <c r="Q360" s="138"/>
      <c r="R360" s="138"/>
      <c r="S360" s="138"/>
    </row>
    <row r="362" spans="1:19" ht="20.100000000000001" customHeight="1" x14ac:dyDescent="0.25">
      <c r="A362" s="113" t="s">
        <v>417</v>
      </c>
      <c r="B362" s="113"/>
      <c r="C362" s="113"/>
      <c r="D362" s="113"/>
      <c r="E362" s="113"/>
      <c r="F362" s="164">
        <v>20</v>
      </c>
      <c r="G362" s="164"/>
      <c r="H362" s="164"/>
      <c r="I362" s="164"/>
    </row>
    <row r="363" spans="1:19" ht="20.100000000000001" customHeight="1" x14ac:dyDescent="0.25">
      <c r="A363" s="113" t="s">
        <v>418</v>
      </c>
      <c r="B363" s="113"/>
      <c r="C363" s="113"/>
      <c r="D363" s="113"/>
      <c r="E363" s="113"/>
      <c r="F363" s="153">
        <v>70</v>
      </c>
      <c r="G363" s="153"/>
      <c r="H363" s="153"/>
      <c r="I363" s="153"/>
    </row>
    <row r="364" spans="1:19" ht="20.100000000000001" customHeight="1" x14ac:dyDescent="0.25">
      <c r="A364" s="114" t="s">
        <v>419</v>
      </c>
      <c r="B364" s="114"/>
      <c r="C364" s="114"/>
      <c r="D364" s="114"/>
      <c r="E364" s="114"/>
      <c r="F364" s="157">
        <f>F362/F363</f>
        <v>0.2857142857142857</v>
      </c>
      <c r="G364" s="157"/>
      <c r="H364" s="157"/>
      <c r="I364" s="157"/>
    </row>
    <row r="366" spans="1:19" ht="20.100000000000001" customHeight="1" x14ac:dyDescent="0.25">
      <c r="A366" s="112" t="s">
        <v>420</v>
      </c>
      <c r="B366" s="112"/>
      <c r="C366" s="112"/>
      <c r="D366" s="112"/>
      <c r="E366" s="112"/>
      <c r="F366" s="112"/>
      <c r="G366" s="112"/>
      <c r="H366" s="112"/>
      <c r="I366" s="112"/>
      <c r="J366" s="112"/>
      <c r="K366" s="112"/>
      <c r="L366" s="112"/>
      <c r="M366" s="112"/>
      <c r="N366" s="112"/>
      <c r="O366" s="112"/>
      <c r="P366" s="112"/>
      <c r="Q366" s="112"/>
      <c r="R366" s="112"/>
      <c r="S366" s="112"/>
    </row>
    <row r="368" spans="1:19" ht="20.100000000000001" customHeight="1" x14ac:dyDescent="0.25">
      <c r="B368" s="40"/>
    </row>
    <row r="375" spans="1:30" ht="20.100000000000001" customHeight="1" x14ac:dyDescent="0.25">
      <c r="AA375" s="23" t="s">
        <v>421</v>
      </c>
      <c r="AB375" s="23" t="s">
        <v>319</v>
      </c>
      <c r="AC375" s="23" t="s">
        <v>422</v>
      </c>
      <c r="AD375" s="23">
        <v>0</v>
      </c>
    </row>
    <row r="376" spans="1:30" ht="20.100000000000001" customHeight="1" x14ac:dyDescent="0.25">
      <c r="AA376" s="25">
        <f>1/2*((F362/F363)+(F362^2/F363^2))</f>
        <v>0.18367346938775508</v>
      </c>
      <c r="AB376" s="23" t="s">
        <v>321</v>
      </c>
      <c r="AC376" s="23" t="s">
        <v>423</v>
      </c>
      <c r="AD376" s="23">
        <v>0.32</v>
      </c>
    </row>
    <row r="377" spans="1:30" ht="20.100000000000001" customHeight="1" x14ac:dyDescent="0.25">
      <c r="AB377" s="23" t="s">
        <v>324</v>
      </c>
      <c r="AC377" s="23" t="s">
        <v>67</v>
      </c>
      <c r="AD377" s="23">
        <v>2.52</v>
      </c>
    </row>
    <row r="378" spans="1:30" ht="20.100000000000001" customHeight="1" x14ac:dyDescent="0.25">
      <c r="AB378" s="23" t="s">
        <v>326</v>
      </c>
      <c r="AC378" s="23" t="s">
        <v>424</v>
      </c>
      <c r="AD378" s="23">
        <v>8.09</v>
      </c>
    </row>
    <row r="379" spans="1:30" ht="20.100000000000001" customHeight="1" x14ac:dyDescent="0.25">
      <c r="A379" s="112" t="s">
        <v>425</v>
      </c>
      <c r="B379" s="112"/>
      <c r="C379" s="112"/>
      <c r="D379" s="112"/>
      <c r="E379" s="112"/>
      <c r="F379" s="112"/>
      <c r="G379" s="112"/>
      <c r="H379" s="112"/>
      <c r="I379" s="112"/>
      <c r="J379" s="112"/>
      <c r="K379" s="112"/>
      <c r="L379" s="112"/>
      <c r="M379" s="112"/>
      <c r="N379" s="112"/>
      <c r="O379" s="112"/>
      <c r="P379" s="112"/>
      <c r="Q379" s="112"/>
      <c r="R379" s="112"/>
      <c r="S379" s="112"/>
      <c r="AB379" s="23" t="s">
        <v>329</v>
      </c>
      <c r="AC379" s="23" t="s">
        <v>426</v>
      </c>
      <c r="AD379" s="23">
        <v>18.100000000000001</v>
      </c>
    </row>
    <row r="380" spans="1:30" ht="20.100000000000001" customHeight="1" x14ac:dyDescent="0.25">
      <c r="AB380" s="23" t="s">
        <v>332</v>
      </c>
      <c r="AC380" s="23" t="s">
        <v>427</v>
      </c>
      <c r="AD380" s="23">
        <v>33.200000000000003</v>
      </c>
    </row>
    <row r="381" spans="1:30" ht="20.100000000000001" customHeight="1" x14ac:dyDescent="0.25">
      <c r="AB381" s="23" t="s">
        <v>335</v>
      </c>
      <c r="AC381" s="23" t="s">
        <v>428</v>
      </c>
      <c r="AD381" s="23">
        <v>52.6</v>
      </c>
    </row>
    <row r="382" spans="1:30" ht="20.100000000000001" customHeight="1" x14ac:dyDescent="0.25">
      <c r="B382" s="40"/>
      <c r="AB382" s="23" t="s">
        <v>338</v>
      </c>
      <c r="AC382" s="23" t="s">
        <v>429</v>
      </c>
      <c r="AD382" s="23">
        <v>75.2</v>
      </c>
    </row>
    <row r="383" spans="1:30" ht="20.100000000000001" customHeight="1" x14ac:dyDescent="0.25">
      <c r="AB383" s="23" t="s">
        <v>82</v>
      </c>
      <c r="AC383" s="23" t="s">
        <v>430</v>
      </c>
      <c r="AD383" s="23">
        <v>100</v>
      </c>
    </row>
    <row r="384" spans="1:30" ht="20.100000000000001" customHeight="1" x14ac:dyDescent="0.25">
      <c r="A384" s="112" t="s">
        <v>431</v>
      </c>
      <c r="B384" s="112"/>
      <c r="C384" s="112"/>
      <c r="D384" s="112"/>
      <c r="E384" s="112"/>
      <c r="F384" s="112"/>
      <c r="G384" s="143" t="s">
        <v>324</v>
      </c>
      <c r="H384" s="143"/>
      <c r="I384" s="143"/>
      <c r="J384" s="143"/>
      <c r="K384" s="143"/>
      <c r="L384" s="143"/>
      <c r="M384" s="143"/>
    </row>
    <row r="385" spans="1:24" ht="20.100000000000001" customHeight="1" x14ac:dyDescent="0.25">
      <c r="A385" s="114" t="s">
        <v>432</v>
      </c>
      <c r="B385" s="114"/>
      <c r="C385" s="114"/>
      <c r="D385" s="114"/>
      <c r="E385" s="114"/>
      <c r="F385" s="114"/>
      <c r="G385" s="114" t="str">
        <f>VLOOKUP(G384,AB375:AD383,2,0)</f>
        <v>regular</v>
      </c>
      <c r="H385" s="114"/>
      <c r="I385" s="114"/>
      <c r="J385" s="114"/>
      <c r="K385" s="114"/>
      <c r="L385" s="114"/>
      <c r="M385" s="114"/>
    </row>
    <row r="386" spans="1:24" ht="20.100000000000001" customHeight="1" x14ac:dyDescent="0.25">
      <c r="A386" s="114" t="s">
        <v>433</v>
      </c>
      <c r="B386" s="114"/>
      <c r="C386" s="114"/>
      <c r="D386" s="114"/>
      <c r="E386" s="114"/>
      <c r="F386" s="114"/>
      <c r="G386" s="162">
        <f>VLOOKUP(G384,AB375:AD383,3,0)</f>
        <v>2.52</v>
      </c>
      <c r="H386" s="162"/>
      <c r="I386" s="162"/>
      <c r="J386" s="162"/>
      <c r="K386" s="162"/>
      <c r="L386" s="162"/>
      <c r="M386" s="162"/>
    </row>
    <row r="388" spans="1:24" ht="20.100000000000001" customHeight="1" x14ac:dyDescent="0.25">
      <c r="A388" s="112" t="s">
        <v>434</v>
      </c>
      <c r="B388" s="112"/>
      <c r="C388" s="112"/>
      <c r="D388" s="112"/>
      <c r="E388" s="112"/>
      <c r="F388" s="112"/>
      <c r="G388" s="112"/>
      <c r="H388" s="112"/>
      <c r="I388" s="112"/>
      <c r="J388" s="112">
        <f>AA376+((1-AA376)*(G386/100))</f>
        <v>0.20424489795918366</v>
      </c>
      <c r="K388" s="112"/>
      <c r="L388" s="112"/>
      <c r="M388" s="112"/>
    </row>
    <row r="389" spans="1:24" ht="20.100000000000001" customHeight="1" x14ac:dyDescent="0.25">
      <c r="A389" s="114" t="s">
        <v>435</v>
      </c>
      <c r="B389" s="114"/>
      <c r="C389" s="114"/>
      <c r="D389" s="114"/>
      <c r="E389" s="114"/>
      <c r="F389" s="114"/>
      <c r="G389" s="114"/>
      <c r="H389" s="114"/>
      <c r="I389" s="114"/>
      <c r="J389" s="157">
        <f>-(J388)</f>
        <v>-0.20424489795918366</v>
      </c>
      <c r="K389" s="157"/>
      <c r="L389" s="157"/>
      <c r="M389" s="157"/>
    </row>
    <row r="390" spans="1:24" ht="20.100000000000001" customHeight="1" x14ac:dyDescent="0.25">
      <c r="A390" s="114" t="s">
        <v>436</v>
      </c>
      <c r="B390" s="114"/>
      <c r="C390" s="114"/>
      <c r="D390" s="114"/>
      <c r="E390" s="114"/>
      <c r="F390" s="114"/>
      <c r="G390" s="114"/>
      <c r="H390" s="114"/>
      <c r="I390" s="114"/>
      <c r="J390" s="158">
        <f>1+J389</f>
        <v>0.79575510204081634</v>
      </c>
      <c r="K390" s="158"/>
      <c r="L390" s="158"/>
      <c r="M390" s="158"/>
    </row>
    <row r="393" spans="1:24" ht="20.100000000000001" customHeight="1" x14ac:dyDescent="0.25">
      <c r="A393" s="113" t="s">
        <v>415</v>
      </c>
      <c r="B393" s="113"/>
      <c r="C393" s="113"/>
      <c r="D393" s="113"/>
      <c r="E393" s="113"/>
      <c r="F393" s="113"/>
      <c r="G393" s="113"/>
      <c r="H393" s="113"/>
      <c r="I393" s="113"/>
      <c r="J393" s="113"/>
      <c r="K393" s="113"/>
      <c r="L393" s="113"/>
      <c r="M393" s="131">
        <f>N357</f>
        <v>361149.80800000002</v>
      </c>
      <c r="N393" s="131"/>
      <c r="O393" s="131"/>
      <c r="P393" s="131"/>
      <c r="Q393" s="131"/>
      <c r="R393" s="131"/>
      <c r="S393" s="131"/>
    </row>
    <row r="394" spans="1:24" ht="20.100000000000001" customHeight="1" x14ac:dyDescent="0.25">
      <c r="A394" s="113" t="s">
        <v>437</v>
      </c>
      <c r="B394" s="113"/>
      <c r="C394" s="113"/>
      <c r="D394" s="113"/>
      <c r="E394" s="113"/>
      <c r="F394" s="113"/>
      <c r="G394" s="113"/>
      <c r="H394" s="113"/>
      <c r="I394" s="113"/>
      <c r="J394" s="113"/>
      <c r="K394" s="113"/>
      <c r="L394" s="113"/>
      <c r="M394" s="131">
        <f>M393*J389</f>
        <v>-73763.005682938776</v>
      </c>
      <c r="N394" s="131"/>
      <c r="O394" s="131"/>
      <c r="P394" s="131"/>
      <c r="Q394" s="131"/>
      <c r="R394" s="131"/>
      <c r="S394" s="131"/>
    </row>
    <row r="396" spans="1:24" ht="20.100000000000001" customHeight="1" x14ac:dyDescent="0.25">
      <c r="A396" s="138" t="s">
        <v>438</v>
      </c>
      <c r="B396" s="138"/>
      <c r="C396" s="138"/>
      <c r="D396" s="138"/>
      <c r="E396" s="138"/>
      <c r="F396" s="138"/>
      <c r="G396" s="138"/>
      <c r="H396" s="138"/>
      <c r="I396" s="138"/>
      <c r="J396" s="138"/>
      <c r="K396" s="138"/>
      <c r="L396" s="138"/>
      <c r="M396" s="131">
        <f>M393+M394</f>
        <v>287386.80231706123</v>
      </c>
      <c r="N396" s="131"/>
      <c r="O396" s="131"/>
      <c r="P396" s="131"/>
      <c r="Q396" s="131"/>
      <c r="R396" s="131"/>
      <c r="S396" s="131"/>
    </row>
    <row r="398" spans="1:24" ht="20.100000000000001" customHeight="1" thickBot="1" x14ac:dyDescent="0.3">
      <c r="A398" s="41"/>
      <c r="B398" s="41"/>
      <c r="C398" s="41"/>
      <c r="D398" s="41"/>
      <c r="E398" s="41"/>
      <c r="F398" s="41"/>
      <c r="G398" s="41"/>
      <c r="H398" s="41"/>
      <c r="I398" s="41"/>
      <c r="J398" s="41"/>
      <c r="K398" s="41"/>
      <c r="L398" s="41"/>
      <c r="M398" s="41"/>
      <c r="N398" s="41"/>
      <c r="O398" s="41"/>
      <c r="P398" s="41"/>
      <c r="Q398" s="41"/>
      <c r="R398" s="41"/>
      <c r="S398" s="41"/>
    </row>
    <row r="400" spans="1:24" ht="20.100000000000001" customHeight="1" x14ac:dyDescent="0.25">
      <c r="A400" s="137" t="s">
        <v>439</v>
      </c>
      <c r="B400" s="137"/>
      <c r="C400" s="137"/>
      <c r="D400" s="137"/>
      <c r="E400" s="137"/>
      <c r="F400" s="137"/>
      <c r="G400" s="137"/>
      <c r="H400" s="137"/>
      <c r="I400" s="137"/>
      <c r="J400" s="137"/>
      <c r="K400" s="137"/>
      <c r="L400" s="137"/>
      <c r="M400" s="137"/>
      <c r="N400" s="137"/>
      <c r="O400" s="137"/>
      <c r="P400" s="137"/>
      <c r="Q400" s="137"/>
      <c r="R400" s="137"/>
      <c r="S400" s="137"/>
      <c r="W400" s="145" t="s">
        <v>440</v>
      </c>
      <c r="X400" s="145"/>
    </row>
    <row r="401" spans="1:25" ht="20.100000000000001" customHeight="1" x14ac:dyDescent="0.25">
      <c r="A401" s="113" t="s">
        <v>441</v>
      </c>
      <c r="B401" s="113"/>
      <c r="C401" s="113"/>
      <c r="D401" s="113"/>
      <c r="E401" s="31"/>
      <c r="F401" s="31"/>
      <c r="G401" s="31"/>
      <c r="H401" s="31"/>
      <c r="I401" s="31"/>
      <c r="J401" s="31"/>
      <c r="K401" s="31"/>
      <c r="L401" s="143" t="s">
        <v>280</v>
      </c>
      <c r="M401" s="143"/>
      <c r="N401" s="143"/>
      <c r="O401" s="143"/>
      <c r="P401" s="143"/>
      <c r="Q401" s="143"/>
      <c r="R401" s="143"/>
      <c r="S401" s="143"/>
      <c r="W401" s="26" t="s">
        <v>277</v>
      </c>
      <c r="X401" s="27">
        <f>MATCH(L401,'VANTAGEM DA COISA FEITA'!$AN$11:$AQ$11,0)</f>
        <v>3</v>
      </c>
    </row>
    <row r="402" spans="1:25" ht="20.100000000000001" customHeight="1" x14ac:dyDescent="0.25">
      <c r="A402" s="114" t="s">
        <v>442</v>
      </c>
      <c r="B402" s="114"/>
      <c r="C402" s="114"/>
      <c r="D402" s="114"/>
      <c r="E402" s="32"/>
      <c r="F402" s="32"/>
      <c r="G402" s="32"/>
      <c r="H402" s="32"/>
      <c r="I402" s="32"/>
      <c r="J402" s="32"/>
      <c r="K402" s="32"/>
      <c r="L402" s="44">
        <f>F362</f>
        <v>20</v>
      </c>
      <c r="M402" s="32" t="s">
        <v>443</v>
      </c>
      <c r="N402" s="32"/>
      <c r="O402" s="32"/>
      <c r="P402" s="32"/>
      <c r="Q402" s="32"/>
      <c r="R402" s="32"/>
      <c r="S402" s="32"/>
      <c r="W402" s="26" t="s">
        <v>279</v>
      </c>
      <c r="X402" s="27">
        <f>MATCH(L402,'VANTAGEM DA COISA FEITA'!$AM$12:$AM$81,0)</f>
        <v>20</v>
      </c>
    </row>
    <row r="403" spans="1:25" ht="20.100000000000001" customHeight="1" x14ac:dyDescent="0.25">
      <c r="X403" s="28" cm="1">
        <f t="array" ref="X403">INDEX('VANTAGEM DA COISA FEITA'!$AN$12:$AQ$81,X402,X401)</f>
        <v>5.2000000000000005E-2</v>
      </c>
    </row>
    <row r="404" spans="1:25" ht="20.100000000000001" customHeight="1" x14ac:dyDescent="0.25">
      <c r="A404" s="113" t="s">
        <v>444</v>
      </c>
      <c r="B404" s="113"/>
      <c r="C404" s="113"/>
      <c r="D404" s="113"/>
      <c r="E404" s="113"/>
      <c r="F404" s="113"/>
      <c r="G404" s="113"/>
      <c r="H404" s="113"/>
      <c r="I404" s="113"/>
      <c r="J404" s="113"/>
      <c r="K404" s="113"/>
      <c r="L404" s="113"/>
      <c r="M404" s="131">
        <f>N314</f>
        <v>163586.16541353389</v>
      </c>
      <c r="N404" s="131"/>
      <c r="O404" s="131"/>
      <c r="P404" s="131"/>
      <c r="Q404" s="131"/>
      <c r="R404" s="131"/>
      <c r="S404" s="131"/>
    </row>
    <row r="405" spans="1:25" ht="20.100000000000001" customHeight="1" x14ac:dyDescent="0.25">
      <c r="A405" s="113" t="s">
        <v>445</v>
      </c>
      <c r="B405" s="113"/>
      <c r="C405" s="113"/>
      <c r="D405" s="113"/>
      <c r="E405" s="113"/>
      <c r="F405" s="113"/>
      <c r="G405" s="113"/>
      <c r="H405" s="113"/>
      <c r="I405" s="113"/>
      <c r="J405" s="113"/>
      <c r="K405" s="113"/>
      <c r="L405" s="113"/>
      <c r="M405" s="131">
        <f>M396</f>
        <v>287386.80231706123</v>
      </c>
      <c r="N405" s="131"/>
      <c r="O405" s="131"/>
      <c r="P405" s="131"/>
      <c r="Q405" s="131"/>
      <c r="R405" s="131"/>
      <c r="S405" s="131"/>
    </row>
    <row r="407" spans="1:25" ht="20.100000000000001" customHeight="1" x14ac:dyDescent="0.25">
      <c r="A407" s="113" t="s">
        <v>446</v>
      </c>
      <c r="B407" s="113"/>
      <c r="C407" s="113"/>
      <c r="D407" s="113"/>
      <c r="E407" s="113"/>
      <c r="F407" s="113"/>
      <c r="G407" s="113"/>
      <c r="H407" s="113"/>
      <c r="I407" s="113"/>
      <c r="J407" s="113"/>
      <c r="K407" s="113"/>
      <c r="L407" s="113"/>
      <c r="M407" s="131">
        <f>M404+M405</f>
        <v>450972.96773059515</v>
      </c>
      <c r="N407" s="131"/>
      <c r="O407" s="131"/>
      <c r="P407" s="131"/>
      <c r="Q407" s="131"/>
      <c r="R407" s="131"/>
      <c r="S407" s="131"/>
    </row>
    <row r="408" spans="1:25" ht="20.100000000000001" customHeight="1" x14ac:dyDescent="0.25">
      <c r="A408" s="113" t="s">
        <v>447</v>
      </c>
      <c r="B408" s="113"/>
      <c r="C408" s="113"/>
      <c r="D408" s="113"/>
      <c r="E408" s="113"/>
      <c r="F408" s="113"/>
      <c r="G408" s="113"/>
      <c r="H408" s="113"/>
      <c r="I408" s="113"/>
      <c r="J408" s="113"/>
      <c r="K408" s="113"/>
      <c r="L408" s="113"/>
      <c r="M408" s="146">
        <f>1+X403</f>
        <v>1.052</v>
      </c>
      <c r="N408" s="146"/>
      <c r="O408" s="146"/>
      <c r="P408" s="146"/>
      <c r="Q408" s="146"/>
      <c r="R408" s="146"/>
      <c r="S408" s="146"/>
    </row>
    <row r="409" spans="1:25" ht="20.100000000000001" customHeight="1" x14ac:dyDescent="0.25">
      <c r="W409" s="23" t="s">
        <v>448</v>
      </c>
      <c r="X409" s="28">
        <f>Y409/(SUM($Y$409:$Y$410))</f>
        <v>0.36274051244521144</v>
      </c>
      <c r="Y409" s="29">
        <f>M404</f>
        <v>163586.16541353389</v>
      </c>
    </row>
    <row r="410" spans="1:25" ht="20.100000000000001" customHeight="1" x14ac:dyDescent="0.25">
      <c r="A410" s="113" t="s">
        <v>449</v>
      </c>
      <c r="B410" s="113"/>
      <c r="C410" s="113"/>
      <c r="D410" s="113"/>
      <c r="E410" s="113"/>
      <c r="F410" s="113"/>
      <c r="G410" s="113"/>
      <c r="H410" s="113"/>
      <c r="I410" s="113"/>
      <c r="J410" s="113"/>
      <c r="K410" s="113"/>
      <c r="L410" s="113"/>
      <c r="M410" s="131">
        <f>M407*M408</f>
        <v>474423.56205258612</v>
      </c>
      <c r="N410" s="131"/>
      <c r="O410" s="131"/>
      <c r="P410" s="131"/>
      <c r="Q410" s="131"/>
      <c r="R410" s="131"/>
      <c r="S410" s="131"/>
      <c r="W410" s="23" t="s">
        <v>450</v>
      </c>
      <c r="X410" s="28">
        <f>Y410/(SUM($Y$409:$Y$410))</f>
        <v>0.63725948755478845</v>
      </c>
      <c r="Y410" s="29">
        <f>M405</f>
        <v>287386.80231706123</v>
      </c>
    </row>
    <row r="413" spans="1:25" ht="20.100000000000001" customHeight="1" x14ac:dyDescent="0.25">
      <c r="A413" s="113" t="s">
        <v>451</v>
      </c>
      <c r="B413" s="113"/>
      <c r="C413" s="113"/>
      <c r="D413" s="113"/>
      <c r="E413" s="113"/>
      <c r="F413" s="113"/>
      <c r="G413" s="113"/>
      <c r="H413" s="113"/>
      <c r="I413" s="113"/>
      <c r="J413" s="113"/>
      <c r="K413" s="113"/>
      <c r="L413" s="113"/>
      <c r="M413" s="113"/>
      <c r="N413" s="113"/>
      <c r="O413" s="113"/>
      <c r="P413" s="113"/>
      <c r="Q413" s="113"/>
      <c r="R413" s="113"/>
      <c r="S413" s="113"/>
    </row>
    <row r="420" spans="1:21" ht="20.100000000000001" customHeight="1" x14ac:dyDescent="0.25">
      <c r="A420" s="43"/>
      <c r="B420" s="43"/>
      <c r="C420" s="43"/>
      <c r="D420" s="43"/>
      <c r="E420" s="43"/>
      <c r="F420" s="43"/>
      <c r="G420" s="43"/>
      <c r="H420" s="43"/>
      <c r="I420" s="43"/>
      <c r="J420" s="43"/>
      <c r="K420" s="43"/>
      <c r="L420" s="43"/>
      <c r="M420" s="43"/>
      <c r="N420" s="43"/>
      <c r="O420" s="43"/>
      <c r="Q420" s="43"/>
      <c r="R420" s="43"/>
      <c r="S420" s="43"/>
    </row>
    <row r="428" spans="1:21" ht="20.100000000000001" customHeight="1" x14ac:dyDescent="0.25">
      <c r="A428" s="137" t="s">
        <v>76</v>
      </c>
      <c r="B428" s="137"/>
      <c r="C428" s="137"/>
      <c r="D428" s="137"/>
      <c r="E428" s="137"/>
      <c r="F428" s="137"/>
      <c r="G428" s="137"/>
      <c r="H428" s="137"/>
      <c r="I428" s="137"/>
      <c r="J428" s="137"/>
      <c r="K428" s="137"/>
      <c r="L428" s="137"/>
      <c r="M428" s="112"/>
      <c r="N428" s="112"/>
      <c r="O428" s="112"/>
      <c r="P428" s="112"/>
      <c r="Q428" s="112"/>
      <c r="R428" s="112"/>
      <c r="S428" s="112"/>
    </row>
    <row r="429" spans="1:21" ht="20.100000000000001" customHeight="1" x14ac:dyDescent="0.25">
      <c r="A429" s="113" t="s">
        <v>77</v>
      </c>
      <c r="B429" s="113"/>
      <c r="C429" s="113"/>
      <c r="D429" s="113"/>
      <c r="E429" s="113"/>
      <c r="F429" s="113"/>
      <c r="G429" s="113"/>
      <c r="H429" s="113"/>
      <c r="I429" s="113"/>
      <c r="J429" s="113"/>
      <c r="K429" s="113"/>
      <c r="L429" s="113"/>
      <c r="M429" s="143">
        <v>3</v>
      </c>
      <c r="N429" s="143"/>
      <c r="O429" s="143"/>
      <c r="P429" s="143"/>
      <c r="Q429" s="143"/>
      <c r="R429" s="143"/>
      <c r="S429" s="143"/>
      <c r="T429" s="139" t="str">
        <f>IF(M431&gt;0.01,"Reduzir o número de casas decimais","")</f>
        <v/>
      </c>
      <c r="U429" s="139"/>
    </row>
    <row r="430" spans="1:21" ht="20.100000000000001" customHeight="1" x14ac:dyDescent="0.25">
      <c r="A430" s="114" t="s">
        <v>78</v>
      </c>
      <c r="B430" s="114"/>
      <c r="C430" s="114"/>
      <c r="D430" s="114"/>
      <c r="E430" s="114"/>
      <c r="F430" s="114"/>
      <c r="G430" s="114"/>
      <c r="H430" s="114"/>
      <c r="I430" s="114"/>
      <c r="J430" s="114"/>
      <c r="K430" s="114"/>
      <c r="L430" s="114"/>
      <c r="M430" s="140">
        <f>M433-M410</f>
        <v>576.4379474138841</v>
      </c>
      <c r="N430" s="114"/>
      <c r="O430" s="114"/>
      <c r="P430" s="114"/>
      <c r="Q430" s="114"/>
      <c r="R430" s="114"/>
      <c r="S430" s="114"/>
    </row>
    <row r="431" spans="1:21" ht="20.100000000000001" customHeight="1" x14ac:dyDescent="0.25">
      <c r="A431" s="114" t="s">
        <v>79</v>
      </c>
      <c r="B431" s="114"/>
      <c r="C431" s="114"/>
      <c r="D431" s="114"/>
      <c r="E431" s="114"/>
      <c r="F431" s="114"/>
      <c r="G431" s="114"/>
      <c r="H431" s="114"/>
      <c r="I431" s="114"/>
      <c r="J431" s="114"/>
      <c r="K431" s="114"/>
      <c r="L431" s="114"/>
      <c r="M431" s="144">
        <f>M430/M410</f>
        <v>1.2150280751654372E-3</v>
      </c>
      <c r="N431" s="144"/>
      <c r="O431" s="144"/>
      <c r="P431" s="144"/>
      <c r="Q431" s="144"/>
      <c r="R431" s="144"/>
      <c r="S431" s="144"/>
    </row>
    <row r="433" spans="1:19" ht="20.100000000000001" customHeight="1" x14ac:dyDescent="0.25">
      <c r="A433" s="138" t="s">
        <v>75</v>
      </c>
      <c r="B433" s="138"/>
      <c r="C433" s="138"/>
      <c r="D433" s="138"/>
      <c r="E433" s="138"/>
      <c r="F433" s="138"/>
      <c r="G433" s="138"/>
      <c r="H433" s="138"/>
      <c r="I433" s="138"/>
      <c r="J433" s="138"/>
      <c r="K433" s="138"/>
      <c r="L433" s="138"/>
      <c r="M433" s="141">
        <f>ROUNDUP(M410,-M429)</f>
        <v>475000</v>
      </c>
      <c r="N433" s="141"/>
      <c r="O433" s="141"/>
      <c r="P433" s="141"/>
      <c r="Q433" s="141"/>
      <c r="R433" s="141"/>
      <c r="S433" s="141"/>
    </row>
    <row r="436" spans="1:19" ht="20.100000000000001" customHeight="1" x14ac:dyDescent="0.25">
      <c r="A436" s="142"/>
      <c r="B436" s="142"/>
      <c r="C436" s="142"/>
      <c r="D436" s="142"/>
      <c r="E436" s="142"/>
      <c r="F436" s="142"/>
      <c r="G436" s="142"/>
      <c r="H436" s="142"/>
      <c r="I436" s="142"/>
      <c r="J436" s="142"/>
      <c r="K436" s="142"/>
      <c r="L436" s="142"/>
      <c r="M436" s="142"/>
      <c r="N436" s="142"/>
      <c r="O436" s="142"/>
      <c r="P436" s="142"/>
      <c r="Q436" s="142"/>
      <c r="R436" s="142"/>
      <c r="S436" s="142"/>
    </row>
    <row r="437" spans="1:19" ht="20.100000000000001" customHeight="1" x14ac:dyDescent="0.25">
      <c r="A437" s="142" t="s">
        <v>84</v>
      </c>
      <c r="B437" s="142"/>
      <c r="C437" s="142"/>
      <c r="D437" s="142"/>
      <c r="E437" s="142"/>
      <c r="F437" s="142"/>
      <c r="G437" s="142"/>
      <c r="H437" s="142"/>
      <c r="I437" s="142"/>
      <c r="J437" s="142"/>
      <c r="K437" s="142"/>
      <c r="L437" s="142"/>
      <c r="M437" s="142"/>
      <c r="N437" s="142"/>
      <c r="O437" s="142"/>
      <c r="P437" s="142"/>
      <c r="Q437" s="142"/>
      <c r="R437" s="142"/>
      <c r="S437" s="142"/>
    </row>
    <row r="438" spans="1:19" ht="20.100000000000001" customHeight="1" x14ac:dyDescent="0.25">
      <c r="A438" s="142" t="s">
        <v>83</v>
      </c>
      <c r="B438" s="142"/>
      <c r="C438" s="142"/>
      <c r="D438" s="142"/>
      <c r="E438" s="142"/>
      <c r="F438" s="142"/>
      <c r="G438" s="142"/>
      <c r="H438" s="142"/>
      <c r="I438" s="142"/>
      <c r="J438" s="142"/>
      <c r="K438" s="142"/>
      <c r="L438" s="142"/>
      <c r="M438" s="142"/>
      <c r="N438" s="142"/>
      <c r="O438" s="142"/>
      <c r="P438" s="142"/>
      <c r="Q438" s="142"/>
      <c r="R438" s="142"/>
      <c r="S438" s="142"/>
    </row>
    <row r="441" spans="1:19" ht="20.100000000000001" customHeight="1" x14ac:dyDescent="0.25">
      <c r="A441" s="136" t="s">
        <v>80</v>
      </c>
      <c r="B441" s="136"/>
      <c r="C441" s="136"/>
      <c r="D441" s="136"/>
      <c r="E441" s="136"/>
      <c r="F441" s="136"/>
      <c r="G441" s="136"/>
      <c r="H441" s="136"/>
      <c r="I441" s="136"/>
      <c r="J441" s="136"/>
      <c r="K441" s="136"/>
      <c r="L441" s="136"/>
      <c r="M441" s="136"/>
      <c r="N441" s="136"/>
      <c r="O441" s="136"/>
      <c r="P441" s="136"/>
      <c r="Q441" s="136"/>
      <c r="R441" s="136"/>
      <c r="S441" s="136"/>
    </row>
    <row r="442" spans="1:19" ht="20.100000000000001" customHeight="1" x14ac:dyDescent="0.25">
      <c r="A442" s="136" t="s">
        <v>492</v>
      </c>
      <c r="B442" s="136"/>
      <c r="C442" s="136"/>
      <c r="D442" s="136"/>
      <c r="E442" s="136"/>
      <c r="F442" s="136"/>
      <c r="G442" s="136"/>
      <c r="H442" s="136"/>
      <c r="I442" s="136"/>
      <c r="J442" s="136"/>
      <c r="K442" s="136"/>
      <c r="L442" s="136"/>
      <c r="M442" s="136"/>
      <c r="N442" s="136"/>
      <c r="O442" s="136"/>
      <c r="P442" s="136"/>
      <c r="Q442" s="136"/>
      <c r="R442" s="136"/>
      <c r="S442" s="136"/>
    </row>
    <row r="443" spans="1:19" ht="20.100000000000001" customHeight="1" x14ac:dyDescent="0.25">
      <c r="A443" s="136" t="s">
        <v>103</v>
      </c>
      <c r="B443" s="136"/>
      <c r="C443" s="136"/>
      <c r="D443" s="136"/>
      <c r="E443" s="136"/>
      <c r="F443" s="136"/>
      <c r="G443" s="136"/>
      <c r="H443" s="136"/>
      <c r="I443" s="136"/>
      <c r="J443" s="136"/>
      <c r="K443" s="136"/>
      <c r="L443" s="136"/>
      <c r="M443" s="136"/>
      <c r="N443" s="136"/>
      <c r="O443" s="136"/>
      <c r="P443" s="136"/>
      <c r="Q443" s="136"/>
      <c r="R443" s="136"/>
      <c r="S443" s="136"/>
    </row>
    <row r="444" spans="1:19" ht="20.100000000000001" customHeight="1" x14ac:dyDescent="0.25">
      <c r="A444" s="136"/>
      <c r="B444" s="136"/>
      <c r="C444" s="136"/>
      <c r="D444" s="136"/>
      <c r="E444" s="136"/>
      <c r="F444" s="136"/>
      <c r="G444" s="136"/>
      <c r="H444" s="136"/>
      <c r="I444" s="136"/>
      <c r="J444" s="136"/>
      <c r="K444" s="136"/>
      <c r="L444" s="136"/>
      <c r="M444" s="136"/>
      <c r="N444" s="136"/>
      <c r="O444" s="136"/>
      <c r="P444" s="136"/>
      <c r="Q444" s="136"/>
      <c r="R444" s="136"/>
      <c r="S444" s="136"/>
    </row>
    <row r="445" spans="1:19" ht="20.100000000000001" customHeight="1" x14ac:dyDescent="0.25">
      <c r="A445" s="136" t="s">
        <v>249</v>
      </c>
      <c r="B445" s="136"/>
      <c r="C445" s="136"/>
      <c r="D445" s="136"/>
      <c r="E445" s="136"/>
      <c r="F445" s="136"/>
      <c r="G445" s="136"/>
      <c r="H445" s="136"/>
      <c r="I445" s="136"/>
      <c r="J445" s="136"/>
      <c r="K445" s="136"/>
      <c r="L445" s="136"/>
      <c r="M445" s="136"/>
      <c r="N445" s="136"/>
      <c r="O445" s="136"/>
      <c r="P445" s="136"/>
      <c r="Q445" s="136"/>
      <c r="R445" s="136"/>
      <c r="S445" s="136"/>
    </row>
    <row r="446" spans="1:19" ht="20.100000000000001" customHeight="1" x14ac:dyDescent="0.25">
      <c r="A446" s="136" t="s">
        <v>250</v>
      </c>
      <c r="B446" s="136"/>
      <c r="C446" s="136"/>
      <c r="D446" s="136"/>
      <c r="E446" s="136"/>
      <c r="F446" s="136"/>
      <c r="G446" s="136"/>
      <c r="H446" s="136"/>
      <c r="I446" s="136"/>
      <c r="J446" s="136"/>
      <c r="K446" s="136"/>
      <c r="L446" s="136"/>
      <c r="M446" s="136"/>
      <c r="N446" s="136"/>
      <c r="O446" s="136"/>
      <c r="P446" s="136"/>
      <c r="Q446" s="136"/>
      <c r="R446" s="136"/>
      <c r="S446" s="136"/>
    </row>
    <row r="447" spans="1:19" ht="20.100000000000001" customHeight="1" x14ac:dyDescent="0.25">
      <c r="A447" s="136" t="s">
        <v>251</v>
      </c>
      <c r="B447" s="136"/>
      <c r="C447" s="136"/>
      <c r="D447" s="136"/>
      <c r="E447" s="136"/>
      <c r="F447" s="136"/>
      <c r="G447" s="136"/>
      <c r="H447" s="136"/>
      <c r="I447" s="136"/>
      <c r="J447" s="136"/>
      <c r="K447" s="136"/>
      <c r="L447" s="136"/>
      <c r="M447" s="136"/>
      <c r="N447" s="136"/>
      <c r="O447" s="136"/>
      <c r="P447" s="136"/>
      <c r="Q447" s="136"/>
      <c r="R447" s="136"/>
      <c r="S447" s="136"/>
    </row>
    <row r="448" spans="1:19" ht="20.100000000000001" customHeight="1" x14ac:dyDescent="0.25">
      <c r="A448" s="136" t="s">
        <v>252</v>
      </c>
      <c r="B448" s="136"/>
      <c r="C448" s="136"/>
      <c r="D448" s="136"/>
      <c r="E448" s="136"/>
      <c r="F448" s="136"/>
      <c r="G448" s="136"/>
      <c r="H448" s="136"/>
      <c r="I448" s="136"/>
      <c r="J448" s="136"/>
      <c r="K448" s="136"/>
      <c r="L448" s="136"/>
      <c r="M448" s="136"/>
      <c r="N448" s="136"/>
      <c r="O448" s="136"/>
      <c r="P448" s="136"/>
      <c r="Q448" s="136"/>
      <c r="R448" s="136"/>
      <c r="S448" s="136"/>
    </row>
    <row r="449" spans="1:19" ht="20.100000000000001" customHeight="1" x14ac:dyDescent="0.25">
      <c r="A449" s="136"/>
      <c r="B449" s="136"/>
      <c r="C449" s="136"/>
      <c r="D449" s="136"/>
      <c r="E449" s="136"/>
      <c r="F449" s="136"/>
      <c r="G449" s="136"/>
      <c r="H449" s="136"/>
      <c r="I449" s="136"/>
      <c r="J449" s="136"/>
      <c r="K449" s="136"/>
      <c r="L449" s="136"/>
      <c r="M449" s="136"/>
      <c r="N449" s="136"/>
      <c r="O449" s="136"/>
      <c r="P449" s="136"/>
      <c r="Q449" s="136"/>
      <c r="R449" s="136"/>
      <c r="S449" s="136"/>
    </row>
    <row r="450" spans="1:19" ht="20.100000000000001" customHeight="1" x14ac:dyDescent="0.25">
      <c r="A450" s="136" t="s">
        <v>253</v>
      </c>
      <c r="B450" s="136"/>
      <c r="C450" s="136"/>
      <c r="D450" s="136"/>
      <c r="E450" s="136"/>
      <c r="F450" s="136"/>
      <c r="G450" s="136"/>
      <c r="H450" s="136"/>
      <c r="I450" s="136"/>
      <c r="J450" s="136"/>
      <c r="K450" s="136"/>
      <c r="L450" s="136"/>
      <c r="M450" s="136"/>
      <c r="N450" s="136"/>
      <c r="O450" s="136"/>
      <c r="P450" s="136"/>
      <c r="Q450" s="136"/>
      <c r="R450" s="136"/>
      <c r="S450" s="136"/>
    </row>
    <row r="451" spans="1:19" ht="20.100000000000001" customHeight="1" x14ac:dyDescent="0.25">
      <c r="A451" s="136" t="s">
        <v>104</v>
      </c>
      <c r="B451" s="136"/>
      <c r="C451" s="136"/>
      <c r="D451" s="136"/>
      <c r="E451" s="136"/>
      <c r="F451" s="136"/>
      <c r="G451" s="136"/>
      <c r="H451" s="136"/>
      <c r="I451" s="136"/>
      <c r="J451" s="136"/>
      <c r="K451" s="136"/>
      <c r="L451" s="136"/>
      <c r="M451" s="136"/>
      <c r="N451" s="136"/>
      <c r="O451" s="136"/>
      <c r="P451" s="136"/>
      <c r="Q451" s="136"/>
      <c r="R451" s="136"/>
      <c r="S451" s="136"/>
    </row>
    <row r="452" spans="1:19" ht="20.100000000000001" customHeight="1" x14ac:dyDescent="0.25">
      <c r="A452" s="136" t="s">
        <v>254</v>
      </c>
      <c r="B452" s="136"/>
      <c r="C452" s="136"/>
      <c r="D452" s="136"/>
      <c r="E452" s="136"/>
      <c r="F452" s="136"/>
      <c r="G452" s="136"/>
      <c r="H452" s="136"/>
      <c r="I452" s="136"/>
      <c r="J452" s="136"/>
      <c r="K452" s="136"/>
      <c r="L452" s="136"/>
      <c r="M452" s="136"/>
      <c r="N452" s="136"/>
      <c r="O452" s="136"/>
      <c r="P452" s="136"/>
      <c r="Q452" s="136"/>
      <c r="R452" s="136"/>
      <c r="S452" s="136"/>
    </row>
    <row r="453" spans="1:19" ht="20.100000000000001" customHeight="1" x14ac:dyDescent="0.25">
      <c r="A453" s="136"/>
      <c r="B453" s="136"/>
      <c r="C453" s="136"/>
      <c r="D453" s="136"/>
      <c r="E453" s="136"/>
      <c r="F453" s="136"/>
      <c r="G453" s="136"/>
      <c r="H453" s="136"/>
      <c r="I453" s="136"/>
      <c r="J453" s="136"/>
      <c r="K453" s="136"/>
      <c r="L453" s="136"/>
      <c r="M453" s="136"/>
      <c r="N453" s="136"/>
      <c r="O453" s="136"/>
      <c r="P453" s="136"/>
      <c r="Q453" s="136"/>
      <c r="R453" s="136"/>
      <c r="S453" s="136"/>
    </row>
    <row r="454" spans="1:19" ht="20.100000000000001" customHeight="1" x14ac:dyDescent="0.25">
      <c r="A454" s="136" t="s">
        <v>255</v>
      </c>
      <c r="B454" s="136"/>
      <c r="C454" s="136"/>
      <c r="D454" s="136"/>
      <c r="E454" s="136"/>
      <c r="F454" s="136"/>
      <c r="G454" s="136"/>
      <c r="H454" s="136"/>
      <c r="I454" s="136"/>
      <c r="J454" s="136"/>
      <c r="K454" s="136"/>
      <c r="L454" s="136"/>
      <c r="M454" s="136"/>
      <c r="N454" s="136"/>
      <c r="O454" s="136"/>
      <c r="P454" s="136"/>
      <c r="Q454" s="136"/>
      <c r="R454" s="136"/>
      <c r="S454" s="136"/>
    </row>
    <row r="455" spans="1:19" ht="20.100000000000001" customHeight="1" x14ac:dyDescent="0.25">
      <c r="A455" s="136"/>
      <c r="B455" s="136"/>
      <c r="C455" s="136"/>
      <c r="D455" s="136"/>
      <c r="E455" s="136"/>
      <c r="F455" s="136"/>
      <c r="G455" s="136"/>
      <c r="H455" s="136"/>
      <c r="I455" s="136"/>
      <c r="J455" s="136"/>
      <c r="K455" s="136"/>
      <c r="L455" s="136"/>
      <c r="M455" s="136"/>
      <c r="N455" s="136"/>
      <c r="O455" s="136"/>
      <c r="P455" s="136"/>
      <c r="Q455" s="136"/>
      <c r="R455" s="136"/>
      <c r="S455" s="136"/>
    </row>
    <row r="456" spans="1:19" ht="20.100000000000001" customHeight="1" x14ac:dyDescent="0.25">
      <c r="A456" s="136" t="s">
        <v>493</v>
      </c>
      <c r="B456" s="136"/>
      <c r="C456" s="136"/>
      <c r="D456" s="136"/>
      <c r="E456" s="136"/>
      <c r="F456" s="136"/>
      <c r="G456" s="136"/>
      <c r="H456" s="136"/>
      <c r="I456" s="136"/>
      <c r="J456" s="136"/>
      <c r="K456" s="136"/>
      <c r="L456" s="136"/>
      <c r="M456" s="136"/>
      <c r="N456" s="136"/>
      <c r="O456" s="136"/>
      <c r="P456" s="136"/>
      <c r="Q456" s="136"/>
      <c r="R456" s="136"/>
      <c r="S456" s="136"/>
    </row>
    <row r="457" spans="1:19" ht="20.100000000000001" customHeight="1" x14ac:dyDescent="0.25">
      <c r="A457" s="136"/>
      <c r="B457" s="136"/>
      <c r="C457" s="136"/>
      <c r="D457" s="136"/>
      <c r="E457" s="136"/>
      <c r="F457" s="136"/>
      <c r="G457" s="136"/>
      <c r="H457" s="136"/>
      <c r="I457" s="136"/>
      <c r="J457" s="136"/>
      <c r="K457" s="136"/>
      <c r="L457" s="136"/>
      <c r="M457" s="136"/>
      <c r="N457" s="136"/>
      <c r="O457" s="136"/>
      <c r="P457" s="136"/>
      <c r="Q457" s="136"/>
      <c r="R457" s="136"/>
      <c r="S457" s="136"/>
    </row>
    <row r="458" spans="1:19" ht="20.100000000000001" customHeight="1" x14ac:dyDescent="0.25">
      <c r="A458" s="136" t="s">
        <v>256</v>
      </c>
      <c r="B458" s="136"/>
      <c r="C458" s="136"/>
      <c r="D458" s="136"/>
      <c r="E458" s="136"/>
      <c r="F458" s="136"/>
      <c r="G458" s="136"/>
      <c r="H458" s="136"/>
      <c r="I458" s="136"/>
      <c r="J458" s="136"/>
      <c r="K458" s="136"/>
      <c r="L458" s="136"/>
      <c r="M458" s="136"/>
      <c r="N458" s="136"/>
      <c r="O458" s="136"/>
      <c r="P458" s="136"/>
      <c r="Q458" s="136"/>
      <c r="R458" s="136"/>
      <c r="S458" s="136"/>
    </row>
    <row r="459" spans="1:19" ht="20.100000000000001" customHeight="1" x14ac:dyDescent="0.25">
      <c r="A459" s="136"/>
      <c r="B459" s="136"/>
      <c r="C459" s="136"/>
      <c r="D459" s="136"/>
      <c r="E459" s="136"/>
      <c r="F459" s="136"/>
      <c r="G459" s="136"/>
      <c r="H459" s="136"/>
      <c r="I459" s="136"/>
      <c r="J459" s="136"/>
      <c r="K459" s="136"/>
      <c r="L459" s="136"/>
      <c r="M459" s="136"/>
      <c r="N459" s="136"/>
      <c r="O459" s="136"/>
      <c r="P459" s="136"/>
      <c r="Q459" s="136"/>
      <c r="R459" s="136"/>
      <c r="S459" s="136"/>
    </row>
    <row r="460" spans="1:19" ht="20.100000000000001" customHeight="1" x14ac:dyDescent="0.25">
      <c r="A460" s="136" t="s">
        <v>494</v>
      </c>
      <c r="B460" s="136"/>
      <c r="C460" s="136"/>
      <c r="D460" s="136"/>
      <c r="E460" s="136"/>
      <c r="F460" s="136"/>
      <c r="G460" s="136"/>
      <c r="H460" s="136"/>
      <c r="I460" s="136"/>
      <c r="J460" s="136"/>
      <c r="K460" s="136"/>
      <c r="L460" s="136"/>
      <c r="M460" s="136"/>
      <c r="N460" s="136"/>
      <c r="O460" s="136"/>
      <c r="P460" s="136"/>
      <c r="Q460" s="136"/>
      <c r="R460" s="136"/>
      <c r="S460" s="136"/>
    </row>
    <row r="461" spans="1:19" ht="20.100000000000001" customHeight="1" x14ac:dyDescent="0.25">
      <c r="A461" s="136"/>
      <c r="B461" s="136"/>
      <c r="C461" s="136"/>
      <c r="D461" s="136"/>
      <c r="E461" s="136"/>
      <c r="F461" s="136"/>
      <c r="G461" s="136"/>
      <c r="H461" s="136"/>
      <c r="I461" s="136"/>
      <c r="J461" s="136"/>
      <c r="K461" s="136"/>
      <c r="L461" s="136"/>
      <c r="M461" s="136"/>
      <c r="N461" s="136"/>
      <c r="O461" s="136"/>
      <c r="P461" s="136"/>
      <c r="Q461" s="136"/>
      <c r="R461" s="136"/>
      <c r="S461" s="136"/>
    </row>
    <row r="462" spans="1:19" ht="20.100000000000001" customHeight="1" x14ac:dyDescent="0.25">
      <c r="A462" s="136" t="s">
        <v>257</v>
      </c>
      <c r="B462" s="136"/>
      <c r="C462" s="136"/>
      <c r="D462" s="136"/>
      <c r="E462" s="136"/>
      <c r="F462" s="136"/>
      <c r="G462" s="136"/>
      <c r="H462" s="136"/>
      <c r="I462" s="136"/>
      <c r="J462" s="136"/>
      <c r="K462" s="136"/>
      <c r="L462" s="136"/>
      <c r="M462" s="136"/>
      <c r="N462" s="136"/>
      <c r="O462" s="136"/>
      <c r="P462" s="136"/>
      <c r="Q462" s="136"/>
      <c r="R462" s="136"/>
      <c r="S462" s="136"/>
    </row>
    <row r="463" spans="1:19" ht="20.100000000000001" customHeight="1" x14ac:dyDescent="0.25">
      <c r="A463" s="136"/>
      <c r="B463" s="136"/>
      <c r="C463" s="136"/>
      <c r="D463" s="136"/>
      <c r="E463" s="136"/>
      <c r="F463" s="136"/>
      <c r="G463" s="136"/>
      <c r="H463" s="136"/>
      <c r="I463" s="136"/>
      <c r="J463" s="136"/>
      <c r="K463" s="136"/>
      <c r="L463" s="136"/>
      <c r="M463" s="136"/>
      <c r="N463" s="136"/>
      <c r="O463" s="136"/>
      <c r="P463" s="136"/>
      <c r="Q463" s="136"/>
      <c r="R463" s="136"/>
      <c r="S463" s="136"/>
    </row>
    <row r="464" spans="1:19" ht="20.100000000000001" customHeight="1" x14ac:dyDescent="0.25">
      <c r="A464" s="136" t="s">
        <v>258</v>
      </c>
      <c r="B464" s="136"/>
      <c r="C464" s="136"/>
      <c r="D464" s="136"/>
      <c r="E464" s="136"/>
      <c r="F464" s="136"/>
      <c r="G464" s="136"/>
      <c r="H464" s="136"/>
      <c r="I464" s="136"/>
      <c r="J464" s="136"/>
      <c r="K464" s="136"/>
      <c r="L464" s="136"/>
      <c r="M464" s="136"/>
      <c r="N464" s="136"/>
      <c r="O464" s="136"/>
      <c r="P464" s="136"/>
      <c r="Q464" s="136"/>
      <c r="R464" s="136"/>
      <c r="S464" s="136"/>
    </row>
    <row r="465" spans="1:19" ht="20.100000000000001" customHeight="1" x14ac:dyDescent="0.25">
      <c r="A465" s="136" t="s">
        <v>259</v>
      </c>
      <c r="B465" s="136"/>
      <c r="C465" s="136"/>
      <c r="D465" s="136"/>
      <c r="E465" s="136"/>
      <c r="F465" s="136"/>
      <c r="G465" s="136"/>
      <c r="H465" s="136"/>
      <c r="I465" s="136"/>
      <c r="J465" s="136"/>
      <c r="K465" s="136"/>
      <c r="L465" s="136"/>
      <c r="M465" s="136"/>
      <c r="N465" s="136"/>
      <c r="O465" s="136"/>
      <c r="P465" s="136"/>
      <c r="Q465" s="136"/>
      <c r="R465" s="136"/>
      <c r="S465" s="136"/>
    </row>
    <row r="466" spans="1:19" ht="20.100000000000001" customHeight="1" x14ac:dyDescent="0.25">
      <c r="A466" s="136" t="s">
        <v>260</v>
      </c>
      <c r="B466" s="136"/>
      <c r="C466" s="136"/>
      <c r="D466" s="136"/>
      <c r="E466" s="136"/>
      <c r="F466" s="136"/>
      <c r="G466" s="136"/>
      <c r="H466" s="136"/>
      <c r="I466" s="136"/>
      <c r="J466" s="136"/>
      <c r="K466" s="136"/>
      <c r="L466" s="136"/>
      <c r="M466" s="136"/>
      <c r="N466" s="136"/>
      <c r="O466" s="136"/>
      <c r="P466" s="136"/>
      <c r="Q466" s="136"/>
      <c r="R466" s="136"/>
      <c r="S466" s="136"/>
    </row>
    <row r="467" spans="1:19" ht="20.100000000000001" customHeight="1" x14ac:dyDescent="0.25">
      <c r="A467" s="136"/>
      <c r="B467" s="136"/>
      <c r="C467" s="136"/>
      <c r="D467" s="136"/>
      <c r="E467" s="136"/>
      <c r="F467" s="136"/>
      <c r="G467" s="136"/>
      <c r="H467" s="136"/>
      <c r="I467" s="136"/>
      <c r="J467" s="136"/>
      <c r="K467" s="136"/>
      <c r="L467" s="136"/>
      <c r="M467" s="136"/>
      <c r="N467" s="136"/>
      <c r="O467" s="136"/>
      <c r="P467" s="136"/>
      <c r="Q467" s="136"/>
      <c r="R467" s="136"/>
      <c r="S467" s="136"/>
    </row>
    <row r="468" spans="1:19" ht="20.100000000000001" customHeight="1" x14ac:dyDescent="0.25">
      <c r="A468" s="136" t="s">
        <v>495</v>
      </c>
      <c r="B468" s="136"/>
      <c r="C468" s="136"/>
      <c r="D468" s="136"/>
      <c r="E468" s="136"/>
      <c r="F468" s="136"/>
      <c r="G468" s="136"/>
      <c r="H468" s="136"/>
      <c r="I468" s="136"/>
      <c r="J468" s="136"/>
      <c r="K468" s="136"/>
      <c r="L468" s="136"/>
      <c r="M468" s="136"/>
      <c r="N468" s="136"/>
      <c r="O468" s="136"/>
      <c r="P468" s="136"/>
      <c r="Q468" s="136"/>
      <c r="R468" s="136"/>
      <c r="S468" s="136"/>
    </row>
  </sheetData>
  <sheetProtection formatCells="0"/>
  <mergeCells count="559">
    <mergeCell ref="M234:Q234"/>
    <mergeCell ref="R234:S234"/>
    <mergeCell ref="R196:S196"/>
    <mergeCell ref="A294:E294"/>
    <mergeCell ref="F294:I294"/>
    <mergeCell ref="A300:S301"/>
    <mergeCell ref="A302:S303"/>
    <mergeCell ref="H305:K305"/>
    <mergeCell ref="L305:O305"/>
    <mergeCell ref="A199:B199"/>
    <mergeCell ref="A232:B232"/>
    <mergeCell ref="C199:G199"/>
    <mergeCell ref="C198:G198"/>
    <mergeCell ref="M243:P243"/>
    <mergeCell ref="Q243:S243"/>
    <mergeCell ref="A297:S298"/>
    <mergeCell ref="A290:E290"/>
    <mergeCell ref="F290:I290"/>
    <mergeCell ref="Q211:S211"/>
    <mergeCell ref="A230:S230"/>
    <mergeCell ref="C232:G232"/>
    <mergeCell ref="M207:N207"/>
    <mergeCell ref="O207:P207"/>
    <mergeCell ref="Q202:S202"/>
    <mergeCell ref="T196:V196"/>
    <mergeCell ref="A293:E293"/>
    <mergeCell ref="F293:I293"/>
    <mergeCell ref="L293:O293"/>
    <mergeCell ref="P293:S293"/>
    <mergeCell ref="L294:O294"/>
    <mergeCell ref="P294:S294"/>
    <mergeCell ref="L295:O295"/>
    <mergeCell ref="P295:S295"/>
    <mergeCell ref="A269:G269"/>
    <mergeCell ref="P271:S271"/>
    <mergeCell ref="P272:S272"/>
    <mergeCell ref="M205:P205"/>
    <mergeCell ref="Q205:S205"/>
    <mergeCell ref="M232:Q232"/>
    <mergeCell ref="R232:S232"/>
    <mergeCell ref="C233:G233"/>
    <mergeCell ref="M233:Q233"/>
    <mergeCell ref="R233:S233"/>
    <mergeCell ref="F288:I288"/>
    <mergeCell ref="M199:P199"/>
    <mergeCell ref="Q199:S199"/>
    <mergeCell ref="M211:P211"/>
    <mergeCell ref="C234:G234"/>
    <mergeCell ref="U17:V17"/>
    <mergeCell ref="A280:S280"/>
    <mergeCell ref="A284:E284"/>
    <mergeCell ref="A285:E285"/>
    <mergeCell ref="C17:E17"/>
    <mergeCell ref="F17:H17"/>
    <mergeCell ref="K135:M135"/>
    <mergeCell ref="L17:N17"/>
    <mergeCell ref="L18:N18"/>
    <mergeCell ref="L19:N19"/>
    <mergeCell ref="L20:N20"/>
    <mergeCell ref="A127:I127"/>
    <mergeCell ref="Q48:S48"/>
    <mergeCell ref="M49:P49"/>
    <mergeCell ref="Q49:S49"/>
    <mergeCell ref="M50:P50"/>
    <mergeCell ref="Q43:S43"/>
    <mergeCell ref="Q19:S19"/>
    <mergeCell ref="Q20:S20"/>
    <mergeCell ref="O17:P17"/>
    <mergeCell ref="O18:P18"/>
    <mergeCell ref="O19:P19"/>
    <mergeCell ref="O20:P20"/>
    <mergeCell ref="T232:V232"/>
    <mergeCell ref="A7:S7"/>
    <mergeCell ref="A15:S15"/>
    <mergeCell ref="I17:K17"/>
    <mergeCell ref="F18:H18"/>
    <mergeCell ref="I18:K18"/>
    <mergeCell ref="F19:H19"/>
    <mergeCell ref="I19:K19"/>
    <mergeCell ref="F20:H20"/>
    <mergeCell ref="I20:K20"/>
    <mergeCell ref="C18:E18"/>
    <mergeCell ref="C19:E19"/>
    <mergeCell ref="C20:E20"/>
    <mergeCell ref="Q17:S17"/>
    <mergeCell ref="Q12:S12"/>
    <mergeCell ref="N12:P12"/>
    <mergeCell ref="K12:M12"/>
    <mergeCell ref="A10:C10"/>
    <mergeCell ref="D10:J10"/>
    <mergeCell ref="Q18:S18"/>
    <mergeCell ref="K10:S10"/>
    <mergeCell ref="A9:S9"/>
    <mergeCell ref="A11:C12"/>
    <mergeCell ref="K11:M11"/>
    <mergeCell ref="N11:P11"/>
    <mergeCell ref="M22:P22"/>
    <mergeCell ref="M23:P23"/>
    <mergeCell ref="M24:P24"/>
    <mergeCell ref="Q22:S22"/>
    <mergeCell ref="Q23:S23"/>
    <mergeCell ref="Q24:S24"/>
    <mergeCell ref="M43:N43"/>
    <mergeCell ref="M44:N44"/>
    <mergeCell ref="M45:N45"/>
    <mergeCell ref="O44:P44"/>
    <mergeCell ref="A29:S29"/>
    <mergeCell ref="A31:H31"/>
    <mergeCell ref="O43:P43"/>
    <mergeCell ref="A34:H34"/>
    <mergeCell ref="A35:H35"/>
    <mergeCell ref="A36:H36"/>
    <mergeCell ref="F39:J39"/>
    <mergeCell ref="K41:L41"/>
    <mergeCell ref="A39:E40"/>
    <mergeCell ref="Q44:S44"/>
    <mergeCell ref="A33:H33"/>
    <mergeCell ref="C43:E43"/>
    <mergeCell ref="I35:J35"/>
    <mergeCell ref="I36:J36"/>
    <mergeCell ref="A124:S124"/>
    <mergeCell ref="Q139:S140"/>
    <mergeCell ref="F139:P139"/>
    <mergeCell ref="A133:I133"/>
    <mergeCell ref="A126:I126"/>
    <mergeCell ref="K126:M126"/>
    <mergeCell ref="K127:M127"/>
    <mergeCell ref="K128:M128"/>
    <mergeCell ref="K129:M129"/>
    <mergeCell ref="K130:M130"/>
    <mergeCell ref="Q137:S137"/>
    <mergeCell ref="Q126:S126"/>
    <mergeCell ref="Q127:S127"/>
    <mergeCell ref="Q128:S128"/>
    <mergeCell ref="Q129:S129"/>
    <mergeCell ref="Q130:S130"/>
    <mergeCell ref="Q50:S50"/>
    <mergeCell ref="M46:N46"/>
    <mergeCell ref="O46:P46"/>
    <mergeCell ref="Q46:S46"/>
    <mergeCell ref="A53:S53"/>
    <mergeCell ref="A87:S87"/>
    <mergeCell ref="A44:B44"/>
    <mergeCell ref="A45:B45"/>
    <mergeCell ref="A46:B46"/>
    <mergeCell ref="C148:E148"/>
    <mergeCell ref="C149:E149"/>
    <mergeCell ref="I154:K154"/>
    <mergeCell ref="C146:E146"/>
    <mergeCell ref="Q131:S131"/>
    <mergeCell ref="Q132:S132"/>
    <mergeCell ref="N132:P132"/>
    <mergeCell ref="N133:P133"/>
    <mergeCell ref="N126:P126"/>
    <mergeCell ref="N127:P127"/>
    <mergeCell ref="Q133:S133"/>
    <mergeCell ref="N128:P128"/>
    <mergeCell ref="N129:P129"/>
    <mergeCell ref="N130:P130"/>
    <mergeCell ref="A139:E141"/>
    <mergeCell ref="A128:I128"/>
    <mergeCell ref="A129:I129"/>
    <mergeCell ref="A130:I130"/>
    <mergeCell ref="A131:I131"/>
    <mergeCell ref="A132:I132"/>
    <mergeCell ref="A136:P137"/>
    <mergeCell ref="Q141:S141"/>
    <mergeCell ref="Q147:S147"/>
    <mergeCell ref="Q148:S148"/>
    <mergeCell ref="Q149:S149"/>
    <mergeCell ref="I151:K151"/>
    <mergeCell ref="F151:H151"/>
    <mergeCell ref="I152:K152"/>
    <mergeCell ref="F152:H152"/>
    <mergeCell ref="O151:S151"/>
    <mergeCell ref="O152:S152"/>
    <mergeCell ref="L152:N152"/>
    <mergeCell ref="Q170:S170"/>
    <mergeCell ref="C164:G164"/>
    <mergeCell ref="M156:P156"/>
    <mergeCell ref="Q156:S156"/>
    <mergeCell ref="M157:P157"/>
    <mergeCell ref="Q157:S157"/>
    <mergeCell ref="M158:P158"/>
    <mergeCell ref="Q158:S158"/>
    <mergeCell ref="A161:S161"/>
    <mergeCell ref="C163:G163"/>
    <mergeCell ref="M163:Q163"/>
    <mergeCell ref="Q171:S171"/>
    <mergeCell ref="M165:P165"/>
    <mergeCell ref="M166:P166"/>
    <mergeCell ref="M167:P167"/>
    <mergeCell ref="M168:P168"/>
    <mergeCell ref="M169:P169"/>
    <mergeCell ref="C197:G197"/>
    <mergeCell ref="C196:G196"/>
    <mergeCell ref="M170:P170"/>
    <mergeCell ref="A194:S194"/>
    <mergeCell ref="M196:Q196"/>
    <mergeCell ref="M172:P172"/>
    <mergeCell ref="Q172:S172"/>
    <mergeCell ref="M174:P174"/>
    <mergeCell ref="Q166:S166"/>
    <mergeCell ref="C165:G165"/>
    <mergeCell ref="C166:G166"/>
    <mergeCell ref="A5:S5"/>
    <mergeCell ref="A272:G272"/>
    <mergeCell ref="H274:M274"/>
    <mergeCell ref="H275:M275"/>
    <mergeCell ref="Q248:S248"/>
    <mergeCell ref="R163:S163"/>
    <mergeCell ref="Q200:S200"/>
    <mergeCell ref="R197:S197"/>
    <mergeCell ref="Q167:S167"/>
    <mergeCell ref="Q165:S165"/>
    <mergeCell ref="Q11:S11"/>
    <mergeCell ref="D11:J12"/>
    <mergeCell ref="K46:L46"/>
    <mergeCell ref="A32:H32"/>
    <mergeCell ref="C45:E45"/>
    <mergeCell ref="O45:P45"/>
    <mergeCell ref="Q45:S45"/>
    <mergeCell ref="M48:P48"/>
    <mergeCell ref="A27:S27"/>
    <mergeCell ref="Q207:S207"/>
    <mergeCell ref="I31:J31"/>
    <mergeCell ref="I32:J32"/>
    <mergeCell ref="I33:J33"/>
    <mergeCell ref="I34:J34"/>
    <mergeCell ref="M248:P248"/>
    <mergeCell ref="M200:P200"/>
    <mergeCell ref="M171:N171"/>
    <mergeCell ref="O171:P171"/>
    <mergeCell ref="A135:J135"/>
    <mergeCell ref="N135:P135"/>
    <mergeCell ref="N131:P131"/>
    <mergeCell ref="K132:M132"/>
    <mergeCell ref="K133:M133"/>
    <mergeCell ref="M235:Q235"/>
    <mergeCell ref="M203:P203"/>
    <mergeCell ref="Q203:S203"/>
    <mergeCell ref="M208:P208"/>
    <mergeCell ref="Q208:S208"/>
    <mergeCell ref="M210:P210"/>
    <mergeCell ref="Q210:S210"/>
    <mergeCell ref="M204:P204"/>
    <mergeCell ref="Q204:S204"/>
    <mergeCell ref="Q168:S168"/>
    <mergeCell ref="Q169:S169"/>
    <mergeCell ref="Q174:S174"/>
    <mergeCell ref="Q175:S175"/>
    <mergeCell ref="M175:P175"/>
    <mergeCell ref="M197:Q197"/>
    <mergeCell ref="K39:L40"/>
    <mergeCell ref="C46:E46"/>
    <mergeCell ref="K43:L43"/>
    <mergeCell ref="K44:L44"/>
    <mergeCell ref="K45:L45"/>
    <mergeCell ref="A198:B198"/>
    <mergeCell ref="M202:P202"/>
    <mergeCell ref="F154:H154"/>
    <mergeCell ref="L154:N154"/>
    <mergeCell ref="C147:E147"/>
    <mergeCell ref="C151:E151"/>
    <mergeCell ref="C152:E152"/>
    <mergeCell ref="C153:E153"/>
    <mergeCell ref="C154:E154"/>
    <mergeCell ref="L151:N151"/>
    <mergeCell ref="O153:S153"/>
    <mergeCell ref="O154:S154"/>
    <mergeCell ref="I153:K153"/>
    <mergeCell ref="F153:H153"/>
    <mergeCell ref="L153:N153"/>
    <mergeCell ref="K131:M131"/>
    <mergeCell ref="A105:S105"/>
    <mergeCell ref="C44:E44"/>
    <mergeCell ref="Q146:S146"/>
    <mergeCell ref="L306:O307"/>
    <mergeCell ref="P306:S307"/>
    <mergeCell ref="A306:G307"/>
    <mergeCell ref="H270:K270"/>
    <mergeCell ref="H269:K269"/>
    <mergeCell ref="A277:G277"/>
    <mergeCell ref="H277:M277"/>
    <mergeCell ref="A286:E286"/>
    <mergeCell ref="L272:O272"/>
    <mergeCell ref="H272:K272"/>
    <mergeCell ref="H276:M276"/>
    <mergeCell ref="A274:G274"/>
    <mergeCell ref="H271:K271"/>
    <mergeCell ref="L271:O271"/>
    <mergeCell ref="X302:BO302"/>
    <mergeCell ref="X303:BO303"/>
    <mergeCell ref="X304:BO304"/>
    <mergeCell ref="X305:BO305"/>
    <mergeCell ref="H304:S304"/>
    <mergeCell ref="T286:V286"/>
    <mergeCell ref="A282:S282"/>
    <mergeCell ref="A289:E289"/>
    <mergeCell ref="F289:I289"/>
    <mergeCell ref="A291:S291"/>
    <mergeCell ref="A17:B17"/>
    <mergeCell ref="A18:B18"/>
    <mergeCell ref="A19:B19"/>
    <mergeCell ref="A20:B20"/>
    <mergeCell ref="A43:B43"/>
    <mergeCell ref="A384:F384"/>
    <mergeCell ref="G384:M384"/>
    <mergeCell ref="A364:E364"/>
    <mergeCell ref="F364:I364"/>
    <mergeCell ref="A366:S366"/>
    <mergeCell ref="A379:S379"/>
    <mergeCell ref="Q241:S241"/>
    <mergeCell ref="M240:P240"/>
    <mergeCell ref="Q240:S240"/>
    <mergeCell ref="M242:P242"/>
    <mergeCell ref="Q242:S242"/>
    <mergeCell ref="C235:G235"/>
    <mergeCell ref="M237:P237"/>
    <mergeCell ref="Q237:S237"/>
    <mergeCell ref="M238:P238"/>
    <mergeCell ref="Q238:S238"/>
    <mergeCell ref="A310:S310"/>
    <mergeCell ref="A312:M312"/>
    <mergeCell ref="N312:S312"/>
    <mergeCell ref="A388:I388"/>
    <mergeCell ref="J388:M388"/>
    <mergeCell ref="A385:F385"/>
    <mergeCell ref="G385:M385"/>
    <mergeCell ref="A386:F386"/>
    <mergeCell ref="G386:M386"/>
    <mergeCell ref="A154:B154"/>
    <mergeCell ref="A163:B163"/>
    <mergeCell ref="A164:B164"/>
    <mergeCell ref="A165:B165"/>
    <mergeCell ref="A166:B166"/>
    <mergeCell ref="A196:B196"/>
    <mergeCell ref="A197:B197"/>
    <mergeCell ref="M241:P241"/>
    <mergeCell ref="A324:D324"/>
    <mergeCell ref="E324:J324"/>
    <mergeCell ref="P324:S324"/>
    <mergeCell ref="M245:N245"/>
    <mergeCell ref="O245:P245"/>
    <mergeCell ref="A362:E362"/>
    <mergeCell ref="F362:I362"/>
    <mergeCell ref="A360:S360"/>
    <mergeCell ref="A363:E363"/>
    <mergeCell ref="F363:I363"/>
    <mergeCell ref="A389:I389"/>
    <mergeCell ref="J389:M389"/>
    <mergeCell ref="A390:I390"/>
    <mergeCell ref="J390:M390"/>
    <mergeCell ref="A393:L393"/>
    <mergeCell ref="M393:S393"/>
    <mergeCell ref="A146:B146"/>
    <mergeCell ref="A147:B147"/>
    <mergeCell ref="A148:B148"/>
    <mergeCell ref="A149:B149"/>
    <mergeCell ref="A151:B151"/>
    <mergeCell ref="L342:M342"/>
    <mergeCell ref="N342:O342"/>
    <mergeCell ref="P342:Q342"/>
    <mergeCell ref="R342:S342"/>
    <mergeCell ref="L343:M343"/>
    <mergeCell ref="N343:O343"/>
    <mergeCell ref="L345:M345"/>
    <mergeCell ref="N345:O345"/>
    <mergeCell ref="A313:M313"/>
    <mergeCell ref="A152:B152"/>
    <mergeCell ref="A153:B153"/>
    <mergeCell ref="A287:E287"/>
    <mergeCell ref="F284:I284"/>
    <mergeCell ref="R235:S235"/>
    <mergeCell ref="Q245:S245"/>
    <mergeCell ref="M246:P246"/>
    <mergeCell ref="N313:S313"/>
    <mergeCell ref="A314:M314"/>
    <mergeCell ref="N314:S314"/>
    <mergeCell ref="M249:P249"/>
    <mergeCell ref="Q249:S249"/>
    <mergeCell ref="Q246:S246"/>
    <mergeCell ref="P269:S269"/>
    <mergeCell ref="P270:S270"/>
    <mergeCell ref="A275:G275"/>
    <mergeCell ref="A276:G276"/>
    <mergeCell ref="A270:G270"/>
    <mergeCell ref="A271:G271"/>
    <mergeCell ref="F286:I286"/>
    <mergeCell ref="F287:I287"/>
    <mergeCell ref="A288:E288"/>
    <mergeCell ref="P305:S305"/>
    <mergeCell ref="A304:G305"/>
    <mergeCell ref="F285:I285"/>
    <mergeCell ref="L270:O270"/>
    <mergeCell ref="L269:O269"/>
    <mergeCell ref="H306:K307"/>
    <mergeCell ref="W400:X400"/>
    <mergeCell ref="A401:D401"/>
    <mergeCell ref="L401:S401"/>
    <mergeCell ref="A402:D402"/>
    <mergeCell ref="A404:L404"/>
    <mergeCell ref="M404:S404"/>
    <mergeCell ref="A407:L407"/>
    <mergeCell ref="M407:S407"/>
    <mergeCell ref="A410:L410"/>
    <mergeCell ref="M410:S410"/>
    <mergeCell ref="M408:S408"/>
    <mergeCell ref="A405:L405"/>
    <mergeCell ref="M405:S405"/>
    <mergeCell ref="A400:S400"/>
    <mergeCell ref="A408:L408"/>
    <mergeCell ref="T429:U429"/>
    <mergeCell ref="A430:L430"/>
    <mergeCell ref="M430:S430"/>
    <mergeCell ref="A433:L433"/>
    <mergeCell ref="M433:S433"/>
    <mergeCell ref="A437:S437"/>
    <mergeCell ref="A438:S438"/>
    <mergeCell ref="A429:L429"/>
    <mergeCell ref="M429:S429"/>
    <mergeCell ref="A431:L431"/>
    <mergeCell ref="M431:S431"/>
    <mergeCell ref="A436:S436"/>
    <mergeCell ref="A464:S464"/>
    <mergeCell ref="A465:S465"/>
    <mergeCell ref="A443:S444"/>
    <mergeCell ref="A462:S463"/>
    <mergeCell ref="A466:S467"/>
    <mergeCell ref="A468:S468"/>
    <mergeCell ref="A448:S449"/>
    <mergeCell ref="A452:S453"/>
    <mergeCell ref="A454:S455"/>
    <mergeCell ref="A456:S457"/>
    <mergeCell ref="A458:S459"/>
    <mergeCell ref="A413:S413"/>
    <mergeCell ref="A394:L394"/>
    <mergeCell ref="M394:S394"/>
    <mergeCell ref="A460:S461"/>
    <mergeCell ref="A441:S441"/>
    <mergeCell ref="A442:S442"/>
    <mergeCell ref="A447:S447"/>
    <mergeCell ref="A445:S445"/>
    <mergeCell ref="A446:S446"/>
    <mergeCell ref="A450:S450"/>
    <mergeCell ref="A451:S451"/>
    <mergeCell ref="A428:L428"/>
    <mergeCell ref="M428:S428"/>
    <mergeCell ref="A396:L396"/>
    <mergeCell ref="M396:S396"/>
    <mergeCell ref="R350:S350"/>
    <mergeCell ref="B349:K349"/>
    <mergeCell ref="B350:K350"/>
    <mergeCell ref="L347:M347"/>
    <mergeCell ref="N347:O347"/>
    <mergeCell ref="P347:Q347"/>
    <mergeCell ref="R347:S347"/>
    <mergeCell ref="L348:M348"/>
    <mergeCell ref="N348:O348"/>
    <mergeCell ref="P348:Q348"/>
    <mergeCell ref="R348:S348"/>
    <mergeCell ref="B347:K347"/>
    <mergeCell ref="B348:K348"/>
    <mergeCell ref="N355:S355"/>
    <mergeCell ref="N356:S356"/>
    <mergeCell ref="N357:S357"/>
    <mergeCell ref="B336:K336"/>
    <mergeCell ref="B337:K337"/>
    <mergeCell ref="L351:M351"/>
    <mergeCell ref="N351:O351"/>
    <mergeCell ref="P351:Q351"/>
    <mergeCell ref="R351:S351"/>
    <mergeCell ref="L353:M353"/>
    <mergeCell ref="O353:Q353"/>
    <mergeCell ref="R353:S353"/>
    <mergeCell ref="B351:K351"/>
    <mergeCell ref="B353:K353"/>
    <mergeCell ref="A355:M355"/>
    <mergeCell ref="A356:M356"/>
    <mergeCell ref="A357:M357"/>
    <mergeCell ref="L349:M349"/>
    <mergeCell ref="N349:O349"/>
    <mergeCell ref="P349:Q349"/>
    <mergeCell ref="R349:S349"/>
    <mergeCell ref="L350:M350"/>
    <mergeCell ref="N350:O350"/>
    <mergeCell ref="P350:Q350"/>
    <mergeCell ref="P341:Q341"/>
    <mergeCell ref="R341:S341"/>
    <mergeCell ref="A233:B233"/>
    <mergeCell ref="A234:B234"/>
    <mergeCell ref="A235:B235"/>
    <mergeCell ref="B343:K343"/>
    <mergeCell ref="B344:K344"/>
    <mergeCell ref="B345:K345"/>
    <mergeCell ref="B346:K346"/>
    <mergeCell ref="P345:Q345"/>
    <mergeCell ref="R345:S345"/>
    <mergeCell ref="L346:M346"/>
    <mergeCell ref="N346:O346"/>
    <mergeCell ref="P346:Q346"/>
    <mergeCell ref="R346:S346"/>
    <mergeCell ref="P343:Q343"/>
    <mergeCell ref="R343:S343"/>
    <mergeCell ref="L344:M344"/>
    <mergeCell ref="N344:O344"/>
    <mergeCell ref="P344:Q344"/>
    <mergeCell ref="R344:S344"/>
    <mergeCell ref="A325:D325"/>
    <mergeCell ref="E325:J325"/>
    <mergeCell ref="P325:S325"/>
    <mergeCell ref="B341:K341"/>
    <mergeCell ref="B342:K342"/>
    <mergeCell ref="L336:M336"/>
    <mergeCell ref="N336:O336"/>
    <mergeCell ref="L337:M337"/>
    <mergeCell ref="N337:O337"/>
    <mergeCell ref="L338:M338"/>
    <mergeCell ref="N338:O338"/>
    <mergeCell ref="L339:M339"/>
    <mergeCell ref="N339:O339"/>
    <mergeCell ref="L341:M341"/>
    <mergeCell ref="N341:O341"/>
    <mergeCell ref="L340:M340"/>
    <mergeCell ref="N340:O340"/>
    <mergeCell ref="K36:O36"/>
    <mergeCell ref="P36:S36"/>
    <mergeCell ref="A143:S144"/>
    <mergeCell ref="K324:O324"/>
    <mergeCell ref="K325:O325"/>
    <mergeCell ref="A326:O326"/>
    <mergeCell ref="B338:K338"/>
    <mergeCell ref="B339:K339"/>
    <mergeCell ref="B340:K340"/>
    <mergeCell ref="A328:S328"/>
    <mergeCell ref="A329:S334"/>
    <mergeCell ref="P339:Q339"/>
    <mergeCell ref="R339:S339"/>
    <mergeCell ref="P340:Q340"/>
    <mergeCell ref="R340:S340"/>
    <mergeCell ref="P326:S326"/>
    <mergeCell ref="P336:Q336"/>
    <mergeCell ref="R336:S336"/>
    <mergeCell ref="P337:Q337"/>
    <mergeCell ref="R337:S337"/>
    <mergeCell ref="P338:Q338"/>
    <mergeCell ref="R338:S338"/>
    <mergeCell ref="A317:S317"/>
    <mergeCell ref="A319:S322"/>
    <mergeCell ref="K31:O31"/>
    <mergeCell ref="P31:S31"/>
    <mergeCell ref="K32:O32"/>
    <mergeCell ref="P32:S32"/>
    <mergeCell ref="K33:O33"/>
    <mergeCell ref="P33:S33"/>
    <mergeCell ref="K34:O34"/>
    <mergeCell ref="P34:S34"/>
    <mergeCell ref="K35:O35"/>
    <mergeCell ref="P35:S35"/>
  </mergeCells>
  <conditionalFormatting sqref="A336:B336 L336 N336 P336 R336 A352 L353 O353 R353">
    <cfRule type="cellIs" dxfId="16" priority="1" operator="equal">
      <formula>"Observações"</formula>
    </cfRule>
    <cfRule type="cellIs" dxfId="15" priority="2" operator="equal">
      <formula>"Observação"</formula>
    </cfRule>
    <cfRule type="cellIs" dxfId="14" priority="3" operator="lessThan">
      <formula>0</formula>
    </cfRule>
  </conditionalFormatting>
  <conditionalFormatting sqref="A328:H328 A329:A330">
    <cfRule type="cellIs" dxfId="13" priority="4" operator="equal">
      <formula>"Observações"</formula>
    </cfRule>
    <cfRule type="cellIs" dxfId="12" priority="5" operator="equal">
      <formula>"Observação"</formula>
    </cfRule>
    <cfRule type="cellIs" dxfId="11" priority="6" operator="lessThan">
      <formula>0</formula>
    </cfRule>
  </conditionalFormatting>
  <conditionalFormatting sqref="M431:S431">
    <cfRule type="cellIs" dxfId="10" priority="8" operator="greaterThan">
      <formula>0.01</formula>
    </cfRule>
  </conditionalFormatting>
  <conditionalFormatting sqref="P295:S295">
    <cfRule type="cellIs" dxfId="9" priority="25" operator="greaterThan">
      <formula>0.5</formula>
    </cfRule>
  </conditionalFormatting>
  <conditionalFormatting sqref="Q172:S172">
    <cfRule type="cellIs" dxfId="8" priority="22" operator="equal">
      <formula>"Encerrar"</formula>
    </cfRule>
    <cfRule type="cellIs" dxfId="7" priority="23" operator="equal">
      <formula>"Continuar"</formula>
    </cfRule>
  </conditionalFormatting>
  <conditionalFormatting sqref="Q208:S208">
    <cfRule type="cellIs" dxfId="6" priority="11" operator="equal">
      <formula>"Encerrar"</formula>
    </cfRule>
    <cfRule type="cellIs" dxfId="5" priority="12" operator="equal">
      <formula>"Continuar"</formula>
    </cfRule>
  </conditionalFormatting>
  <conditionalFormatting sqref="Q246:S246">
    <cfRule type="cellIs" dxfId="4" priority="9" operator="equal">
      <formula>"Encerrar"</formula>
    </cfRule>
    <cfRule type="cellIs" dxfId="3" priority="10" operator="equal">
      <formula>"Continuar"</formula>
    </cfRule>
  </conditionalFormatting>
  <conditionalFormatting sqref="T429">
    <cfRule type="containsText" dxfId="2" priority="7" operator="containsText" text="Reduzir o número de casas decimais">
      <formula>NOT(ISERROR(SEARCH("Reduzir o número de casas decimais",T429)))</formula>
    </cfRule>
  </conditionalFormatting>
  <dataValidations count="5">
    <dataValidation type="list" allowBlank="1" showInputMessage="1" showErrorMessage="1" sqref="L18:L20" xr:uid="{5C2DD489-0C83-42A1-A5AC-6D8E4F2B2F12}">
      <formula1>$U$19:$U$20</formula1>
    </dataValidation>
    <dataValidation type="list" allowBlank="1" showInputMessage="1" showErrorMessage="1" sqref="G384 N384:S384" xr:uid="{2D5A58A1-4361-400E-B433-2D9B3974361E}">
      <formula1>$AB$375:$AB$383</formula1>
    </dataValidation>
    <dataValidation type="list" allowBlank="1" showInputMessage="1" showErrorMessage="1" sqref="E325:J325" xr:uid="{BC7723A1-F713-4D77-A225-4755655D3AAE}">
      <formula1>$AI$317:$AI$325</formula1>
    </dataValidation>
    <dataValidation type="list" allowBlank="1" showInputMessage="1" showErrorMessage="1" sqref="E324:J324" xr:uid="{16BA2861-BB4D-4547-B36D-9B65721AAE3C}">
      <formula1>$AJ$321:$AJ$324</formula1>
    </dataValidation>
    <dataValidation type="list" allowBlank="1" showInputMessage="1" showErrorMessage="1" sqref="P324:S324" xr:uid="{F36208C9-7AC5-49C3-82E9-188C9A389661}">
      <formula1>$AJ$317:$AJ$319</formula1>
    </dataValidation>
  </dataValidations>
  <printOptions horizontalCentered="1"/>
  <pageMargins left="0.25" right="0.25" top="0.75" bottom="0.75" header="0.3" footer="0.3"/>
  <pageSetup paperSize="9" scale="79" fitToHeight="0" orientation="portrait" r:id="rId1"/>
  <ignoredErrors>
    <ignoredError sqref="Y239 Y200 M394 M396"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D85442-D438-47CA-8AF0-7CCF4C943D52}">
          <x14:formula1>
            <xm:f>'VANTAGEM DA COISA FEITA'!$AN$11:$AQ$11</xm:f>
          </x14:formula1>
          <xm:sqref>L401:S401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A55B-6AE0-4B3E-9054-5705ACC43F97}">
  <dimension ref="A1:BH81"/>
  <sheetViews>
    <sheetView zoomScaleNormal="100" workbookViewId="0">
      <selection sqref="A1:R1"/>
    </sheetView>
  </sheetViews>
  <sheetFormatPr defaultColWidth="20.625" defaultRowHeight="15" x14ac:dyDescent="0.25"/>
  <cols>
    <col min="1" max="18" width="6.625" style="80" customWidth="1"/>
    <col min="19" max="16384" width="20.625" style="74"/>
  </cols>
  <sheetData>
    <row r="1" spans="1:60" ht="20.100000000000001" customHeight="1" thickBot="1" x14ac:dyDescent="0.3">
      <c r="A1" s="215" t="s">
        <v>268</v>
      </c>
      <c r="B1" s="215"/>
      <c r="C1" s="215"/>
      <c r="D1" s="215"/>
      <c r="E1" s="215"/>
      <c r="F1" s="215"/>
      <c r="G1" s="215"/>
      <c r="H1" s="215"/>
      <c r="I1" s="215"/>
      <c r="J1" s="215"/>
      <c r="K1" s="215"/>
      <c r="L1" s="215"/>
      <c r="M1" s="215"/>
      <c r="N1" s="215"/>
      <c r="O1" s="215"/>
      <c r="P1" s="215"/>
      <c r="Q1" s="215"/>
      <c r="R1" s="215"/>
    </row>
    <row r="2" spans="1:60" x14ac:dyDescent="0.25">
      <c r="A2" s="3"/>
      <c r="B2" s="3"/>
      <c r="C2" s="3"/>
      <c r="D2" s="3"/>
      <c r="E2" s="3"/>
      <c r="F2" s="3"/>
      <c r="G2" s="3"/>
      <c r="H2" s="3"/>
      <c r="I2" s="3"/>
      <c r="J2" s="3"/>
      <c r="K2" s="3"/>
      <c r="L2" s="3"/>
      <c r="M2" s="3"/>
      <c r="N2" s="3"/>
      <c r="O2" s="3"/>
      <c r="P2" s="3"/>
      <c r="Q2" s="3"/>
      <c r="R2" s="3"/>
    </row>
    <row r="3" spans="1:60" ht="20.100000000000001" customHeight="1" x14ac:dyDescent="0.25">
      <c r="A3" s="216" t="s">
        <v>269</v>
      </c>
      <c r="B3" s="216"/>
      <c r="C3" s="216"/>
      <c r="D3" s="216"/>
      <c r="E3" s="216"/>
      <c r="F3" s="216"/>
      <c r="G3" s="216"/>
      <c r="H3" s="216"/>
      <c r="I3" s="216"/>
      <c r="J3" s="216"/>
      <c r="K3" s="216"/>
      <c r="L3" s="216"/>
      <c r="M3" s="216"/>
      <c r="N3" s="216"/>
      <c r="O3" s="216"/>
      <c r="P3" s="216"/>
      <c r="Q3" s="216"/>
      <c r="R3" s="216"/>
    </row>
    <row r="4" spans="1:60" ht="20.100000000000001" customHeight="1" x14ac:dyDescent="0.25">
      <c r="A4" s="216"/>
      <c r="B4" s="216"/>
      <c r="C4" s="216"/>
      <c r="D4" s="216"/>
      <c r="E4" s="216"/>
      <c r="F4" s="216"/>
      <c r="G4" s="216"/>
      <c r="H4" s="216"/>
      <c r="I4" s="216"/>
      <c r="J4" s="216"/>
      <c r="K4" s="216"/>
      <c r="L4" s="216"/>
      <c r="M4" s="216"/>
      <c r="N4" s="216"/>
      <c r="O4" s="216"/>
      <c r="P4" s="216"/>
      <c r="Q4" s="216"/>
      <c r="R4" s="216"/>
    </row>
    <row r="5" spans="1:60" ht="20.100000000000001" customHeight="1" x14ac:dyDescent="0.25">
      <c r="A5" s="209" t="s">
        <v>270</v>
      </c>
      <c r="B5" s="209"/>
      <c r="C5" s="209"/>
      <c r="D5" s="209"/>
      <c r="E5" s="209"/>
      <c r="F5" s="209"/>
      <c r="G5" s="209"/>
      <c r="H5" s="209"/>
      <c r="I5" s="209"/>
      <c r="J5" s="209"/>
      <c r="K5" s="209"/>
      <c r="L5" s="209"/>
      <c r="M5" s="209"/>
      <c r="N5" s="209"/>
      <c r="O5" s="209"/>
      <c r="P5" s="209"/>
      <c r="Q5" s="209"/>
      <c r="R5" s="209"/>
    </row>
    <row r="6" spans="1:60" ht="20.100000000000001" customHeight="1" x14ac:dyDescent="0.25">
      <c r="A6" s="217" t="s">
        <v>271</v>
      </c>
      <c r="B6" s="217"/>
      <c r="C6" s="217"/>
      <c r="D6" s="217"/>
      <c r="E6" s="217" t="s">
        <v>272</v>
      </c>
      <c r="F6" s="217"/>
      <c r="G6" s="217" t="s">
        <v>273</v>
      </c>
      <c r="H6" s="217"/>
      <c r="I6" s="217"/>
      <c r="J6" s="217"/>
      <c r="K6" s="217" t="s">
        <v>274</v>
      </c>
      <c r="L6" s="217"/>
      <c r="M6" s="217"/>
      <c r="N6" s="217"/>
      <c r="O6" s="217" t="s">
        <v>275</v>
      </c>
      <c r="P6" s="217"/>
      <c r="Q6" s="217"/>
      <c r="R6" s="217"/>
    </row>
    <row r="7" spans="1:60" ht="20.100000000000001" customHeight="1" x14ac:dyDescent="0.25">
      <c r="A7" s="211" t="s">
        <v>276</v>
      </c>
      <c r="B7" s="211"/>
      <c r="C7" s="211"/>
      <c r="D7" s="211"/>
      <c r="E7" s="208">
        <v>0.25</v>
      </c>
      <c r="F7" s="208"/>
      <c r="G7" s="208">
        <v>0.25</v>
      </c>
      <c r="H7" s="208"/>
      <c r="I7" s="208">
        <v>0.21</v>
      </c>
      <c r="J7" s="208"/>
      <c r="K7" s="208">
        <v>0.21</v>
      </c>
      <c r="L7" s="208"/>
      <c r="M7" s="208">
        <v>0.13</v>
      </c>
      <c r="N7" s="208"/>
      <c r="O7" s="208">
        <v>0.13</v>
      </c>
      <c r="P7" s="208"/>
      <c r="Q7" s="208">
        <v>0</v>
      </c>
      <c r="R7" s="208"/>
    </row>
    <row r="8" spans="1:60" ht="20.100000000000001" customHeight="1" x14ac:dyDescent="0.25">
      <c r="A8" s="211"/>
      <c r="B8" s="211"/>
      <c r="C8" s="211"/>
      <c r="D8" s="211"/>
      <c r="E8" s="208"/>
      <c r="F8" s="208"/>
      <c r="G8" s="208"/>
      <c r="H8" s="208"/>
      <c r="I8" s="208"/>
      <c r="J8" s="208"/>
      <c r="K8" s="208"/>
      <c r="L8" s="208"/>
      <c r="M8" s="208"/>
      <c r="N8" s="208"/>
      <c r="O8" s="208"/>
      <c r="P8" s="208"/>
      <c r="Q8" s="208"/>
      <c r="R8" s="208"/>
      <c r="AM8" s="214"/>
      <c r="AN8" s="214"/>
      <c r="AO8" s="27"/>
    </row>
    <row r="9" spans="1:60" ht="20.100000000000001" customHeight="1" x14ac:dyDescent="0.25">
      <c r="A9" s="211" t="s">
        <v>278</v>
      </c>
      <c r="B9" s="211"/>
      <c r="C9" s="211"/>
      <c r="D9" s="211"/>
      <c r="E9" s="208">
        <v>0.15</v>
      </c>
      <c r="F9" s="208"/>
      <c r="G9" s="208">
        <v>0.15</v>
      </c>
      <c r="H9" s="208"/>
      <c r="I9" s="208">
        <v>0.125</v>
      </c>
      <c r="J9" s="208"/>
      <c r="K9" s="208">
        <v>0.125</v>
      </c>
      <c r="L9" s="208"/>
      <c r="M9" s="208">
        <v>7.8E-2</v>
      </c>
      <c r="N9" s="208"/>
      <c r="O9" s="208">
        <v>7.8E-2</v>
      </c>
      <c r="P9" s="208"/>
      <c r="Q9" s="208">
        <v>0</v>
      </c>
      <c r="R9" s="208"/>
      <c r="AM9" s="214"/>
      <c r="AN9" s="214"/>
      <c r="AO9" s="27"/>
    </row>
    <row r="10" spans="1:60" ht="20.100000000000001" customHeight="1" x14ac:dyDescent="0.25">
      <c r="A10" s="211"/>
      <c r="B10" s="211"/>
      <c r="C10" s="211"/>
      <c r="D10" s="211"/>
      <c r="E10" s="208"/>
      <c r="F10" s="208"/>
      <c r="G10" s="208"/>
      <c r="H10" s="208"/>
      <c r="I10" s="208"/>
      <c r="J10" s="208"/>
      <c r="K10" s="208"/>
      <c r="L10" s="208"/>
      <c r="M10" s="208"/>
      <c r="N10" s="208"/>
      <c r="O10" s="208"/>
      <c r="P10" s="208"/>
      <c r="Q10" s="208"/>
      <c r="R10" s="208"/>
    </row>
    <row r="11" spans="1:60" ht="20.100000000000001" customHeight="1" x14ac:dyDescent="0.25">
      <c r="A11" s="211" t="s">
        <v>280</v>
      </c>
      <c r="B11" s="211"/>
      <c r="C11" s="211"/>
      <c r="D11" s="211"/>
      <c r="E11" s="208">
        <v>0.1</v>
      </c>
      <c r="F11" s="208"/>
      <c r="G11" s="208">
        <v>0.1</v>
      </c>
      <c r="H11" s="208"/>
      <c r="I11" s="208">
        <v>8.4000000000000005E-2</v>
      </c>
      <c r="J11" s="208"/>
      <c r="K11" s="208">
        <v>8.4000000000000005E-2</v>
      </c>
      <c r="L11" s="208"/>
      <c r="M11" s="208">
        <v>5.1999999999999998E-2</v>
      </c>
      <c r="N11" s="208"/>
      <c r="O11" s="208">
        <v>5.1999999999999998E-2</v>
      </c>
      <c r="P11" s="208"/>
      <c r="Q11" s="208">
        <v>0</v>
      </c>
      <c r="R11" s="208"/>
      <c r="AM11" s="75" t="s">
        <v>281</v>
      </c>
      <c r="AN11" s="75" t="s">
        <v>276</v>
      </c>
      <c r="AO11" s="75" t="s">
        <v>278</v>
      </c>
      <c r="AP11" s="75" t="s">
        <v>280</v>
      </c>
      <c r="AQ11" s="75" t="s">
        <v>282</v>
      </c>
      <c r="AS11" s="212" t="s">
        <v>283</v>
      </c>
      <c r="AT11" s="212"/>
      <c r="AU11" s="212"/>
      <c r="AV11" s="212"/>
      <c r="AW11" s="212"/>
      <c r="AX11" s="212"/>
      <c r="AY11" s="212"/>
      <c r="AZ11" s="212"/>
      <c r="BA11" s="212"/>
      <c r="BB11" s="212"/>
    </row>
    <row r="12" spans="1:60" ht="20.100000000000001" customHeight="1" x14ac:dyDescent="0.25">
      <c r="A12" s="211"/>
      <c r="B12" s="211"/>
      <c r="C12" s="211"/>
      <c r="D12" s="211"/>
      <c r="E12" s="208"/>
      <c r="F12" s="208"/>
      <c r="G12" s="208"/>
      <c r="H12" s="208"/>
      <c r="I12" s="208"/>
      <c r="J12" s="208"/>
      <c r="K12" s="208"/>
      <c r="L12" s="208"/>
      <c r="M12" s="208"/>
      <c r="N12" s="208"/>
      <c r="O12" s="208"/>
      <c r="P12" s="208"/>
      <c r="Q12" s="208"/>
      <c r="R12" s="208"/>
      <c r="AM12" s="73">
        <f t="shared" ref="AM12:AM41" si="0">AT12</f>
        <v>1</v>
      </c>
      <c r="AN12" s="76">
        <f t="shared" ref="AN12:AN41" si="1">AV12/100</f>
        <v>0.24600000000000002</v>
      </c>
      <c r="AO12" s="76">
        <f t="shared" ref="AO12:AO41" si="2">AX12/100</f>
        <v>0.14749999999999999</v>
      </c>
      <c r="AP12" s="76">
        <f t="shared" ref="AP12:AP41" si="3">AZ12/100</f>
        <v>9.8400000000000001E-2</v>
      </c>
      <c r="AQ12" s="76">
        <f t="shared" ref="AQ12:AQ41" si="4">BB12/100</f>
        <v>4.9200000000000001E-2</v>
      </c>
      <c r="AS12" s="213"/>
      <c r="AT12" s="77">
        <v>1</v>
      </c>
      <c r="AU12" s="213"/>
      <c r="AV12" s="78">
        <f t="shared" ref="AV12:AV21" si="5">25-AT12*4/10</f>
        <v>24.6</v>
      </c>
      <c r="AW12" s="213"/>
      <c r="AX12" s="78">
        <f t="shared" ref="AX12:AX21" si="6">15-(AT12*2.5/10)</f>
        <v>14.75</v>
      </c>
      <c r="AY12" s="213"/>
      <c r="AZ12" s="78">
        <f t="shared" ref="AZ12:AZ21" si="7">10-AT12*1.6/10</f>
        <v>9.84</v>
      </c>
      <c r="BA12" s="213"/>
      <c r="BB12" s="78">
        <f t="shared" ref="BB12:BB21" si="8">5-AT12*0.8/10</f>
        <v>4.92</v>
      </c>
      <c r="BE12" s="79"/>
      <c r="BF12" s="79"/>
      <c r="BG12" s="79"/>
      <c r="BH12" s="79"/>
    </row>
    <row r="13" spans="1:60" ht="20.100000000000001" customHeight="1" x14ac:dyDescent="0.25">
      <c r="A13" s="211" t="s">
        <v>282</v>
      </c>
      <c r="B13" s="211"/>
      <c r="C13" s="211"/>
      <c r="D13" s="211"/>
      <c r="E13" s="208">
        <v>0.05</v>
      </c>
      <c r="F13" s="208"/>
      <c r="G13" s="208">
        <v>0.05</v>
      </c>
      <c r="H13" s="208"/>
      <c r="I13" s="208">
        <v>4.2000000000000003E-2</v>
      </c>
      <c r="J13" s="208"/>
      <c r="K13" s="208">
        <v>4.2000000000000003E-2</v>
      </c>
      <c r="L13" s="208"/>
      <c r="M13" s="208">
        <v>2.5999999999999999E-2</v>
      </c>
      <c r="N13" s="208"/>
      <c r="O13" s="208">
        <v>2.5999999999999999E-2</v>
      </c>
      <c r="P13" s="208"/>
      <c r="Q13" s="208">
        <v>0</v>
      </c>
      <c r="R13" s="208"/>
      <c r="AM13" s="73">
        <f t="shared" si="0"/>
        <v>2</v>
      </c>
      <c r="AN13" s="76">
        <f t="shared" si="1"/>
        <v>0.24199999999999999</v>
      </c>
      <c r="AO13" s="76">
        <f t="shared" si="2"/>
        <v>0.14499999999999999</v>
      </c>
      <c r="AP13" s="76">
        <f t="shared" si="3"/>
        <v>9.6799999999999997E-2</v>
      </c>
      <c r="AQ13" s="76">
        <f t="shared" si="4"/>
        <v>4.8399999999999999E-2</v>
      </c>
      <c r="AS13" s="213"/>
      <c r="AT13" s="77">
        <v>2</v>
      </c>
      <c r="AU13" s="213"/>
      <c r="AV13" s="78">
        <f t="shared" si="5"/>
        <v>24.2</v>
      </c>
      <c r="AW13" s="213"/>
      <c r="AX13" s="78">
        <f t="shared" si="6"/>
        <v>14.5</v>
      </c>
      <c r="AY13" s="213"/>
      <c r="AZ13" s="78">
        <f t="shared" si="7"/>
        <v>9.68</v>
      </c>
      <c r="BA13" s="213"/>
      <c r="BB13" s="78">
        <f t="shared" si="8"/>
        <v>4.84</v>
      </c>
      <c r="BE13" s="79"/>
      <c r="BF13" s="79"/>
      <c r="BG13" s="79"/>
      <c r="BH13" s="79"/>
    </row>
    <row r="14" spans="1:60" ht="20.100000000000001" customHeight="1" x14ac:dyDescent="0.25">
      <c r="A14" s="211"/>
      <c r="B14" s="211"/>
      <c r="C14" s="211"/>
      <c r="D14" s="211"/>
      <c r="E14" s="208"/>
      <c r="F14" s="208"/>
      <c r="G14" s="208"/>
      <c r="H14" s="208"/>
      <c r="I14" s="208"/>
      <c r="J14" s="208"/>
      <c r="K14" s="208"/>
      <c r="L14" s="208"/>
      <c r="M14" s="208"/>
      <c r="N14" s="208"/>
      <c r="O14" s="208"/>
      <c r="P14" s="208"/>
      <c r="Q14" s="208"/>
      <c r="R14" s="208"/>
      <c r="AM14" s="73">
        <f t="shared" si="0"/>
        <v>3</v>
      </c>
      <c r="AN14" s="76">
        <f t="shared" si="1"/>
        <v>0.23800000000000002</v>
      </c>
      <c r="AO14" s="76">
        <f t="shared" si="2"/>
        <v>0.14249999999999999</v>
      </c>
      <c r="AP14" s="76">
        <f t="shared" si="3"/>
        <v>9.5199999999999993E-2</v>
      </c>
      <c r="AQ14" s="76">
        <f t="shared" si="4"/>
        <v>4.7599999999999996E-2</v>
      </c>
      <c r="AS14" s="213"/>
      <c r="AT14" s="77">
        <v>3</v>
      </c>
      <c r="AU14" s="213"/>
      <c r="AV14" s="78">
        <f t="shared" si="5"/>
        <v>23.8</v>
      </c>
      <c r="AW14" s="213"/>
      <c r="AX14" s="78">
        <f t="shared" si="6"/>
        <v>14.25</v>
      </c>
      <c r="AY14" s="213"/>
      <c r="AZ14" s="78">
        <f t="shared" si="7"/>
        <v>9.52</v>
      </c>
      <c r="BA14" s="213"/>
      <c r="BB14" s="78">
        <f t="shared" si="8"/>
        <v>4.76</v>
      </c>
      <c r="BE14" s="79"/>
      <c r="BF14" s="79"/>
      <c r="BG14" s="79"/>
      <c r="BH14" s="79"/>
    </row>
    <row r="15" spans="1:60" ht="20.100000000000001" customHeight="1" x14ac:dyDescent="0.25">
      <c r="A15" s="209" t="s">
        <v>284</v>
      </c>
      <c r="B15" s="209"/>
      <c r="C15" s="209"/>
      <c r="D15" s="209"/>
      <c r="E15" s="209"/>
      <c r="F15" s="209"/>
      <c r="G15" s="209"/>
      <c r="H15" s="209"/>
      <c r="I15" s="209"/>
      <c r="J15" s="209"/>
      <c r="K15" s="209"/>
      <c r="L15" s="209"/>
      <c r="M15" s="209"/>
      <c r="N15" s="209"/>
      <c r="O15" s="209"/>
      <c r="P15" s="209"/>
      <c r="Q15" s="209"/>
      <c r="R15" s="209"/>
      <c r="AM15" s="73">
        <f t="shared" si="0"/>
        <v>4</v>
      </c>
      <c r="AN15" s="76">
        <f t="shared" si="1"/>
        <v>0.23399999999999999</v>
      </c>
      <c r="AO15" s="76">
        <f t="shared" si="2"/>
        <v>0.14000000000000001</v>
      </c>
      <c r="AP15" s="76">
        <f t="shared" si="3"/>
        <v>9.3599999999999989E-2</v>
      </c>
      <c r="AQ15" s="76">
        <f t="shared" si="4"/>
        <v>4.6799999999999994E-2</v>
      </c>
      <c r="AS15" s="213"/>
      <c r="AT15" s="77">
        <v>4</v>
      </c>
      <c r="AU15" s="213"/>
      <c r="AV15" s="78">
        <f t="shared" si="5"/>
        <v>23.4</v>
      </c>
      <c r="AW15" s="213"/>
      <c r="AX15" s="78">
        <f t="shared" si="6"/>
        <v>14</v>
      </c>
      <c r="AY15" s="213"/>
      <c r="AZ15" s="78">
        <f t="shared" si="7"/>
        <v>9.36</v>
      </c>
      <c r="BA15" s="213"/>
      <c r="BB15" s="78">
        <f t="shared" si="8"/>
        <v>4.68</v>
      </c>
      <c r="BE15" s="79"/>
      <c r="BF15" s="79"/>
      <c r="BG15" s="79"/>
      <c r="BH15" s="79"/>
    </row>
    <row r="16" spans="1:60" ht="20.100000000000001" customHeight="1" x14ac:dyDescent="0.25">
      <c r="A16" s="209" t="s">
        <v>285</v>
      </c>
      <c r="B16" s="209"/>
      <c r="C16" s="209"/>
      <c r="D16" s="209"/>
      <c r="E16" s="209"/>
      <c r="F16" s="209"/>
      <c r="G16" s="209"/>
      <c r="H16" s="209"/>
      <c r="I16" s="209"/>
      <c r="J16" s="209"/>
      <c r="K16" s="209"/>
      <c r="L16" s="209"/>
      <c r="M16" s="209"/>
      <c r="N16" s="209"/>
      <c r="O16" s="209"/>
      <c r="P16" s="209"/>
      <c r="Q16" s="209"/>
      <c r="R16" s="209"/>
      <c r="AM16" s="73">
        <f t="shared" si="0"/>
        <v>5</v>
      </c>
      <c r="AN16" s="76">
        <f t="shared" si="1"/>
        <v>0.23</v>
      </c>
      <c r="AO16" s="76">
        <f t="shared" si="2"/>
        <v>0.13750000000000001</v>
      </c>
      <c r="AP16" s="76">
        <f t="shared" si="3"/>
        <v>9.1999999999999998E-2</v>
      </c>
      <c r="AQ16" s="76">
        <f t="shared" si="4"/>
        <v>4.5999999999999999E-2</v>
      </c>
      <c r="AS16" s="213"/>
      <c r="AT16" s="77">
        <v>5</v>
      </c>
      <c r="AU16" s="213"/>
      <c r="AV16" s="78">
        <f t="shared" si="5"/>
        <v>23</v>
      </c>
      <c r="AW16" s="213"/>
      <c r="AX16" s="78">
        <f t="shared" si="6"/>
        <v>13.75</v>
      </c>
      <c r="AY16" s="213"/>
      <c r="AZ16" s="78">
        <f t="shared" si="7"/>
        <v>9.1999999999999993</v>
      </c>
      <c r="BA16" s="213"/>
      <c r="BB16" s="78">
        <f t="shared" si="8"/>
        <v>4.5999999999999996</v>
      </c>
      <c r="BE16" s="79"/>
      <c r="BF16" s="79"/>
      <c r="BG16" s="79"/>
      <c r="BH16" s="79"/>
    </row>
    <row r="17" spans="1:60" ht="20.100000000000001" customHeight="1" x14ac:dyDescent="0.25">
      <c r="A17" s="209" t="s">
        <v>286</v>
      </c>
      <c r="B17" s="209"/>
      <c r="C17" s="209"/>
      <c r="D17" s="210" t="s">
        <v>287</v>
      </c>
      <c r="E17" s="210"/>
      <c r="F17" s="210"/>
      <c r="G17" s="210"/>
      <c r="H17" s="210"/>
      <c r="I17" s="210"/>
      <c r="J17" s="210"/>
      <c r="K17" s="210"/>
      <c r="L17" s="210"/>
      <c r="M17" s="210"/>
      <c r="N17" s="210"/>
      <c r="O17" s="210"/>
      <c r="P17" s="210"/>
      <c r="Q17" s="210"/>
      <c r="R17" s="210"/>
      <c r="AM17" s="73">
        <f t="shared" si="0"/>
        <v>6</v>
      </c>
      <c r="AN17" s="76">
        <f t="shared" si="1"/>
        <v>0.22600000000000001</v>
      </c>
      <c r="AO17" s="76">
        <f t="shared" si="2"/>
        <v>0.13500000000000001</v>
      </c>
      <c r="AP17" s="76">
        <f t="shared" si="3"/>
        <v>9.0399999999999994E-2</v>
      </c>
      <c r="AQ17" s="76">
        <f t="shared" si="4"/>
        <v>4.5199999999999997E-2</v>
      </c>
      <c r="AS17" s="213"/>
      <c r="AT17" s="77">
        <v>6</v>
      </c>
      <c r="AU17" s="213"/>
      <c r="AV17" s="78">
        <f t="shared" si="5"/>
        <v>22.6</v>
      </c>
      <c r="AW17" s="213"/>
      <c r="AX17" s="78">
        <f t="shared" si="6"/>
        <v>13.5</v>
      </c>
      <c r="AY17" s="213"/>
      <c r="AZ17" s="78">
        <f t="shared" si="7"/>
        <v>9.0399999999999991</v>
      </c>
      <c r="BA17" s="213"/>
      <c r="BB17" s="78">
        <f t="shared" si="8"/>
        <v>4.5199999999999996</v>
      </c>
      <c r="BE17" s="79"/>
      <c r="BF17" s="79"/>
      <c r="BG17" s="79"/>
      <c r="BH17" s="79"/>
    </row>
    <row r="18" spans="1:60" ht="20.100000000000001" customHeight="1" x14ac:dyDescent="0.25">
      <c r="A18" s="207" t="s">
        <v>288</v>
      </c>
      <c r="B18" s="207"/>
      <c r="C18" s="207"/>
      <c r="D18" s="207"/>
      <c r="E18" s="207"/>
      <c r="F18" s="207"/>
      <c r="G18" s="207"/>
      <c r="H18" s="207"/>
      <c r="I18" s="207"/>
      <c r="J18" s="207"/>
      <c r="K18" s="207"/>
      <c r="L18" s="207"/>
      <c r="M18" s="207"/>
      <c r="N18" s="207"/>
      <c r="O18" s="207"/>
      <c r="P18" s="207"/>
      <c r="Q18" s="207"/>
      <c r="R18" s="207"/>
      <c r="AM18" s="73">
        <f t="shared" si="0"/>
        <v>7</v>
      </c>
      <c r="AN18" s="76">
        <f t="shared" si="1"/>
        <v>0.222</v>
      </c>
      <c r="AO18" s="76">
        <f t="shared" si="2"/>
        <v>0.13250000000000001</v>
      </c>
      <c r="AP18" s="76">
        <f t="shared" si="3"/>
        <v>8.879999999999999E-2</v>
      </c>
      <c r="AQ18" s="76">
        <f t="shared" si="4"/>
        <v>4.4399999999999995E-2</v>
      </c>
      <c r="AS18" s="213"/>
      <c r="AT18" s="77">
        <v>7</v>
      </c>
      <c r="AU18" s="213"/>
      <c r="AV18" s="78">
        <f t="shared" si="5"/>
        <v>22.2</v>
      </c>
      <c r="AW18" s="213"/>
      <c r="AX18" s="78">
        <f t="shared" si="6"/>
        <v>13.25</v>
      </c>
      <c r="AY18" s="213"/>
      <c r="AZ18" s="78">
        <f t="shared" si="7"/>
        <v>8.879999999999999</v>
      </c>
      <c r="BA18" s="213"/>
      <c r="BB18" s="78">
        <f t="shared" si="8"/>
        <v>4.4399999999999995</v>
      </c>
      <c r="BE18" s="79"/>
      <c r="BF18" s="79"/>
      <c r="BG18" s="79"/>
      <c r="BH18" s="79"/>
    </row>
    <row r="19" spans="1:60" ht="20.100000000000001" customHeight="1" x14ac:dyDescent="0.25">
      <c r="A19" s="207"/>
      <c r="B19" s="207"/>
      <c r="C19" s="207"/>
      <c r="D19" s="207"/>
      <c r="E19" s="207"/>
      <c r="F19" s="207"/>
      <c r="G19" s="207"/>
      <c r="H19" s="207"/>
      <c r="I19" s="207"/>
      <c r="J19" s="207"/>
      <c r="K19" s="207"/>
      <c r="L19" s="207"/>
      <c r="M19" s="207"/>
      <c r="N19" s="207"/>
      <c r="O19" s="207"/>
      <c r="P19" s="207"/>
      <c r="Q19" s="207"/>
      <c r="R19" s="207"/>
      <c r="AM19" s="73">
        <f t="shared" si="0"/>
        <v>8</v>
      </c>
      <c r="AN19" s="76">
        <f t="shared" si="1"/>
        <v>0.218</v>
      </c>
      <c r="AO19" s="76">
        <f t="shared" si="2"/>
        <v>0.13</v>
      </c>
      <c r="AP19" s="76">
        <f t="shared" si="3"/>
        <v>8.72E-2</v>
      </c>
      <c r="AQ19" s="76">
        <f t="shared" si="4"/>
        <v>4.36E-2</v>
      </c>
      <c r="AS19" s="213"/>
      <c r="AT19" s="77">
        <v>8</v>
      </c>
      <c r="AU19" s="213"/>
      <c r="AV19" s="78">
        <f t="shared" si="5"/>
        <v>21.8</v>
      </c>
      <c r="AW19" s="213"/>
      <c r="AX19" s="78">
        <f t="shared" si="6"/>
        <v>13</v>
      </c>
      <c r="AY19" s="213"/>
      <c r="AZ19" s="78">
        <f t="shared" si="7"/>
        <v>8.7200000000000006</v>
      </c>
      <c r="BA19" s="213"/>
      <c r="BB19" s="78">
        <f t="shared" si="8"/>
        <v>4.3600000000000003</v>
      </c>
      <c r="BE19" s="79"/>
      <c r="BF19" s="79"/>
      <c r="BG19" s="79"/>
      <c r="BH19" s="79"/>
    </row>
    <row r="20" spans="1:60" ht="20.100000000000001" customHeight="1" x14ac:dyDescent="0.25">
      <c r="A20" s="207"/>
      <c r="B20" s="207"/>
      <c r="C20" s="207"/>
      <c r="D20" s="207"/>
      <c r="E20" s="207"/>
      <c r="F20" s="207"/>
      <c r="G20" s="207"/>
      <c r="H20" s="207"/>
      <c r="I20" s="207"/>
      <c r="J20" s="207"/>
      <c r="K20" s="207"/>
      <c r="L20" s="207"/>
      <c r="M20" s="207"/>
      <c r="N20" s="207"/>
      <c r="O20" s="207"/>
      <c r="P20" s="207"/>
      <c r="Q20" s="207"/>
      <c r="R20" s="207"/>
      <c r="AM20" s="73">
        <f t="shared" si="0"/>
        <v>9</v>
      </c>
      <c r="AN20" s="76">
        <f t="shared" si="1"/>
        <v>0.214</v>
      </c>
      <c r="AO20" s="76">
        <f t="shared" si="2"/>
        <v>0.1275</v>
      </c>
      <c r="AP20" s="76">
        <f t="shared" si="3"/>
        <v>8.5600000000000009E-2</v>
      </c>
      <c r="AQ20" s="76">
        <f t="shared" si="4"/>
        <v>4.2800000000000005E-2</v>
      </c>
      <c r="AS20" s="213"/>
      <c r="AT20" s="77">
        <v>9</v>
      </c>
      <c r="AU20" s="213"/>
      <c r="AV20" s="78">
        <f t="shared" si="5"/>
        <v>21.4</v>
      </c>
      <c r="AW20" s="213"/>
      <c r="AX20" s="78">
        <f t="shared" si="6"/>
        <v>12.75</v>
      </c>
      <c r="AY20" s="213"/>
      <c r="AZ20" s="78">
        <f t="shared" si="7"/>
        <v>8.56</v>
      </c>
      <c r="BA20" s="213"/>
      <c r="BB20" s="78">
        <f t="shared" si="8"/>
        <v>4.28</v>
      </c>
      <c r="BE20" s="79"/>
      <c r="BF20" s="79"/>
      <c r="BG20" s="79"/>
      <c r="BH20" s="79"/>
    </row>
    <row r="21" spans="1:60" ht="20.100000000000001" customHeight="1" x14ac:dyDescent="0.25">
      <c r="A21" s="74"/>
      <c r="B21" s="74"/>
      <c r="C21" s="74"/>
      <c r="D21" s="74"/>
      <c r="E21" s="74"/>
      <c r="F21" s="74"/>
      <c r="G21" s="74"/>
      <c r="H21" s="74"/>
      <c r="I21" s="74"/>
      <c r="J21" s="74"/>
      <c r="K21" s="74"/>
      <c r="L21" s="74"/>
      <c r="M21" s="74"/>
      <c r="N21" s="74"/>
      <c r="O21" s="74"/>
      <c r="P21" s="74"/>
      <c r="Q21" s="74"/>
      <c r="R21" s="74"/>
      <c r="AM21" s="73">
        <f t="shared" si="0"/>
        <v>10</v>
      </c>
      <c r="AN21" s="76">
        <f t="shared" si="1"/>
        <v>0.21</v>
      </c>
      <c r="AO21" s="76">
        <f t="shared" si="2"/>
        <v>0.125</v>
      </c>
      <c r="AP21" s="76">
        <f t="shared" si="3"/>
        <v>8.4000000000000005E-2</v>
      </c>
      <c r="AQ21" s="76">
        <f t="shared" si="4"/>
        <v>4.2000000000000003E-2</v>
      </c>
      <c r="AS21" s="213"/>
      <c r="AT21" s="77">
        <v>10</v>
      </c>
      <c r="AU21" s="213"/>
      <c r="AV21" s="78">
        <f t="shared" si="5"/>
        <v>21</v>
      </c>
      <c r="AW21" s="213"/>
      <c r="AX21" s="78">
        <f t="shared" si="6"/>
        <v>12.5</v>
      </c>
      <c r="AY21" s="213"/>
      <c r="AZ21" s="78">
        <f t="shared" si="7"/>
        <v>8.4</v>
      </c>
      <c r="BA21" s="213"/>
      <c r="BB21" s="78">
        <f t="shared" si="8"/>
        <v>4.2</v>
      </c>
      <c r="BE21" s="79"/>
      <c r="BF21" s="79"/>
      <c r="BG21" s="79"/>
      <c r="BH21" s="79"/>
    </row>
    <row r="22" spans="1:60" ht="20.100000000000001" customHeight="1" x14ac:dyDescent="0.25">
      <c r="A22" s="74"/>
      <c r="B22" s="74"/>
      <c r="C22" s="74"/>
      <c r="D22" s="74"/>
      <c r="E22" s="74"/>
      <c r="F22" s="74"/>
      <c r="G22" s="74"/>
      <c r="H22" s="74"/>
      <c r="I22" s="74"/>
      <c r="J22" s="74"/>
      <c r="K22" s="74"/>
      <c r="L22" s="74"/>
      <c r="M22" s="74"/>
      <c r="N22" s="74"/>
      <c r="O22" s="74"/>
      <c r="P22" s="74"/>
      <c r="Q22" s="74"/>
      <c r="R22" s="74"/>
      <c r="AM22" s="73">
        <f t="shared" si="0"/>
        <v>11</v>
      </c>
      <c r="AN22" s="76">
        <f t="shared" si="1"/>
        <v>0.20199999999999999</v>
      </c>
      <c r="AO22" s="76">
        <f t="shared" si="2"/>
        <v>0.12029999999999999</v>
      </c>
      <c r="AP22" s="76">
        <f t="shared" si="3"/>
        <v>8.0799999999999997E-2</v>
      </c>
      <c r="AQ22" s="76">
        <f t="shared" si="4"/>
        <v>4.0399999999999998E-2</v>
      </c>
      <c r="AS22" s="213"/>
      <c r="AT22" s="77">
        <v>11</v>
      </c>
      <c r="AU22" s="213"/>
      <c r="AV22" s="78">
        <f t="shared" ref="AV22:AV31" si="9">21-((AT22-10)*(8/10))</f>
        <v>20.2</v>
      </c>
      <c r="AW22" s="213"/>
      <c r="AX22" s="78">
        <f t="shared" ref="AX22:AX31" si="10">12.5-(AT22-10)*4.7/10</f>
        <v>12.03</v>
      </c>
      <c r="AY22" s="213"/>
      <c r="AZ22" s="78">
        <f t="shared" ref="AZ22:AZ31" si="11">8.4-(AT22-10)*3.2/10</f>
        <v>8.08</v>
      </c>
      <c r="BA22" s="213"/>
      <c r="BB22" s="78">
        <f t="shared" ref="BB22:BB31" si="12">4.2-(AT22-10)*1.6/10</f>
        <v>4.04</v>
      </c>
      <c r="BE22" s="79"/>
      <c r="BF22" s="79"/>
      <c r="BG22" s="79"/>
      <c r="BH22" s="79"/>
    </row>
    <row r="23" spans="1:60" ht="20.100000000000001" customHeight="1" x14ac:dyDescent="0.25">
      <c r="A23" s="74"/>
      <c r="B23" s="74"/>
      <c r="C23" s="74"/>
      <c r="D23" s="74"/>
      <c r="E23" s="74"/>
      <c r="F23" s="74"/>
      <c r="G23" s="74"/>
      <c r="H23" s="74"/>
      <c r="I23" s="74"/>
      <c r="J23" s="74"/>
      <c r="K23" s="74"/>
      <c r="L23" s="74"/>
      <c r="M23" s="74"/>
      <c r="N23" s="74"/>
      <c r="O23" s="74"/>
      <c r="P23" s="74"/>
      <c r="Q23" s="74"/>
      <c r="R23" s="74"/>
      <c r="AM23" s="73">
        <f t="shared" si="0"/>
        <v>12</v>
      </c>
      <c r="AN23" s="76">
        <f t="shared" si="1"/>
        <v>0.19399999999999998</v>
      </c>
      <c r="AO23" s="76">
        <f t="shared" si="2"/>
        <v>0.11560000000000001</v>
      </c>
      <c r="AP23" s="76">
        <f t="shared" si="3"/>
        <v>7.7600000000000002E-2</v>
      </c>
      <c r="AQ23" s="76">
        <f t="shared" si="4"/>
        <v>3.8800000000000001E-2</v>
      </c>
      <c r="AS23" s="213"/>
      <c r="AT23" s="77">
        <v>12</v>
      </c>
      <c r="AU23" s="213"/>
      <c r="AV23" s="78">
        <f t="shared" si="9"/>
        <v>19.399999999999999</v>
      </c>
      <c r="AW23" s="213"/>
      <c r="AX23" s="78">
        <f t="shared" si="10"/>
        <v>11.56</v>
      </c>
      <c r="AY23" s="213"/>
      <c r="AZ23" s="78">
        <f t="shared" si="11"/>
        <v>7.7600000000000007</v>
      </c>
      <c r="BA23" s="213"/>
      <c r="BB23" s="78">
        <f t="shared" si="12"/>
        <v>3.8800000000000003</v>
      </c>
      <c r="BE23" s="79"/>
      <c r="BF23" s="79"/>
      <c r="BG23" s="79"/>
      <c r="BH23" s="79"/>
    </row>
    <row r="24" spans="1:60" ht="20.100000000000001" customHeight="1" x14ac:dyDescent="0.25">
      <c r="A24" s="74"/>
      <c r="B24" s="74"/>
      <c r="C24" s="74"/>
      <c r="D24" s="74"/>
      <c r="E24" s="74"/>
      <c r="F24" s="74"/>
      <c r="G24" s="74"/>
      <c r="H24" s="74"/>
      <c r="I24" s="74"/>
      <c r="J24" s="74"/>
      <c r="K24" s="74"/>
      <c r="L24" s="74"/>
      <c r="M24" s="74"/>
      <c r="N24" s="74"/>
      <c r="O24" s="74"/>
      <c r="P24" s="74"/>
      <c r="Q24" s="74"/>
      <c r="R24" s="74"/>
      <c r="AM24" s="73">
        <f t="shared" si="0"/>
        <v>13</v>
      </c>
      <c r="AN24" s="76">
        <f t="shared" si="1"/>
        <v>0.18600000000000003</v>
      </c>
      <c r="AO24" s="76">
        <f t="shared" si="2"/>
        <v>0.1109</v>
      </c>
      <c r="AP24" s="76">
        <f t="shared" si="3"/>
        <v>7.4400000000000008E-2</v>
      </c>
      <c r="AQ24" s="76">
        <f t="shared" si="4"/>
        <v>3.7200000000000004E-2</v>
      </c>
      <c r="AS24" s="213"/>
      <c r="AT24" s="77">
        <v>13</v>
      </c>
      <c r="AU24" s="213"/>
      <c r="AV24" s="78">
        <f t="shared" si="9"/>
        <v>18.600000000000001</v>
      </c>
      <c r="AW24" s="213"/>
      <c r="AX24" s="78">
        <f t="shared" si="10"/>
        <v>11.09</v>
      </c>
      <c r="AY24" s="213"/>
      <c r="AZ24" s="78">
        <f t="shared" si="11"/>
        <v>7.44</v>
      </c>
      <c r="BA24" s="213"/>
      <c r="BB24" s="78">
        <f t="shared" si="12"/>
        <v>3.72</v>
      </c>
      <c r="BE24" s="79"/>
      <c r="BF24" s="79"/>
      <c r="BG24" s="79"/>
      <c r="BH24" s="79"/>
    </row>
    <row r="25" spans="1:60" ht="20.100000000000001" customHeight="1" x14ac:dyDescent="0.25">
      <c r="A25" s="74"/>
      <c r="B25" s="74"/>
      <c r="C25" s="74"/>
      <c r="D25" s="74"/>
      <c r="E25" s="74"/>
      <c r="F25" s="74"/>
      <c r="G25" s="74"/>
      <c r="H25" s="74"/>
      <c r="I25" s="74"/>
      <c r="J25" s="74"/>
      <c r="K25" s="74"/>
      <c r="L25" s="74"/>
      <c r="M25" s="74"/>
      <c r="N25" s="74"/>
      <c r="O25" s="74"/>
      <c r="P25" s="74"/>
      <c r="Q25" s="74"/>
      <c r="R25" s="74"/>
      <c r="AM25" s="73">
        <f t="shared" si="0"/>
        <v>14</v>
      </c>
      <c r="AN25" s="76">
        <f t="shared" si="1"/>
        <v>0.17800000000000002</v>
      </c>
      <c r="AO25" s="76">
        <f t="shared" si="2"/>
        <v>0.10619999999999999</v>
      </c>
      <c r="AP25" s="76">
        <f t="shared" si="3"/>
        <v>7.1199999999999999E-2</v>
      </c>
      <c r="AQ25" s="76">
        <f t="shared" si="4"/>
        <v>3.56E-2</v>
      </c>
      <c r="AS25" s="213"/>
      <c r="AT25" s="77">
        <v>14</v>
      </c>
      <c r="AU25" s="213"/>
      <c r="AV25" s="78">
        <f t="shared" si="9"/>
        <v>17.8</v>
      </c>
      <c r="AW25" s="213"/>
      <c r="AX25" s="78">
        <f t="shared" si="10"/>
        <v>10.62</v>
      </c>
      <c r="AY25" s="213"/>
      <c r="AZ25" s="78">
        <f t="shared" si="11"/>
        <v>7.12</v>
      </c>
      <c r="BA25" s="213"/>
      <c r="BB25" s="78">
        <f t="shared" si="12"/>
        <v>3.56</v>
      </c>
      <c r="BE25" s="79"/>
      <c r="BF25" s="79"/>
      <c r="BG25" s="79"/>
      <c r="BH25" s="79"/>
    </row>
    <row r="26" spans="1:60" ht="20.100000000000001" customHeight="1" x14ac:dyDescent="0.25">
      <c r="A26" s="74"/>
      <c r="B26" s="74"/>
      <c r="C26" s="74"/>
      <c r="D26" s="74"/>
      <c r="E26" s="74"/>
      <c r="F26" s="74"/>
      <c r="G26" s="74"/>
      <c r="H26" s="74"/>
      <c r="I26" s="74"/>
      <c r="J26" s="74"/>
      <c r="K26" s="74"/>
      <c r="L26" s="74"/>
      <c r="M26" s="74"/>
      <c r="N26" s="74"/>
      <c r="O26" s="74"/>
      <c r="P26" s="74"/>
      <c r="Q26" s="74"/>
      <c r="R26" s="74"/>
      <c r="AM26" s="73">
        <f t="shared" si="0"/>
        <v>15</v>
      </c>
      <c r="AN26" s="76">
        <f t="shared" si="1"/>
        <v>0.17</v>
      </c>
      <c r="AO26" s="76">
        <f t="shared" si="2"/>
        <v>0.10150000000000001</v>
      </c>
      <c r="AP26" s="76">
        <f t="shared" si="3"/>
        <v>6.8000000000000005E-2</v>
      </c>
      <c r="AQ26" s="76">
        <f t="shared" si="4"/>
        <v>3.4000000000000002E-2</v>
      </c>
      <c r="AS26" s="213"/>
      <c r="AT26" s="77">
        <v>15</v>
      </c>
      <c r="AU26" s="213"/>
      <c r="AV26" s="78">
        <f t="shared" si="9"/>
        <v>17</v>
      </c>
      <c r="AW26" s="213"/>
      <c r="AX26" s="78">
        <f t="shared" si="10"/>
        <v>10.15</v>
      </c>
      <c r="AY26" s="213"/>
      <c r="AZ26" s="78">
        <f t="shared" si="11"/>
        <v>6.8000000000000007</v>
      </c>
      <c r="BA26" s="213"/>
      <c r="BB26" s="78">
        <f t="shared" si="12"/>
        <v>3.4000000000000004</v>
      </c>
      <c r="BE26" s="79"/>
      <c r="BF26" s="79"/>
      <c r="BG26" s="79"/>
      <c r="BH26" s="79"/>
    </row>
    <row r="27" spans="1:60" ht="20.100000000000001" customHeight="1" x14ac:dyDescent="0.25">
      <c r="A27" s="74"/>
      <c r="B27" s="74"/>
      <c r="C27" s="74"/>
      <c r="D27" s="74"/>
      <c r="E27" s="74"/>
      <c r="F27" s="74"/>
      <c r="G27" s="74"/>
      <c r="H27" s="74"/>
      <c r="I27" s="74"/>
      <c r="J27" s="74"/>
      <c r="K27" s="74"/>
      <c r="L27" s="74"/>
      <c r="M27" s="74"/>
      <c r="N27" s="74"/>
      <c r="O27" s="74"/>
      <c r="P27" s="74"/>
      <c r="Q27" s="74"/>
      <c r="R27" s="74"/>
      <c r="AM27" s="73">
        <f t="shared" si="0"/>
        <v>16</v>
      </c>
      <c r="AN27" s="76">
        <f t="shared" si="1"/>
        <v>0.16200000000000001</v>
      </c>
      <c r="AO27" s="76">
        <f t="shared" si="2"/>
        <v>9.6799999999999997E-2</v>
      </c>
      <c r="AP27" s="76">
        <f t="shared" si="3"/>
        <v>6.480000000000001E-2</v>
      </c>
      <c r="AQ27" s="76">
        <f t="shared" si="4"/>
        <v>3.2400000000000005E-2</v>
      </c>
      <c r="AS27" s="213"/>
      <c r="AT27" s="77">
        <v>16</v>
      </c>
      <c r="AU27" s="213"/>
      <c r="AV27" s="78">
        <f t="shared" si="9"/>
        <v>16.2</v>
      </c>
      <c r="AW27" s="213"/>
      <c r="AX27" s="78">
        <f t="shared" si="10"/>
        <v>9.68</v>
      </c>
      <c r="AY27" s="213"/>
      <c r="AZ27" s="78">
        <f t="shared" si="11"/>
        <v>6.48</v>
      </c>
      <c r="BA27" s="213"/>
      <c r="BB27" s="78">
        <f t="shared" si="12"/>
        <v>3.24</v>
      </c>
      <c r="BE27" s="79"/>
      <c r="BF27" s="79"/>
      <c r="BG27" s="79"/>
      <c r="BH27" s="79"/>
    </row>
    <row r="28" spans="1:60" ht="20.100000000000001" customHeight="1" x14ac:dyDescent="0.25">
      <c r="AM28" s="73">
        <f t="shared" si="0"/>
        <v>17</v>
      </c>
      <c r="AN28" s="76">
        <f t="shared" si="1"/>
        <v>0.154</v>
      </c>
      <c r="AO28" s="76">
        <f t="shared" si="2"/>
        <v>9.2100000000000015E-2</v>
      </c>
      <c r="AP28" s="76">
        <f t="shared" si="3"/>
        <v>6.1600000000000002E-2</v>
      </c>
      <c r="AQ28" s="76">
        <f t="shared" si="4"/>
        <v>3.0800000000000001E-2</v>
      </c>
      <c r="AS28" s="213"/>
      <c r="AT28" s="77">
        <v>17</v>
      </c>
      <c r="AU28" s="213"/>
      <c r="AV28" s="78">
        <f t="shared" si="9"/>
        <v>15.399999999999999</v>
      </c>
      <c r="AW28" s="213"/>
      <c r="AX28" s="78">
        <f t="shared" si="10"/>
        <v>9.2100000000000009</v>
      </c>
      <c r="AY28" s="213"/>
      <c r="AZ28" s="78">
        <f t="shared" si="11"/>
        <v>6.16</v>
      </c>
      <c r="BA28" s="213"/>
      <c r="BB28" s="78">
        <f t="shared" si="12"/>
        <v>3.08</v>
      </c>
      <c r="BE28" s="79"/>
      <c r="BF28" s="79"/>
      <c r="BG28" s="79"/>
      <c r="BH28" s="79"/>
    </row>
    <row r="29" spans="1:60" ht="20.100000000000001" customHeight="1" x14ac:dyDescent="0.2">
      <c r="A29" s="81"/>
      <c r="B29" s="81"/>
      <c r="C29" s="81"/>
      <c r="D29" s="81"/>
      <c r="E29" s="81"/>
      <c r="F29" s="81"/>
      <c r="G29" s="81"/>
      <c r="H29" s="81"/>
      <c r="I29" s="81"/>
      <c r="J29" s="81"/>
      <c r="K29" s="81"/>
      <c r="L29" s="81"/>
      <c r="M29" s="81"/>
      <c r="N29" s="81"/>
      <c r="O29" s="81"/>
      <c r="P29" s="81"/>
      <c r="Q29" s="81"/>
      <c r="R29" s="81"/>
      <c r="AM29" s="73">
        <f t="shared" si="0"/>
        <v>18</v>
      </c>
      <c r="AN29" s="76">
        <f t="shared" si="1"/>
        <v>0.14599999999999999</v>
      </c>
      <c r="AO29" s="76">
        <f t="shared" si="2"/>
        <v>8.7400000000000005E-2</v>
      </c>
      <c r="AP29" s="76">
        <f t="shared" si="3"/>
        <v>5.8400000000000001E-2</v>
      </c>
      <c r="AQ29" s="76">
        <f t="shared" si="4"/>
        <v>2.92E-2</v>
      </c>
      <c r="AS29" s="213"/>
      <c r="AT29" s="77">
        <v>18</v>
      </c>
      <c r="AU29" s="213"/>
      <c r="AV29" s="78">
        <f t="shared" si="9"/>
        <v>14.6</v>
      </c>
      <c r="AW29" s="213"/>
      <c r="AX29" s="78">
        <f t="shared" si="10"/>
        <v>8.74</v>
      </c>
      <c r="AY29" s="213"/>
      <c r="AZ29" s="78">
        <f t="shared" si="11"/>
        <v>5.84</v>
      </c>
      <c r="BA29" s="213"/>
      <c r="BB29" s="78">
        <f t="shared" si="12"/>
        <v>2.92</v>
      </c>
      <c r="BE29" s="79"/>
      <c r="BF29" s="79"/>
      <c r="BG29" s="79"/>
      <c r="BH29" s="79"/>
    </row>
    <row r="30" spans="1:60" ht="20.100000000000001" customHeight="1" x14ac:dyDescent="0.25">
      <c r="A30" s="74"/>
      <c r="B30" s="74"/>
      <c r="C30" s="74"/>
      <c r="D30" s="74"/>
      <c r="E30" s="74"/>
      <c r="F30" s="74"/>
      <c r="G30" s="74"/>
      <c r="H30" s="74"/>
      <c r="I30" s="74"/>
      <c r="J30" s="74"/>
      <c r="K30" s="74"/>
      <c r="L30" s="74"/>
      <c r="M30" s="74"/>
      <c r="N30" s="74"/>
      <c r="O30" s="74"/>
      <c r="P30" s="74"/>
      <c r="Q30" s="74"/>
      <c r="R30" s="74"/>
      <c r="AM30" s="73">
        <f t="shared" si="0"/>
        <v>19</v>
      </c>
      <c r="AN30" s="76">
        <f t="shared" si="1"/>
        <v>0.13800000000000001</v>
      </c>
      <c r="AO30" s="76">
        <f t="shared" si="2"/>
        <v>8.2699999999999996E-2</v>
      </c>
      <c r="AP30" s="76">
        <f t="shared" si="3"/>
        <v>5.5200000000000006E-2</v>
      </c>
      <c r="AQ30" s="76">
        <f t="shared" si="4"/>
        <v>2.7600000000000003E-2</v>
      </c>
      <c r="AS30" s="213"/>
      <c r="AT30" s="77">
        <v>19</v>
      </c>
      <c r="AU30" s="213"/>
      <c r="AV30" s="78">
        <f t="shared" si="9"/>
        <v>13.8</v>
      </c>
      <c r="AW30" s="213"/>
      <c r="AX30" s="78">
        <f t="shared" si="10"/>
        <v>8.27</v>
      </c>
      <c r="AY30" s="213"/>
      <c r="AZ30" s="78">
        <f t="shared" si="11"/>
        <v>5.5200000000000005</v>
      </c>
      <c r="BA30" s="213"/>
      <c r="BB30" s="78">
        <f t="shared" si="12"/>
        <v>2.7600000000000002</v>
      </c>
      <c r="BE30" s="79"/>
      <c r="BF30" s="79"/>
      <c r="BG30" s="79"/>
      <c r="BH30" s="79"/>
    </row>
    <row r="31" spans="1:60" ht="20.100000000000001" customHeight="1" x14ac:dyDescent="0.25">
      <c r="A31" s="74"/>
      <c r="B31" s="74"/>
      <c r="C31" s="74"/>
      <c r="D31" s="74"/>
      <c r="E31" s="74"/>
      <c r="F31" s="74"/>
      <c r="G31" s="74"/>
      <c r="H31" s="74"/>
      <c r="I31" s="74"/>
      <c r="J31" s="74"/>
      <c r="K31" s="74"/>
      <c r="L31" s="74"/>
      <c r="M31" s="74"/>
      <c r="N31" s="74"/>
      <c r="O31" s="74"/>
      <c r="P31" s="74"/>
      <c r="Q31" s="74"/>
      <c r="R31" s="74"/>
      <c r="AM31" s="73">
        <f t="shared" si="0"/>
        <v>20</v>
      </c>
      <c r="AN31" s="76">
        <f t="shared" si="1"/>
        <v>0.13</v>
      </c>
      <c r="AO31" s="76">
        <f t="shared" si="2"/>
        <v>7.8E-2</v>
      </c>
      <c r="AP31" s="76">
        <f t="shared" si="3"/>
        <v>5.2000000000000005E-2</v>
      </c>
      <c r="AQ31" s="76">
        <f t="shared" si="4"/>
        <v>2.6000000000000002E-2</v>
      </c>
      <c r="AS31" s="213"/>
      <c r="AT31" s="77">
        <v>20</v>
      </c>
      <c r="AU31" s="213"/>
      <c r="AV31" s="78">
        <f t="shared" si="9"/>
        <v>13</v>
      </c>
      <c r="AW31" s="213"/>
      <c r="AX31" s="78">
        <f t="shared" si="10"/>
        <v>7.8</v>
      </c>
      <c r="AY31" s="213"/>
      <c r="AZ31" s="78">
        <f t="shared" si="11"/>
        <v>5.2</v>
      </c>
      <c r="BA31" s="213"/>
      <c r="BB31" s="78">
        <f t="shared" si="12"/>
        <v>2.6</v>
      </c>
      <c r="BE31" s="79"/>
      <c r="BF31" s="79"/>
      <c r="BG31" s="79"/>
      <c r="BH31" s="79"/>
    </row>
    <row r="32" spans="1:60" ht="20.100000000000001" customHeight="1" x14ac:dyDescent="0.25">
      <c r="A32" s="74"/>
      <c r="B32" s="74"/>
      <c r="C32" s="74"/>
      <c r="D32" s="74"/>
      <c r="E32" s="74"/>
      <c r="F32" s="74"/>
      <c r="G32" s="74"/>
      <c r="H32" s="74"/>
      <c r="I32" s="74"/>
      <c r="J32" s="74"/>
      <c r="K32" s="74"/>
      <c r="L32" s="74"/>
      <c r="M32" s="74"/>
      <c r="N32" s="74"/>
      <c r="O32" s="74"/>
      <c r="P32" s="74"/>
      <c r="Q32" s="74"/>
      <c r="R32" s="74"/>
      <c r="AM32" s="73">
        <f t="shared" si="0"/>
        <v>21</v>
      </c>
      <c r="AN32" s="76">
        <f t="shared" si="1"/>
        <v>0.11699999999999999</v>
      </c>
      <c r="AO32" s="76">
        <f t="shared" si="2"/>
        <v>7.0199999999999999E-2</v>
      </c>
      <c r="AP32" s="76">
        <f t="shared" si="3"/>
        <v>4.6799999999999994E-2</v>
      </c>
      <c r="AQ32" s="76">
        <f t="shared" si="4"/>
        <v>2.3399999999999997E-2</v>
      </c>
      <c r="AS32" s="213"/>
      <c r="AT32" s="77">
        <v>21</v>
      </c>
      <c r="AU32" s="213"/>
      <c r="AV32" s="78">
        <f>13-((AT32-20)*(13/10))</f>
        <v>11.7</v>
      </c>
      <c r="AW32" s="213">
        <f>13-((AU32-20)*(13/10))</f>
        <v>39</v>
      </c>
      <c r="AX32" s="78">
        <f t="shared" ref="AX32:AX41" si="13">7.8-(AT32-20)*7.8/10</f>
        <v>7.02</v>
      </c>
      <c r="AY32" s="213">
        <f>13-((AW32-20)*(13/10))</f>
        <v>-11.7</v>
      </c>
      <c r="AZ32" s="78">
        <f t="shared" ref="AZ32:AZ41" si="14">5.2-(AT32-20)*5.2/10</f>
        <v>4.68</v>
      </c>
      <c r="BA32" s="213">
        <f>13-((AY32-20)*(13/10))</f>
        <v>54.21</v>
      </c>
      <c r="BB32" s="78">
        <f t="shared" ref="BB32:BB41" si="15">2.6-(AT32-20)*2.6/10</f>
        <v>2.34</v>
      </c>
      <c r="BE32" s="79"/>
      <c r="BF32" s="79"/>
      <c r="BG32" s="79"/>
      <c r="BH32" s="79"/>
    </row>
    <row r="33" spans="1:60" ht="20.100000000000001" customHeight="1" x14ac:dyDescent="0.25">
      <c r="A33" s="74"/>
      <c r="B33" s="74"/>
      <c r="C33" s="74"/>
      <c r="D33" s="74"/>
      <c r="E33" s="74"/>
      <c r="F33" s="74"/>
      <c r="G33" s="74"/>
      <c r="H33" s="74"/>
      <c r="I33" s="74"/>
      <c r="J33" s="74"/>
      <c r="K33" s="74"/>
      <c r="L33" s="74"/>
      <c r="M33" s="74"/>
      <c r="N33" s="74"/>
      <c r="O33" s="74"/>
      <c r="P33" s="74"/>
      <c r="Q33" s="74"/>
      <c r="R33" s="74"/>
      <c r="AM33" s="73">
        <f t="shared" si="0"/>
        <v>22</v>
      </c>
      <c r="AN33" s="76">
        <f t="shared" si="1"/>
        <v>0.10400000000000001</v>
      </c>
      <c r="AO33" s="76">
        <f t="shared" si="2"/>
        <v>6.2400000000000004E-2</v>
      </c>
      <c r="AP33" s="76">
        <f t="shared" si="3"/>
        <v>4.1599999999999998E-2</v>
      </c>
      <c r="AQ33" s="76">
        <f t="shared" si="4"/>
        <v>2.0799999999999999E-2</v>
      </c>
      <c r="AS33" s="213"/>
      <c r="AT33" s="77">
        <v>22</v>
      </c>
      <c r="AU33" s="213"/>
      <c r="AV33" s="78">
        <f t="shared" ref="AV33:AV41" si="16">13-((AT33-20)*(13/10))</f>
        <v>10.4</v>
      </c>
      <c r="AW33" s="213"/>
      <c r="AX33" s="78">
        <f t="shared" si="13"/>
        <v>6.24</v>
      </c>
      <c r="AY33" s="213"/>
      <c r="AZ33" s="78">
        <f t="shared" si="14"/>
        <v>4.16</v>
      </c>
      <c r="BA33" s="213"/>
      <c r="BB33" s="78">
        <f t="shared" si="15"/>
        <v>2.08</v>
      </c>
      <c r="BE33" s="79"/>
      <c r="BF33" s="79"/>
      <c r="BG33" s="79"/>
      <c r="BH33" s="79"/>
    </row>
    <row r="34" spans="1:60" ht="20.100000000000001" customHeight="1" x14ac:dyDescent="0.25">
      <c r="A34" s="74"/>
      <c r="B34" s="74"/>
      <c r="C34" s="74"/>
      <c r="D34" s="74"/>
      <c r="E34" s="74"/>
      <c r="F34" s="74"/>
      <c r="G34" s="74"/>
      <c r="H34" s="74"/>
      <c r="I34" s="74"/>
      <c r="J34" s="74"/>
      <c r="K34" s="74"/>
      <c r="L34" s="74"/>
      <c r="M34" s="74"/>
      <c r="N34" s="74"/>
      <c r="O34" s="74"/>
      <c r="P34" s="74"/>
      <c r="Q34" s="74"/>
      <c r="R34" s="74"/>
      <c r="AM34" s="73">
        <f t="shared" si="0"/>
        <v>23</v>
      </c>
      <c r="AN34" s="76">
        <f t="shared" si="1"/>
        <v>9.0999999999999998E-2</v>
      </c>
      <c r="AO34" s="76">
        <f t="shared" si="2"/>
        <v>5.4600000000000003E-2</v>
      </c>
      <c r="AP34" s="76">
        <f t="shared" si="3"/>
        <v>3.6400000000000002E-2</v>
      </c>
      <c r="AQ34" s="76">
        <f t="shared" si="4"/>
        <v>1.8200000000000001E-2</v>
      </c>
      <c r="AS34" s="213"/>
      <c r="AT34" s="77">
        <v>23</v>
      </c>
      <c r="AU34" s="213"/>
      <c r="AV34" s="78">
        <f t="shared" si="16"/>
        <v>9.1</v>
      </c>
      <c r="AW34" s="213"/>
      <c r="AX34" s="78">
        <f t="shared" si="13"/>
        <v>5.46</v>
      </c>
      <c r="AY34" s="213"/>
      <c r="AZ34" s="78">
        <f t="shared" si="14"/>
        <v>3.64</v>
      </c>
      <c r="BA34" s="213"/>
      <c r="BB34" s="78">
        <f t="shared" si="15"/>
        <v>1.82</v>
      </c>
      <c r="BE34" s="79"/>
      <c r="BF34" s="79"/>
      <c r="BG34" s="79"/>
      <c r="BH34" s="79"/>
    </row>
    <row r="35" spans="1:60" ht="20.100000000000001" customHeight="1" x14ac:dyDescent="0.25">
      <c r="A35" s="74"/>
      <c r="B35" s="74"/>
      <c r="C35" s="74"/>
      <c r="D35" s="74"/>
      <c r="E35" s="74"/>
      <c r="F35" s="74"/>
      <c r="G35" s="74"/>
      <c r="H35" s="74"/>
      <c r="I35" s="74"/>
      <c r="J35" s="74"/>
      <c r="K35" s="74"/>
      <c r="L35" s="74"/>
      <c r="M35" s="74"/>
      <c r="N35" s="74"/>
      <c r="O35" s="74"/>
      <c r="P35" s="74"/>
      <c r="Q35" s="74"/>
      <c r="R35" s="74"/>
      <c r="AM35" s="73">
        <f t="shared" si="0"/>
        <v>24</v>
      </c>
      <c r="AN35" s="76">
        <f t="shared" si="1"/>
        <v>7.8E-2</v>
      </c>
      <c r="AO35" s="76">
        <f t="shared" si="2"/>
        <v>4.6799999999999994E-2</v>
      </c>
      <c r="AP35" s="76">
        <f t="shared" si="3"/>
        <v>3.1200000000000002E-2</v>
      </c>
      <c r="AQ35" s="76">
        <f t="shared" si="4"/>
        <v>1.5600000000000001E-2</v>
      </c>
      <c r="AS35" s="213"/>
      <c r="AT35" s="77">
        <v>24</v>
      </c>
      <c r="AU35" s="213"/>
      <c r="AV35" s="78">
        <f t="shared" si="16"/>
        <v>7.8</v>
      </c>
      <c r="AW35" s="213"/>
      <c r="AX35" s="78">
        <f t="shared" si="13"/>
        <v>4.68</v>
      </c>
      <c r="AY35" s="213"/>
      <c r="AZ35" s="78">
        <f t="shared" si="14"/>
        <v>3.12</v>
      </c>
      <c r="BA35" s="213"/>
      <c r="BB35" s="78">
        <f t="shared" si="15"/>
        <v>1.56</v>
      </c>
      <c r="BE35" s="79"/>
      <c r="BF35" s="79"/>
      <c r="BG35" s="79"/>
      <c r="BH35" s="79"/>
    </row>
    <row r="36" spans="1:60" ht="20.100000000000001" customHeight="1" x14ac:dyDescent="0.25">
      <c r="A36" s="74"/>
      <c r="B36" s="74"/>
      <c r="C36" s="74"/>
      <c r="D36" s="74"/>
      <c r="E36" s="74"/>
      <c r="F36" s="74"/>
      <c r="G36" s="74"/>
      <c r="H36" s="74"/>
      <c r="I36" s="74"/>
      <c r="J36" s="74"/>
      <c r="K36" s="74"/>
      <c r="L36" s="74"/>
      <c r="M36" s="74"/>
      <c r="N36" s="74"/>
      <c r="O36" s="74"/>
      <c r="P36" s="74"/>
      <c r="Q36" s="74"/>
      <c r="R36" s="74"/>
      <c r="AM36" s="73">
        <f t="shared" si="0"/>
        <v>25</v>
      </c>
      <c r="AN36" s="76">
        <f t="shared" si="1"/>
        <v>6.5000000000000002E-2</v>
      </c>
      <c r="AO36" s="76">
        <f t="shared" si="2"/>
        <v>3.9E-2</v>
      </c>
      <c r="AP36" s="76">
        <f t="shared" si="3"/>
        <v>2.6000000000000002E-2</v>
      </c>
      <c r="AQ36" s="76">
        <f t="shared" si="4"/>
        <v>1.3000000000000001E-2</v>
      </c>
      <c r="AS36" s="213"/>
      <c r="AT36" s="77">
        <v>25</v>
      </c>
      <c r="AU36" s="213"/>
      <c r="AV36" s="78">
        <f t="shared" si="16"/>
        <v>6.5</v>
      </c>
      <c r="AW36" s="213"/>
      <c r="AX36" s="78">
        <f t="shared" si="13"/>
        <v>3.9</v>
      </c>
      <c r="AY36" s="213"/>
      <c r="AZ36" s="78">
        <f t="shared" si="14"/>
        <v>2.6</v>
      </c>
      <c r="BA36" s="213"/>
      <c r="BB36" s="78">
        <f t="shared" si="15"/>
        <v>1.3</v>
      </c>
      <c r="BE36" s="79"/>
      <c r="BF36" s="79"/>
      <c r="BG36" s="79"/>
      <c r="BH36" s="79"/>
    </row>
    <row r="37" spans="1:60" ht="20.100000000000001" customHeight="1" x14ac:dyDescent="0.25">
      <c r="A37" s="74"/>
      <c r="B37" s="74"/>
      <c r="C37" s="74"/>
      <c r="D37" s="74"/>
      <c r="E37" s="74"/>
      <c r="F37" s="74"/>
      <c r="G37" s="74"/>
      <c r="H37" s="74"/>
      <c r="I37" s="74"/>
      <c r="J37" s="74"/>
      <c r="K37" s="74"/>
      <c r="L37" s="74"/>
      <c r="M37" s="74"/>
      <c r="N37" s="74"/>
      <c r="O37" s="74"/>
      <c r="P37" s="74"/>
      <c r="Q37" s="74"/>
      <c r="R37" s="74"/>
      <c r="AM37" s="73">
        <f t="shared" si="0"/>
        <v>26</v>
      </c>
      <c r="AN37" s="76">
        <f t="shared" si="1"/>
        <v>5.1999999999999991E-2</v>
      </c>
      <c r="AO37" s="76">
        <f t="shared" si="2"/>
        <v>3.1200000000000002E-2</v>
      </c>
      <c r="AP37" s="76">
        <f t="shared" si="3"/>
        <v>2.0799999999999999E-2</v>
      </c>
      <c r="AQ37" s="76">
        <f t="shared" si="4"/>
        <v>1.04E-2</v>
      </c>
      <c r="AS37" s="213"/>
      <c r="AT37" s="77">
        <v>26</v>
      </c>
      <c r="AU37" s="213"/>
      <c r="AV37" s="78">
        <f t="shared" si="16"/>
        <v>5.1999999999999993</v>
      </c>
      <c r="AW37" s="213"/>
      <c r="AX37" s="78">
        <f t="shared" si="13"/>
        <v>3.12</v>
      </c>
      <c r="AY37" s="213"/>
      <c r="AZ37" s="78">
        <f t="shared" si="14"/>
        <v>2.08</v>
      </c>
      <c r="BA37" s="213"/>
      <c r="BB37" s="78">
        <f t="shared" si="15"/>
        <v>1.04</v>
      </c>
      <c r="BE37" s="79"/>
      <c r="BF37" s="79"/>
      <c r="BG37" s="79"/>
      <c r="BH37" s="79"/>
    </row>
    <row r="38" spans="1:60" ht="20.100000000000001" customHeight="1" x14ac:dyDescent="0.25">
      <c r="A38" s="74"/>
      <c r="B38" s="74"/>
      <c r="C38" s="74"/>
      <c r="D38" s="74"/>
      <c r="E38" s="74"/>
      <c r="F38" s="74"/>
      <c r="G38" s="74"/>
      <c r="H38" s="74"/>
      <c r="I38" s="74"/>
      <c r="J38" s="74"/>
      <c r="K38" s="74"/>
      <c r="L38" s="74"/>
      <c r="M38" s="74"/>
      <c r="N38" s="74"/>
      <c r="O38" s="74"/>
      <c r="P38" s="74"/>
      <c r="Q38" s="74"/>
      <c r="R38" s="74"/>
      <c r="AM38" s="73">
        <f t="shared" si="0"/>
        <v>27</v>
      </c>
      <c r="AN38" s="76">
        <f t="shared" si="1"/>
        <v>3.9000000000000007E-2</v>
      </c>
      <c r="AO38" s="76">
        <f t="shared" si="2"/>
        <v>2.3399999999999997E-2</v>
      </c>
      <c r="AP38" s="76">
        <f t="shared" si="3"/>
        <v>1.5600000000000004E-2</v>
      </c>
      <c r="AQ38" s="76">
        <f t="shared" si="4"/>
        <v>7.8000000000000022E-3</v>
      </c>
      <c r="AS38" s="213"/>
      <c r="AT38" s="77">
        <v>27</v>
      </c>
      <c r="AU38" s="213"/>
      <c r="AV38" s="78">
        <f t="shared" si="16"/>
        <v>3.9000000000000004</v>
      </c>
      <c r="AW38" s="213"/>
      <c r="AX38" s="78">
        <f t="shared" si="13"/>
        <v>2.34</v>
      </c>
      <c r="AY38" s="213"/>
      <c r="AZ38" s="78">
        <f t="shared" si="14"/>
        <v>1.5600000000000005</v>
      </c>
      <c r="BA38" s="213"/>
      <c r="BB38" s="78">
        <f t="shared" si="15"/>
        <v>0.78000000000000025</v>
      </c>
      <c r="BE38" s="79"/>
      <c r="BF38" s="79"/>
      <c r="BG38" s="79"/>
      <c r="BH38" s="79"/>
    </row>
    <row r="39" spans="1:60" ht="20.100000000000001" customHeight="1" x14ac:dyDescent="0.25">
      <c r="A39" s="74"/>
      <c r="B39" s="74"/>
      <c r="C39" s="74"/>
      <c r="D39" s="74"/>
      <c r="E39" s="74"/>
      <c r="F39" s="74"/>
      <c r="G39" s="74"/>
      <c r="H39" s="74"/>
      <c r="I39" s="74"/>
      <c r="J39" s="74"/>
      <c r="K39" s="74"/>
      <c r="L39" s="74"/>
      <c r="M39" s="74"/>
      <c r="N39" s="74"/>
      <c r="O39" s="74"/>
      <c r="P39" s="74"/>
      <c r="Q39" s="74"/>
      <c r="R39" s="74"/>
      <c r="AM39" s="73">
        <f t="shared" si="0"/>
        <v>28</v>
      </c>
      <c r="AN39" s="76">
        <f t="shared" si="1"/>
        <v>2.5999999999999995E-2</v>
      </c>
      <c r="AO39" s="76">
        <f t="shared" si="2"/>
        <v>1.5599999999999996E-2</v>
      </c>
      <c r="AP39" s="76">
        <f t="shared" si="3"/>
        <v>1.04E-2</v>
      </c>
      <c r="AQ39" s="76">
        <f t="shared" si="4"/>
        <v>5.1999999999999998E-3</v>
      </c>
      <c r="AS39" s="213"/>
      <c r="AT39" s="77">
        <v>28</v>
      </c>
      <c r="AU39" s="213"/>
      <c r="AV39" s="78">
        <f t="shared" si="16"/>
        <v>2.5999999999999996</v>
      </c>
      <c r="AW39" s="213"/>
      <c r="AX39" s="78">
        <f t="shared" si="13"/>
        <v>1.5599999999999996</v>
      </c>
      <c r="AY39" s="213"/>
      <c r="AZ39" s="78">
        <f t="shared" si="14"/>
        <v>1.04</v>
      </c>
      <c r="BA39" s="213"/>
      <c r="BB39" s="78">
        <f t="shared" si="15"/>
        <v>0.52</v>
      </c>
      <c r="BE39" s="79"/>
      <c r="BF39" s="79"/>
      <c r="BG39" s="79"/>
      <c r="BH39" s="79"/>
    </row>
    <row r="40" spans="1:60" ht="20.100000000000001" customHeight="1" x14ac:dyDescent="0.25">
      <c r="A40" s="74"/>
      <c r="B40" s="74"/>
      <c r="C40" s="74"/>
      <c r="D40" s="74"/>
      <c r="E40" s="74"/>
      <c r="F40" s="74"/>
      <c r="G40" s="74"/>
      <c r="H40" s="74"/>
      <c r="I40" s="74"/>
      <c r="J40" s="74"/>
      <c r="K40" s="74"/>
      <c r="L40" s="74"/>
      <c r="M40" s="74"/>
      <c r="N40" s="74"/>
      <c r="O40" s="74"/>
      <c r="P40" s="74"/>
      <c r="Q40" s="74"/>
      <c r="R40" s="74"/>
      <c r="AM40" s="73">
        <f t="shared" si="0"/>
        <v>29</v>
      </c>
      <c r="AN40" s="76">
        <f t="shared" si="1"/>
        <v>1.2999999999999989E-2</v>
      </c>
      <c r="AO40" s="76">
        <f t="shared" si="2"/>
        <v>7.7999999999999936E-3</v>
      </c>
      <c r="AP40" s="76">
        <f t="shared" si="3"/>
        <v>5.1999999999999954E-3</v>
      </c>
      <c r="AQ40" s="76">
        <f t="shared" si="4"/>
        <v>2.5999999999999977E-3</v>
      </c>
      <c r="AS40" s="213"/>
      <c r="AT40" s="77">
        <v>29</v>
      </c>
      <c r="AU40" s="213"/>
      <c r="AV40" s="78">
        <f t="shared" si="16"/>
        <v>1.2999999999999989</v>
      </c>
      <c r="AW40" s="213"/>
      <c r="AX40" s="78">
        <f t="shared" si="13"/>
        <v>0.77999999999999936</v>
      </c>
      <c r="AY40" s="213"/>
      <c r="AZ40" s="78">
        <f t="shared" si="14"/>
        <v>0.51999999999999957</v>
      </c>
      <c r="BA40" s="213"/>
      <c r="BB40" s="78">
        <f t="shared" si="15"/>
        <v>0.25999999999999979</v>
      </c>
      <c r="BE40" s="79"/>
      <c r="BF40" s="79"/>
      <c r="BG40" s="79"/>
      <c r="BH40" s="79"/>
    </row>
    <row r="41" spans="1:60" ht="20.100000000000001" customHeight="1" x14ac:dyDescent="0.25">
      <c r="A41" s="74"/>
      <c r="B41" s="74"/>
      <c r="C41" s="74"/>
      <c r="D41" s="74"/>
      <c r="E41" s="74"/>
      <c r="F41" s="74"/>
      <c r="G41" s="74"/>
      <c r="H41" s="74"/>
      <c r="I41" s="74"/>
      <c r="J41" s="74"/>
      <c r="K41" s="74"/>
      <c r="L41" s="74"/>
      <c r="M41" s="74"/>
      <c r="N41" s="74"/>
      <c r="O41" s="74"/>
      <c r="P41" s="74"/>
      <c r="Q41" s="74"/>
      <c r="R41" s="74"/>
      <c r="AM41" s="73">
        <f t="shared" si="0"/>
        <v>30</v>
      </c>
      <c r="AN41" s="76">
        <f t="shared" si="1"/>
        <v>0</v>
      </c>
      <c r="AO41" s="76">
        <f t="shared" si="2"/>
        <v>0</v>
      </c>
      <c r="AP41" s="76">
        <f t="shared" si="3"/>
        <v>0</v>
      </c>
      <c r="AQ41" s="76">
        <f t="shared" si="4"/>
        <v>0</v>
      </c>
      <c r="AS41" s="213"/>
      <c r="AT41" s="77">
        <v>30</v>
      </c>
      <c r="AU41" s="213"/>
      <c r="AV41" s="78">
        <f t="shared" si="16"/>
        <v>0</v>
      </c>
      <c r="AW41" s="213"/>
      <c r="AX41" s="78">
        <f t="shared" si="13"/>
        <v>0</v>
      </c>
      <c r="AY41" s="213"/>
      <c r="AZ41" s="78">
        <f t="shared" si="14"/>
        <v>0</v>
      </c>
      <c r="BA41" s="213"/>
      <c r="BB41" s="78">
        <f t="shared" si="15"/>
        <v>0</v>
      </c>
      <c r="BE41" s="79"/>
      <c r="BF41" s="79"/>
      <c r="BG41" s="79"/>
      <c r="BH41" s="79"/>
    </row>
    <row r="42" spans="1:60" ht="20.100000000000001" customHeight="1" x14ac:dyDescent="0.25">
      <c r="A42" s="74"/>
      <c r="B42" s="74"/>
      <c r="C42" s="74"/>
      <c r="D42" s="74"/>
      <c r="E42" s="74"/>
      <c r="F42" s="74"/>
      <c r="G42" s="74"/>
      <c r="H42" s="74"/>
      <c r="I42" s="74"/>
      <c r="J42" s="74"/>
      <c r="K42" s="74"/>
      <c r="L42" s="74"/>
      <c r="M42" s="74"/>
      <c r="N42" s="74"/>
      <c r="O42" s="74"/>
      <c r="P42" s="74"/>
      <c r="Q42" s="74"/>
      <c r="R42" s="74"/>
      <c r="AM42" s="73">
        <f t="shared" ref="AM42:AM81" si="17">AM41+1</f>
        <v>31</v>
      </c>
      <c r="AN42" s="76">
        <f t="shared" ref="AN42:AN81" si="18">$AN$41</f>
        <v>0</v>
      </c>
      <c r="AO42" s="76">
        <f t="shared" ref="AO42:AO81" si="19">$AO$41</f>
        <v>0</v>
      </c>
      <c r="AP42" s="76">
        <f t="shared" ref="AP42:AP81" si="20">$AP$41</f>
        <v>0</v>
      </c>
      <c r="AQ42" s="76">
        <f t="shared" ref="AQ42:AQ81" si="21">$AQ$41</f>
        <v>0</v>
      </c>
    </row>
    <row r="43" spans="1:60" ht="20.100000000000001" customHeight="1" x14ac:dyDescent="0.25">
      <c r="A43" s="74"/>
      <c r="B43" s="74"/>
      <c r="C43" s="74"/>
      <c r="D43" s="74"/>
      <c r="E43" s="74"/>
      <c r="F43" s="74"/>
      <c r="G43" s="74"/>
      <c r="H43" s="74"/>
      <c r="I43" s="74"/>
      <c r="J43" s="74"/>
      <c r="K43" s="74"/>
      <c r="L43" s="74"/>
      <c r="M43" s="74"/>
      <c r="N43" s="74"/>
      <c r="O43" s="74"/>
      <c r="P43" s="74"/>
      <c r="Q43" s="74"/>
      <c r="R43" s="74"/>
      <c r="AM43" s="73">
        <f t="shared" si="17"/>
        <v>32</v>
      </c>
      <c r="AN43" s="76">
        <f t="shared" si="18"/>
        <v>0</v>
      </c>
      <c r="AO43" s="76">
        <f t="shared" si="19"/>
        <v>0</v>
      </c>
      <c r="AP43" s="76">
        <f t="shared" si="20"/>
        <v>0</v>
      </c>
      <c r="AQ43" s="76">
        <f t="shared" si="21"/>
        <v>0</v>
      </c>
    </row>
    <row r="44" spans="1:60" ht="20.100000000000001" customHeight="1" x14ac:dyDescent="0.25">
      <c r="A44" s="74"/>
      <c r="B44" s="74"/>
      <c r="C44" s="74"/>
      <c r="D44" s="74"/>
      <c r="E44" s="74"/>
      <c r="F44" s="74"/>
      <c r="G44" s="74"/>
      <c r="H44" s="74"/>
      <c r="I44" s="74"/>
      <c r="J44" s="74"/>
      <c r="K44" s="74"/>
      <c r="L44" s="74"/>
      <c r="M44" s="74"/>
      <c r="N44" s="74"/>
      <c r="O44" s="74"/>
      <c r="P44" s="74"/>
      <c r="Q44" s="74"/>
      <c r="R44" s="74"/>
      <c r="AM44" s="73">
        <f t="shared" si="17"/>
        <v>33</v>
      </c>
      <c r="AN44" s="76">
        <f t="shared" si="18"/>
        <v>0</v>
      </c>
      <c r="AO44" s="76">
        <f t="shared" si="19"/>
        <v>0</v>
      </c>
      <c r="AP44" s="76">
        <f t="shared" si="20"/>
        <v>0</v>
      </c>
      <c r="AQ44" s="76">
        <f t="shared" si="21"/>
        <v>0</v>
      </c>
    </row>
    <row r="45" spans="1:60" ht="20.100000000000001" customHeight="1" x14ac:dyDescent="0.25">
      <c r="AM45" s="73">
        <f t="shared" si="17"/>
        <v>34</v>
      </c>
      <c r="AN45" s="76">
        <f t="shared" si="18"/>
        <v>0</v>
      </c>
      <c r="AO45" s="76">
        <f t="shared" si="19"/>
        <v>0</v>
      </c>
      <c r="AP45" s="76">
        <f t="shared" si="20"/>
        <v>0</v>
      </c>
      <c r="AQ45" s="76">
        <f t="shared" si="21"/>
        <v>0</v>
      </c>
    </row>
    <row r="46" spans="1:60" ht="20.100000000000001" customHeight="1" x14ac:dyDescent="0.25">
      <c r="AM46" s="73">
        <f t="shared" si="17"/>
        <v>35</v>
      </c>
      <c r="AN46" s="76">
        <f t="shared" si="18"/>
        <v>0</v>
      </c>
      <c r="AO46" s="76">
        <f t="shared" si="19"/>
        <v>0</v>
      </c>
      <c r="AP46" s="76">
        <f t="shared" si="20"/>
        <v>0</v>
      </c>
      <c r="AQ46" s="76">
        <f t="shared" si="21"/>
        <v>0</v>
      </c>
    </row>
    <row r="47" spans="1:60" ht="20.100000000000001" customHeight="1" x14ac:dyDescent="0.25">
      <c r="AM47" s="73">
        <f t="shared" si="17"/>
        <v>36</v>
      </c>
      <c r="AN47" s="76">
        <f t="shared" si="18"/>
        <v>0</v>
      </c>
      <c r="AO47" s="76">
        <f t="shared" si="19"/>
        <v>0</v>
      </c>
      <c r="AP47" s="76">
        <f t="shared" si="20"/>
        <v>0</v>
      </c>
      <c r="AQ47" s="76">
        <f t="shared" si="21"/>
        <v>0</v>
      </c>
    </row>
    <row r="48" spans="1:60" ht="20.100000000000001" customHeight="1" x14ac:dyDescent="0.25">
      <c r="AM48" s="73">
        <f t="shared" si="17"/>
        <v>37</v>
      </c>
      <c r="AN48" s="76">
        <f t="shared" si="18"/>
        <v>0</v>
      </c>
      <c r="AO48" s="76">
        <f t="shared" si="19"/>
        <v>0</v>
      </c>
      <c r="AP48" s="76">
        <f t="shared" si="20"/>
        <v>0</v>
      </c>
      <c r="AQ48" s="76">
        <f t="shared" si="21"/>
        <v>0</v>
      </c>
    </row>
    <row r="49" spans="39:43" ht="20.100000000000001" customHeight="1" x14ac:dyDescent="0.25">
      <c r="AM49" s="73">
        <f t="shared" si="17"/>
        <v>38</v>
      </c>
      <c r="AN49" s="76">
        <f t="shared" si="18"/>
        <v>0</v>
      </c>
      <c r="AO49" s="76">
        <f t="shared" si="19"/>
        <v>0</v>
      </c>
      <c r="AP49" s="76">
        <f t="shared" si="20"/>
        <v>0</v>
      </c>
      <c r="AQ49" s="76">
        <f t="shared" si="21"/>
        <v>0</v>
      </c>
    </row>
    <row r="50" spans="39:43" ht="20.100000000000001" customHeight="1" x14ac:dyDescent="0.25">
      <c r="AM50" s="73">
        <f t="shared" si="17"/>
        <v>39</v>
      </c>
      <c r="AN50" s="76">
        <f t="shared" si="18"/>
        <v>0</v>
      </c>
      <c r="AO50" s="76">
        <f t="shared" si="19"/>
        <v>0</v>
      </c>
      <c r="AP50" s="76">
        <f t="shared" si="20"/>
        <v>0</v>
      </c>
      <c r="AQ50" s="76">
        <f t="shared" si="21"/>
        <v>0</v>
      </c>
    </row>
    <row r="51" spans="39:43" ht="20.100000000000001" customHeight="1" x14ac:dyDescent="0.25">
      <c r="AM51" s="73">
        <f t="shared" si="17"/>
        <v>40</v>
      </c>
      <c r="AN51" s="76">
        <f t="shared" si="18"/>
        <v>0</v>
      </c>
      <c r="AO51" s="76">
        <f t="shared" si="19"/>
        <v>0</v>
      </c>
      <c r="AP51" s="76">
        <f t="shared" si="20"/>
        <v>0</v>
      </c>
      <c r="AQ51" s="76">
        <f t="shared" si="21"/>
        <v>0</v>
      </c>
    </row>
    <row r="52" spans="39:43" ht="20.100000000000001" customHeight="1" x14ac:dyDescent="0.25">
      <c r="AM52" s="73">
        <f t="shared" si="17"/>
        <v>41</v>
      </c>
      <c r="AN52" s="76">
        <f t="shared" si="18"/>
        <v>0</v>
      </c>
      <c r="AO52" s="76">
        <f t="shared" si="19"/>
        <v>0</v>
      </c>
      <c r="AP52" s="76">
        <f t="shared" si="20"/>
        <v>0</v>
      </c>
      <c r="AQ52" s="76">
        <f t="shared" si="21"/>
        <v>0</v>
      </c>
    </row>
    <row r="53" spans="39:43" ht="20.100000000000001" customHeight="1" x14ac:dyDescent="0.25">
      <c r="AM53" s="73">
        <f t="shared" si="17"/>
        <v>42</v>
      </c>
      <c r="AN53" s="76">
        <f t="shared" si="18"/>
        <v>0</v>
      </c>
      <c r="AO53" s="76">
        <f t="shared" si="19"/>
        <v>0</v>
      </c>
      <c r="AP53" s="76">
        <f t="shared" si="20"/>
        <v>0</v>
      </c>
      <c r="AQ53" s="76">
        <f t="shared" si="21"/>
        <v>0</v>
      </c>
    </row>
    <row r="54" spans="39:43" ht="20.100000000000001" customHeight="1" x14ac:dyDescent="0.25">
      <c r="AM54" s="73">
        <f t="shared" si="17"/>
        <v>43</v>
      </c>
      <c r="AN54" s="76">
        <f t="shared" si="18"/>
        <v>0</v>
      </c>
      <c r="AO54" s="76">
        <f t="shared" si="19"/>
        <v>0</v>
      </c>
      <c r="AP54" s="76">
        <f t="shared" si="20"/>
        <v>0</v>
      </c>
      <c r="AQ54" s="76">
        <f t="shared" si="21"/>
        <v>0</v>
      </c>
    </row>
    <row r="55" spans="39:43" ht="20.100000000000001" customHeight="1" x14ac:dyDescent="0.25">
      <c r="AM55" s="73">
        <f t="shared" si="17"/>
        <v>44</v>
      </c>
      <c r="AN55" s="76">
        <f t="shared" si="18"/>
        <v>0</v>
      </c>
      <c r="AO55" s="76">
        <f t="shared" si="19"/>
        <v>0</v>
      </c>
      <c r="AP55" s="76">
        <f t="shared" si="20"/>
        <v>0</v>
      </c>
      <c r="AQ55" s="76">
        <f t="shared" si="21"/>
        <v>0</v>
      </c>
    </row>
    <row r="56" spans="39:43" ht="20.100000000000001" customHeight="1" x14ac:dyDescent="0.25">
      <c r="AM56" s="73">
        <f t="shared" si="17"/>
        <v>45</v>
      </c>
      <c r="AN56" s="76">
        <f t="shared" si="18"/>
        <v>0</v>
      </c>
      <c r="AO56" s="76">
        <f t="shared" si="19"/>
        <v>0</v>
      </c>
      <c r="AP56" s="76">
        <f t="shared" si="20"/>
        <v>0</v>
      </c>
      <c r="AQ56" s="76">
        <f t="shared" si="21"/>
        <v>0</v>
      </c>
    </row>
    <row r="57" spans="39:43" ht="20.100000000000001" customHeight="1" x14ac:dyDescent="0.25">
      <c r="AM57" s="73">
        <f t="shared" si="17"/>
        <v>46</v>
      </c>
      <c r="AN57" s="76">
        <f t="shared" si="18"/>
        <v>0</v>
      </c>
      <c r="AO57" s="76">
        <f t="shared" si="19"/>
        <v>0</v>
      </c>
      <c r="AP57" s="76">
        <f t="shared" si="20"/>
        <v>0</v>
      </c>
      <c r="AQ57" s="76">
        <f t="shared" si="21"/>
        <v>0</v>
      </c>
    </row>
    <row r="58" spans="39:43" ht="20.100000000000001" customHeight="1" x14ac:dyDescent="0.25">
      <c r="AM58" s="73">
        <f t="shared" si="17"/>
        <v>47</v>
      </c>
      <c r="AN58" s="76">
        <f t="shared" si="18"/>
        <v>0</v>
      </c>
      <c r="AO58" s="76">
        <f t="shared" si="19"/>
        <v>0</v>
      </c>
      <c r="AP58" s="76">
        <f t="shared" si="20"/>
        <v>0</v>
      </c>
      <c r="AQ58" s="76">
        <f t="shared" si="21"/>
        <v>0</v>
      </c>
    </row>
    <row r="59" spans="39:43" ht="20.100000000000001" customHeight="1" x14ac:dyDescent="0.25">
      <c r="AM59" s="73">
        <f t="shared" si="17"/>
        <v>48</v>
      </c>
      <c r="AN59" s="76">
        <f t="shared" si="18"/>
        <v>0</v>
      </c>
      <c r="AO59" s="76">
        <f t="shared" si="19"/>
        <v>0</v>
      </c>
      <c r="AP59" s="76">
        <f t="shared" si="20"/>
        <v>0</v>
      </c>
      <c r="AQ59" s="76">
        <f t="shared" si="21"/>
        <v>0</v>
      </c>
    </row>
    <row r="60" spans="39:43" ht="20.100000000000001" customHeight="1" x14ac:dyDescent="0.25">
      <c r="AM60" s="73">
        <f t="shared" si="17"/>
        <v>49</v>
      </c>
      <c r="AN60" s="76">
        <f t="shared" si="18"/>
        <v>0</v>
      </c>
      <c r="AO60" s="76">
        <f t="shared" si="19"/>
        <v>0</v>
      </c>
      <c r="AP60" s="76">
        <f t="shared" si="20"/>
        <v>0</v>
      </c>
      <c r="AQ60" s="76">
        <f t="shared" si="21"/>
        <v>0</v>
      </c>
    </row>
    <row r="61" spans="39:43" ht="20.100000000000001" customHeight="1" x14ac:dyDescent="0.25">
      <c r="AM61" s="73">
        <f t="shared" si="17"/>
        <v>50</v>
      </c>
      <c r="AN61" s="76">
        <f t="shared" si="18"/>
        <v>0</v>
      </c>
      <c r="AO61" s="76">
        <f t="shared" si="19"/>
        <v>0</v>
      </c>
      <c r="AP61" s="76">
        <f t="shared" si="20"/>
        <v>0</v>
      </c>
      <c r="AQ61" s="76">
        <f t="shared" si="21"/>
        <v>0</v>
      </c>
    </row>
    <row r="62" spans="39:43" ht="20.100000000000001" customHeight="1" x14ac:dyDescent="0.25">
      <c r="AM62" s="73">
        <f t="shared" si="17"/>
        <v>51</v>
      </c>
      <c r="AN62" s="76">
        <f t="shared" si="18"/>
        <v>0</v>
      </c>
      <c r="AO62" s="76">
        <f t="shared" si="19"/>
        <v>0</v>
      </c>
      <c r="AP62" s="76">
        <f t="shared" si="20"/>
        <v>0</v>
      </c>
      <c r="AQ62" s="76">
        <f t="shared" si="21"/>
        <v>0</v>
      </c>
    </row>
    <row r="63" spans="39:43" ht="20.100000000000001" customHeight="1" x14ac:dyDescent="0.25">
      <c r="AM63" s="73">
        <f t="shared" si="17"/>
        <v>52</v>
      </c>
      <c r="AN63" s="76">
        <f t="shared" si="18"/>
        <v>0</v>
      </c>
      <c r="AO63" s="76">
        <f t="shared" si="19"/>
        <v>0</v>
      </c>
      <c r="AP63" s="76">
        <f t="shared" si="20"/>
        <v>0</v>
      </c>
      <c r="AQ63" s="76">
        <f t="shared" si="21"/>
        <v>0</v>
      </c>
    </row>
    <row r="64" spans="39:43" ht="20.100000000000001" customHeight="1" x14ac:dyDescent="0.25">
      <c r="AM64" s="73">
        <f t="shared" si="17"/>
        <v>53</v>
      </c>
      <c r="AN64" s="76">
        <f t="shared" si="18"/>
        <v>0</v>
      </c>
      <c r="AO64" s="76">
        <f t="shared" si="19"/>
        <v>0</v>
      </c>
      <c r="AP64" s="76">
        <f t="shared" si="20"/>
        <v>0</v>
      </c>
      <c r="AQ64" s="76">
        <f t="shared" si="21"/>
        <v>0</v>
      </c>
    </row>
    <row r="65" spans="39:43" ht="20.100000000000001" customHeight="1" x14ac:dyDescent="0.25">
      <c r="AM65" s="73">
        <f t="shared" si="17"/>
        <v>54</v>
      </c>
      <c r="AN65" s="76">
        <f t="shared" si="18"/>
        <v>0</v>
      </c>
      <c r="AO65" s="76">
        <f t="shared" si="19"/>
        <v>0</v>
      </c>
      <c r="AP65" s="76">
        <f t="shared" si="20"/>
        <v>0</v>
      </c>
      <c r="AQ65" s="76">
        <f t="shared" si="21"/>
        <v>0</v>
      </c>
    </row>
    <row r="66" spans="39:43" ht="20.100000000000001" customHeight="1" x14ac:dyDescent="0.25">
      <c r="AM66" s="73">
        <f t="shared" si="17"/>
        <v>55</v>
      </c>
      <c r="AN66" s="76">
        <f t="shared" si="18"/>
        <v>0</v>
      </c>
      <c r="AO66" s="76">
        <f t="shared" si="19"/>
        <v>0</v>
      </c>
      <c r="AP66" s="76">
        <f t="shared" si="20"/>
        <v>0</v>
      </c>
      <c r="AQ66" s="76">
        <f t="shared" si="21"/>
        <v>0</v>
      </c>
    </row>
    <row r="67" spans="39:43" ht="20.100000000000001" customHeight="1" x14ac:dyDescent="0.25">
      <c r="AM67" s="73">
        <f t="shared" si="17"/>
        <v>56</v>
      </c>
      <c r="AN67" s="76">
        <f t="shared" si="18"/>
        <v>0</v>
      </c>
      <c r="AO67" s="76">
        <f t="shared" si="19"/>
        <v>0</v>
      </c>
      <c r="AP67" s="76">
        <f t="shared" si="20"/>
        <v>0</v>
      </c>
      <c r="AQ67" s="76">
        <f t="shared" si="21"/>
        <v>0</v>
      </c>
    </row>
    <row r="68" spans="39:43" ht="20.100000000000001" customHeight="1" x14ac:dyDescent="0.25">
      <c r="AM68" s="73">
        <f t="shared" si="17"/>
        <v>57</v>
      </c>
      <c r="AN68" s="76">
        <f t="shared" si="18"/>
        <v>0</v>
      </c>
      <c r="AO68" s="76">
        <f t="shared" si="19"/>
        <v>0</v>
      </c>
      <c r="AP68" s="76">
        <f t="shared" si="20"/>
        <v>0</v>
      </c>
      <c r="AQ68" s="76">
        <f t="shared" si="21"/>
        <v>0</v>
      </c>
    </row>
    <row r="69" spans="39:43" ht="20.100000000000001" customHeight="1" x14ac:dyDescent="0.25">
      <c r="AM69" s="73">
        <f t="shared" si="17"/>
        <v>58</v>
      </c>
      <c r="AN69" s="76">
        <f t="shared" si="18"/>
        <v>0</v>
      </c>
      <c r="AO69" s="76">
        <f t="shared" si="19"/>
        <v>0</v>
      </c>
      <c r="AP69" s="76">
        <f t="shared" si="20"/>
        <v>0</v>
      </c>
      <c r="AQ69" s="76">
        <f t="shared" si="21"/>
        <v>0</v>
      </c>
    </row>
    <row r="70" spans="39:43" ht="20.100000000000001" customHeight="1" x14ac:dyDescent="0.25">
      <c r="AM70" s="73">
        <f t="shared" si="17"/>
        <v>59</v>
      </c>
      <c r="AN70" s="76">
        <f t="shared" si="18"/>
        <v>0</v>
      </c>
      <c r="AO70" s="76">
        <f t="shared" si="19"/>
        <v>0</v>
      </c>
      <c r="AP70" s="76">
        <f t="shared" si="20"/>
        <v>0</v>
      </c>
      <c r="AQ70" s="76">
        <f t="shared" si="21"/>
        <v>0</v>
      </c>
    </row>
    <row r="71" spans="39:43" ht="20.100000000000001" customHeight="1" x14ac:dyDescent="0.25">
      <c r="AM71" s="73">
        <f t="shared" si="17"/>
        <v>60</v>
      </c>
      <c r="AN71" s="76">
        <f t="shared" si="18"/>
        <v>0</v>
      </c>
      <c r="AO71" s="76">
        <f t="shared" si="19"/>
        <v>0</v>
      </c>
      <c r="AP71" s="76">
        <f t="shared" si="20"/>
        <v>0</v>
      </c>
      <c r="AQ71" s="76">
        <f t="shared" si="21"/>
        <v>0</v>
      </c>
    </row>
    <row r="72" spans="39:43" ht="20.100000000000001" customHeight="1" x14ac:dyDescent="0.25">
      <c r="AM72" s="73">
        <f t="shared" si="17"/>
        <v>61</v>
      </c>
      <c r="AN72" s="76">
        <f t="shared" si="18"/>
        <v>0</v>
      </c>
      <c r="AO72" s="76">
        <f t="shared" si="19"/>
        <v>0</v>
      </c>
      <c r="AP72" s="76">
        <f t="shared" si="20"/>
        <v>0</v>
      </c>
      <c r="AQ72" s="76">
        <f t="shared" si="21"/>
        <v>0</v>
      </c>
    </row>
    <row r="73" spans="39:43" ht="20.100000000000001" customHeight="1" x14ac:dyDescent="0.25">
      <c r="AM73" s="73">
        <f t="shared" si="17"/>
        <v>62</v>
      </c>
      <c r="AN73" s="76">
        <f t="shared" si="18"/>
        <v>0</v>
      </c>
      <c r="AO73" s="76">
        <f t="shared" si="19"/>
        <v>0</v>
      </c>
      <c r="AP73" s="76">
        <f t="shared" si="20"/>
        <v>0</v>
      </c>
      <c r="AQ73" s="76">
        <f t="shared" si="21"/>
        <v>0</v>
      </c>
    </row>
    <row r="74" spans="39:43" ht="20.100000000000001" customHeight="1" x14ac:dyDescent="0.25">
      <c r="AM74" s="73">
        <f t="shared" si="17"/>
        <v>63</v>
      </c>
      <c r="AN74" s="76">
        <f t="shared" si="18"/>
        <v>0</v>
      </c>
      <c r="AO74" s="76">
        <f t="shared" si="19"/>
        <v>0</v>
      </c>
      <c r="AP74" s="76">
        <f t="shared" si="20"/>
        <v>0</v>
      </c>
      <c r="AQ74" s="76">
        <f t="shared" si="21"/>
        <v>0</v>
      </c>
    </row>
    <row r="75" spans="39:43" ht="20.100000000000001" customHeight="1" x14ac:dyDescent="0.25">
      <c r="AM75" s="73">
        <f t="shared" si="17"/>
        <v>64</v>
      </c>
      <c r="AN75" s="76">
        <f t="shared" si="18"/>
        <v>0</v>
      </c>
      <c r="AO75" s="76">
        <f t="shared" si="19"/>
        <v>0</v>
      </c>
      <c r="AP75" s="76">
        <f t="shared" si="20"/>
        <v>0</v>
      </c>
      <c r="AQ75" s="76">
        <f t="shared" si="21"/>
        <v>0</v>
      </c>
    </row>
    <row r="76" spans="39:43" ht="20.100000000000001" customHeight="1" x14ac:dyDescent="0.25">
      <c r="AM76" s="73">
        <f t="shared" si="17"/>
        <v>65</v>
      </c>
      <c r="AN76" s="76">
        <f t="shared" si="18"/>
        <v>0</v>
      </c>
      <c r="AO76" s="76">
        <f t="shared" si="19"/>
        <v>0</v>
      </c>
      <c r="AP76" s="76">
        <f t="shared" si="20"/>
        <v>0</v>
      </c>
      <c r="AQ76" s="76">
        <f t="shared" si="21"/>
        <v>0</v>
      </c>
    </row>
    <row r="77" spans="39:43" ht="20.100000000000001" customHeight="1" x14ac:dyDescent="0.25">
      <c r="AM77" s="73">
        <f t="shared" si="17"/>
        <v>66</v>
      </c>
      <c r="AN77" s="76">
        <f t="shared" si="18"/>
        <v>0</v>
      </c>
      <c r="AO77" s="76">
        <f t="shared" si="19"/>
        <v>0</v>
      </c>
      <c r="AP77" s="76">
        <f t="shared" si="20"/>
        <v>0</v>
      </c>
      <c r="AQ77" s="76">
        <f t="shared" si="21"/>
        <v>0</v>
      </c>
    </row>
    <row r="78" spans="39:43" ht="20.100000000000001" customHeight="1" x14ac:dyDescent="0.25">
      <c r="AM78" s="73">
        <f t="shared" si="17"/>
        <v>67</v>
      </c>
      <c r="AN78" s="76">
        <f t="shared" si="18"/>
        <v>0</v>
      </c>
      <c r="AO78" s="76">
        <f t="shared" si="19"/>
        <v>0</v>
      </c>
      <c r="AP78" s="76">
        <f t="shared" si="20"/>
        <v>0</v>
      </c>
      <c r="AQ78" s="76">
        <f t="shared" si="21"/>
        <v>0</v>
      </c>
    </row>
    <row r="79" spans="39:43" ht="20.100000000000001" customHeight="1" x14ac:dyDescent="0.25">
      <c r="AM79" s="73">
        <f t="shared" si="17"/>
        <v>68</v>
      </c>
      <c r="AN79" s="76">
        <f t="shared" si="18"/>
        <v>0</v>
      </c>
      <c r="AO79" s="76">
        <f t="shared" si="19"/>
        <v>0</v>
      </c>
      <c r="AP79" s="76">
        <f t="shared" si="20"/>
        <v>0</v>
      </c>
      <c r="AQ79" s="76">
        <f t="shared" si="21"/>
        <v>0</v>
      </c>
    </row>
    <row r="80" spans="39:43" ht="20.100000000000001" customHeight="1" x14ac:dyDescent="0.25">
      <c r="AM80" s="73">
        <f t="shared" si="17"/>
        <v>69</v>
      </c>
      <c r="AN80" s="76">
        <f t="shared" si="18"/>
        <v>0</v>
      </c>
      <c r="AO80" s="76">
        <f t="shared" si="19"/>
        <v>0</v>
      </c>
      <c r="AP80" s="76">
        <f t="shared" si="20"/>
        <v>0</v>
      </c>
      <c r="AQ80" s="76">
        <f t="shared" si="21"/>
        <v>0</v>
      </c>
    </row>
    <row r="81" spans="39:43" ht="20.100000000000001" customHeight="1" x14ac:dyDescent="0.25">
      <c r="AM81" s="73">
        <f t="shared" si="17"/>
        <v>70</v>
      </c>
      <c r="AN81" s="76">
        <f t="shared" si="18"/>
        <v>0</v>
      </c>
      <c r="AO81" s="76">
        <f t="shared" si="19"/>
        <v>0</v>
      </c>
      <c r="AP81" s="76">
        <f t="shared" si="20"/>
        <v>0</v>
      </c>
      <c r="AQ81" s="76">
        <f t="shared" si="21"/>
        <v>0</v>
      </c>
    </row>
  </sheetData>
  <mergeCells count="53">
    <mergeCell ref="A1:R1"/>
    <mergeCell ref="A3:R4"/>
    <mergeCell ref="A5:R5"/>
    <mergeCell ref="A6:D6"/>
    <mergeCell ref="E6:F6"/>
    <mergeCell ref="G6:J6"/>
    <mergeCell ref="K6:N6"/>
    <mergeCell ref="O6:R6"/>
    <mergeCell ref="O7:P8"/>
    <mergeCell ref="Q7:R8"/>
    <mergeCell ref="AM8:AN8"/>
    <mergeCell ref="A9:D10"/>
    <mergeCell ref="E9:F10"/>
    <mergeCell ref="G9:H10"/>
    <mergeCell ref="I9:J10"/>
    <mergeCell ref="K9:L10"/>
    <mergeCell ref="M9:N10"/>
    <mergeCell ref="O9:P10"/>
    <mergeCell ref="A7:D8"/>
    <mergeCell ref="E7:F8"/>
    <mergeCell ref="G7:H8"/>
    <mergeCell ref="I7:J8"/>
    <mergeCell ref="K7:L8"/>
    <mergeCell ref="M7:N8"/>
    <mergeCell ref="Q9:R10"/>
    <mergeCell ref="AM9:AN9"/>
    <mergeCell ref="A11:D12"/>
    <mergeCell ref="E11:F12"/>
    <mergeCell ref="G11:H12"/>
    <mergeCell ref="I11:J12"/>
    <mergeCell ref="K11:L12"/>
    <mergeCell ref="M11:N12"/>
    <mergeCell ref="O11:P12"/>
    <mergeCell ref="Q11:R12"/>
    <mergeCell ref="AS11:BB11"/>
    <mergeCell ref="AS12:AS41"/>
    <mergeCell ref="AU12:AU41"/>
    <mergeCell ref="AW12:AW41"/>
    <mergeCell ref="AY12:AY41"/>
    <mergeCell ref="BA12:BA41"/>
    <mergeCell ref="A18:R20"/>
    <mergeCell ref="O13:P14"/>
    <mergeCell ref="Q13:R14"/>
    <mergeCell ref="A15:R15"/>
    <mergeCell ref="A16:R16"/>
    <mergeCell ref="A17:C17"/>
    <mergeCell ref="D17:R17"/>
    <mergeCell ref="A13:D14"/>
    <mergeCell ref="E13:F14"/>
    <mergeCell ref="G13:H14"/>
    <mergeCell ref="I13:J14"/>
    <mergeCell ref="K13:L14"/>
    <mergeCell ref="M13:N1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workbookViewId="0">
      <selection sqref="A1:J1"/>
    </sheetView>
  </sheetViews>
  <sheetFormatPr defaultRowHeight="20.100000000000001" customHeight="1" x14ac:dyDescent="0.25"/>
  <cols>
    <col min="1" max="10" width="10.625" style="6" customWidth="1"/>
    <col min="11" max="16384" width="9" style="4"/>
  </cols>
  <sheetData>
    <row r="1" spans="1:10" ht="20.100000000000001" customHeight="1" thickBot="1" x14ac:dyDescent="0.3">
      <c r="A1" s="248" t="s">
        <v>289</v>
      </c>
      <c r="B1" s="248"/>
      <c r="C1" s="248"/>
      <c r="D1" s="248"/>
      <c r="E1" s="248"/>
      <c r="F1" s="248"/>
      <c r="G1" s="248"/>
      <c r="H1" s="248"/>
      <c r="I1" s="248"/>
      <c r="J1" s="248"/>
    </row>
    <row r="2" spans="1:10" ht="20.100000000000001" customHeight="1" x14ac:dyDescent="0.25">
      <c r="A2" s="5"/>
      <c r="B2" s="1"/>
      <c r="C2" s="1"/>
      <c r="D2" s="1"/>
      <c r="E2" s="1"/>
    </row>
    <row r="3" spans="1:10" ht="20.100000000000001" customHeight="1" x14ac:dyDescent="0.25">
      <c r="A3" s="243" t="s">
        <v>290</v>
      </c>
      <c r="B3" s="243" t="s">
        <v>291</v>
      </c>
      <c r="C3" s="243"/>
      <c r="D3" s="243" t="s">
        <v>292</v>
      </c>
      <c r="E3" s="243"/>
      <c r="F3" s="243"/>
      <c r="G3" s="249" t="s">
        <v>293</v>
      </c>
      <c r="H3" s="250"/>
      <c r="I3" s="243" t="s">
        <v>294</v>
      </c>
      <c r="J3" s="243"/>
    </row>
    <row r="4" spans="1:10" ht="20.100000000000001" customHeight="1" x14ac:dyDescent="0.25">
      <c r="A4" s="243"/>
      <c r="B4" s="243"/>
      <c r="C4" s="243"/>
      <c r="D4" s="243"/>
      <c r="E4" s="243"/>
      <c r="F4" s="243"/>
      <c r="G4" s="251"/>
      <c r="H4" s="252"/>
      <c r="I4" s="243"/>
      <c r="J4" s="243"/>
    </row>
    <row r="5" spans="1:10" ht="20.100000000000001" customHeight="1" x14ac:dyDescent="0.25">
      <c r="A5" s="243"/>
      <c r="B5" s="243"/>
      <c r="C5" s="243"/>
      <c r="D5" s="243"/>
      <c r="E5" s="243"/>
      <c r="F5" s="243"/>
      <c r="G5" s="243" t="s">
        <v>295</v>
      </c>
      <c r="H5" s="243"/>
      <c r="I5" s="243"/>
      <c r="J5" s="243"/>
    </row>
    <row r="6" spans="1:10" ht="20.100000000000001" customHeight="1" x14ac:dyDescent="0.25">
      <c r="A6" s="247" t="s">
        <v>296</v>
      </c>
      <c r="B6" s="243" t="s">
        <v>297</v>
      </c>
      <c r="C6" s="243"/>
      <c r="D6" s="244" t="s">
        <v>298</v>
      </c>
      <c r="E6" s="244"/>
      <c r="F6" s="244"/>
      <c r="G6" s="245">
        <v>5</v>
      </c>
      <c r="H6" s="245"/>
      <c r="I6" s="246">
        <v>0</v>
      </c>
      <c r="J6" s="246"/>
    </row>
    <row r="7" spans="1:10" ht="20.100000000000001" customHeight="1" x14ac:dyDescent="0.25">
      <c r="A7" s="247"/>
      <c r="B7" s="243"/>
      <c r="C7" s="243"/>
      <c r="D7" s="244" t="s">
        <v>299</v>
      </c>
      <c r="E7" s="244"/>
      <c r="F7" s="244"/>
      <c r="G7" s="245">
        <v>10</v>
      </c>
      <c r="H7" s="245"/>
      <c r="I7" s="246">
        <v>0</v>
      </c>
      <c r="J7" s="246"/>
    </row>
    <row r="8" spans="1:10" ht="20.100000000000001" customHeight="1" x14ac:dyDescent="0.25">
      <c r="A8" s="247"/>
      <c r="B8" s="243" t="s">
        <v>300</v>
      </c>
      <c r="C8" s="243"/>
      <c r="D8" s="244" t="s">
        <v>298</v>
      </c>
      <c r="E8" s="244"/>
      <c r="F8" s="244"/>
      <c r="G8" s="245">
        <v>60</v>
      </c>
      <c r="H8" s="245"/>
      <c r="I8" s="246">
        <v>0.2</v>
      </c>
      <c r="J8" s="246"/>
    </row>
    <row r="9" spans="1:10" ht="20.100000000000001" customHeight="1" x14ac:dyDescent="0.25">
      <c r="A9" s="247"/>
      <c r="B9" s="243"/>
      <c r="C9" s="243"/>
      <c r="D9" s="244" t="s">
        <v>301</v>
      </c>
      <c r="E9" s="244"/>
      <c r="F9" s="244"/>
      <c r="G9" s="245">
        <v>60</v>
      </c>
      <c r="H9" s="245"/>
      <c r="I9" s="246">
        <v>0.2</v>
      </c>
      <c r="J9" s="246"/>
    </row>
    <row r="10" spans="1:10" ht="20.100000000000001" customHeight="1" x14ac:dyDescent="0.25">
      <c r="A10" s="247"/>
      <c r="B10" s="243"/>
      <c r="C10" s="243"/>
      <c r="D10" s="244" t="s">
        <v>302</v>
      </c>
      <c r="E10" s="244"/>
      <c r="F10" s="244"/>
      <c r="G10" s="245">
        <v>70</v>
      </c>
      <c r="H10" s="245"/>
      <c r="I10" s="246">
        <v>0.2</v>
      </c>
      <c r="J10" s="246"/>
    </row>
    <row r="11" spans="1:10" ht="20.100000000000001" customHeight="1" x14ac:dyDescent="0.25">
      <c r="A11" s="247"/>
      <c r="B11" s="243"/>
      <c r="C11" s="243"/>
      <c r="D11" s="244" t="s">
        <v>299</v>
      </c>
      <c r="E11" s="244"/>
      <c r="F11" s="244"/>
      <c r="G11" s="245">
        <v>70</v>
      </c>
      <c r="H11" s="245"/>
      <c r="I11" s="246">
        <v>0.2</v>
      </c>
      <c r="J11" s="246"/>
    </row>
    <row r="12" spans="1:10" ht="20.100000000000001" customHeight="1" x14ac:dyDescent="0.25">
      <c r="A12" s="247"/>
      <c r="B12" s="243"/>
      <c r="C12" s="243"/>
      <c r="D12" s="244" t="s">
        <v>303</v>
      </c>
      <c r="E12" s="244"/>
      <c r="F12" s="244"/>
      <c r="G12" s="245">
        <v>70</v>
      </c>
      <c r="H12" s="245"/>
      <c r="I12" s="246">
        <v>0.2</v>
      </c>
      <c r="J12" s="246"/>
    </row>
    <row r="13" spans="1:10" ht="20.100000000000001" customHeight="1" x14ac:dyDescent="0.25">
      <c r="A13" s="247"/>
      <c r="B13" s="243"/>
      <c r="C13" s="243"/>
      <c r="D13" s="244" t="s">
        <v>304</v>
      </c>
      <c r="E13" s="244"/>
      <c r="F13" s="244"/>
      <c r="G13" s="245">
        <v>70</v>
      </c>
      <c r="H13" s="245"/>
      <c r="I13" s="246">
        <v>0.2</v>
      </c>
      <c r="J13" s="246"/>
    </row>
    <row r="14" spans="1:10" ht="20.100000000000001" customHeight="1" x14ac:dyDescent="0.25">
      <c r="A14" s="247"/>
      <c r="B14" s="243"/>
      <c r="C14" s="243"/>
      <c r="D14" s="244" t="s">
        <v>305</v>
      </c>
      <c r="E14" s="244"/>
      <c r="F14" s="244"/>
      <c r="G14" s="245">
        <v>60</v>
      </c>
      <c r="H14" s="245"/>
      <c r="I14" s="246">
        <v>0.2</v>
      </c>
      <c r="J14" s="246"/>
    </row>
    <row r="15" spans="1:10" ht="20.100000000000001" customHeight="1" x14ac:dyDescent="0.25">
      <c r="A15" s="247"/>
      <c r="B15" s="243"/>
      <c r="C15" s="243"/>
      <c r="D15" s="244" t="s">
        <v>306</v>
      </c>
      <c r="E15" s="244"/>
      <c r="F15" s="244"/>
      <c r="G15" s="245">
        <v>60</v>
      </c>
      <c r="H15" s="245"/>
      <c r="I15" s="246">
        <v>0.2</v>
      </c>
      <c r="J15" s="246"/>
    </row>
    <row r="16" spans="1:10" ht="20.100000000000001" customHeight="1" x14ac:dyDescent="0.25">
      <c r="A16" s="247"/>
      <c r="B16" s="243" t="s">
        <v>307</v>
      </c>
      <c r="C16" s="243"/>
      <c r="D16" s="244" t="s">
        <v>302</v>
      </c>
      <c r="E16" s="244"/>
      <c r="F16" s="244"/>
      <c r="G16" s="245">
        <v>60</v>
      </c>
      <c r="H16" s="245"/>
      <c r="I16" s="246">
        <v>0.2</v>
      </c>
      <c r="J16" s="246"/>
    </row>
    <row r="17" spans="1:10" ht="20.100000000000001" customHeight="1" x14ac:dyDescent="0.25">
      <c r="A17" s="247"/>
      <c r="B17" s="243"/>
      <c r="C17" s="243"/>
      <c r="D17" s="244" t="s">
        <v>299</v>
      </c>
      <c r="E17" s="244"/>
      <c r="F17" s="244"/>
      <c r="G17" s="245">
        <v>60</v>
      </c>
      <c r="H17" s="245"/>
      <c r="I17" s="246">
        <v>0.2</v>
      </c>
      <c r="J17" s="246"/>
    </row>
    <row r="18" spans="1:10" ht="20.100000000000001" customHeight="1" x14ac:dyDescent="0.25">
      <c r="A18" s="247"/>
      <c r="B18" s="243"/>
      <c r="C18" s="243"/>
      <c r="D18" s="244" t="s">
        <v>303</v>
      </c>
      <c r="E18" s="244"/>
      <c r="F18" s="244"/>
      <c r="G18" s="245">
        <v>60</v>
      </c>
      <c r="H18" s="245"/>
      <c r="I18" s="246">
        <v>0.2</v>
      </c>
      <c r="J18" s="246"/>
    </row>
    <row r="19" spans="1:10" ht="20.100000000000001" customHeight="1" x14ac:dyDescent="0.25">
      <c r="A19" s="247"/>
      <c r="B19" s="243"/>
      <c r="C19" s="243"/>
      <c r="D19" s="244" t="s">
        <v>304</v>
      </c>
      <c r="E19" s="244"/>
      <c r="F19" s="244"/>
      <c r="G19" s="245">
        <v>60</v>
      </c>
      <c r="H19" s="245"/>
      <c r="I19" s="246">
        <v>0.2</v>
      </c>
      <c r="J19" s="246"/>
    </row>
    <row r="20" spans="1:10" ht="20.100000000000001" customHeight="1" x14ac:dyDescent="0.25">
      <c r="A20" s="247"/>
      <c r="B20" s="243"/>
      <c r="C20" s="243"/>
      <c r="D20" s="244" t="s">
        <v>305</v>
      </c>
      <c r="E20" s="244"/>
      <c r="F20" s="244"/>
      <c r="G20" s="245">
        <v>50</v>
      </c>
      <c r="H20" s="245"/>
      <c r="I20" s="246">
        <v>0.2</v>
      </c>
      <c r="J20" s="246"/>
    </row>
    <row r="21" spans="1:10" ht="20.100000000000001" customHeight="1" x14ac:dyDescent="0.25">
      <c r="A21" s="247"/>
      <c r="B21" s="243"/>
      <c r="C21" s="243"/>
      <c r="D21" s="244" t="s">
        <v>306</v>
      </c>
      <c r="E21" s="244"/>
      <c r="F21" s="244"/>
      <c r="G21" s="245">
        <v>50</v>
      </c>
      <c r="H21" s="245"/>
      <c r="I21" s="246">
        <v>0.2</v>
      </c>
      <c r="J21" s="246"/>
    </row>
    <row r="22" spans="1:10" ht="20.100000000000001" customHeight="1" x14ac:dyDescent="0.25">
      <c r="A22" s="247" t="s">
        <v>308</v>
      </c>
      <c r="B22" s="243" t="s">
        <v>309</v>
      </c>
      <c r="C22" s="243"/>
      <c r="D22" s="244" t="s">
        <v>302</v>
      </c>
      <c r="E22" s="244"/>
      <c r="F22" s="244"/>
      <c r="G22" s="245">
        <v>70</v>
      </c>
      <c r="H22" s="245"/>
      <c r="I22" s="246">
        <v>0.2</v>
      </c>
      <c r="J22" s="246"/>
    </row>
    <row r="23" spans="1:10" ht="20.100000000000001" customHeight="1" x14ac:dyDescent="0.25">
      <c r="A23" s="247"/>
      <c r="B23" s="243"/>
      <c r="C23" s="243"/>
      <c r="D23" s="244" t="s">
        <v>299</v>
      </c>
      <c r="E23" s="244"/>
      <c r="F23" s="244"/>
      <c r="G23" s="245">
        <v>70</v>
      </c>
      <c r="H23" s="245"/>
      <c r="I23" s="246">
        <v>0.2</v>
      </c>
      <c r="J23" s="246"/>
    </row>
    <row r="24" spans="1:10" ht="20.100000000000001" customHeight="1" x14ac:dyDescent="0.25">
      <c r="A24" s="247"/>
      <c r="B24" s="243"/>
      <c r="C24" s="243"/>
      <c r="D24" s="244" t="s">
        <v>303</v>
      </c>
      <c r="E24" s="244"/>
      <c r="F24" s="244"/>
      <c r="G24" s="245">
        <v>60</v>
      </c>
      <c r="H24" s="245"/>
      <c r="I24" s="246">
        <v>0.2</v>
      </c>
      <c r="J24" s="246"/>
    </row>
    <row r="25" spans="1:10" ht="20.100000000000001" customHeight="1" x14ac:dyDescent="0.25">
      <c r="A25" s="247"/>
      <c r="B25" s="243"/>
      <c r="C25" s="243"/>
      <c r="D25" s="244" t="s">
        <v>304</v>
      </c>
      <c r="E25" s="244"/>
      <c r="F25" s="244"/>
      <c r="G25" s="245">
        <v>60</v>
      </c>
      <c r="H25" s="245"/>
      <c r="I25" s="246">
        <v>0.2</v>
      </c>
      <c r="J25" s="246"/>
    </row>
    <row r="26" spans="1:10" ht="20.100000000000001" customHeight="1" x14ac:dyDescent="0.25">
      <c r="A26" s="247"/>
      <c r="B26" s="243"/>
      <c r="C26" s="243"/>
      <c r="D26" s="244" t="s">
        <v>305</v>
      </c>
      <c r="E26" s="244"/>
      <c r="F26" s="244"/>
      <c r="G26" s="245">
        <v>50</v>
      </c>
      <c r="H26" s="245"/>
      <c r="I26" s="246">
        <v>0.2</v>
      </c>
      <c r="J26" s="246"/>
    </row>
    <row r="27" spans="1:10" ht="20.100000000000001" customHeight="1" x14ac:dyDescent="0.25">
      <c r="A27" s="247"/>
      <c r="B27" s="243"/>
      <c r="C27" s="243"/>
      <c r="D27" s="244" t="s">
        <v>306</v>
      </c>
      <c r="E27" s="244"/>
      <c r="F27" s="244"/>
      <c r="G27" s="245">
        <v>50</v>
      </c>
      <c r="H27" s="245"/>
      <c r="I27" s="246">
        <v>0.2</v>
      </c>
      <c r="J27" s="246"/>
    </row>
    <row r="28" spans="1:10" ht="20.100000000000001" customHeight="1" x14ac:dyDescent="0.25">
      <c r="A28" s="247"/>
      <c r="B28" s="243" t="s">
        <v>310</v>
      </c>
      <c r="C28" s="243"/>
      <c r="D28" s="244" t="s">
        <v>298</v>
      </c>
      <c r="E28" s="244"/>
      <c r="F28" s="244"/>
      <c r="G28" s="245">
        <v>60</v>
      </c>
      <c r="H28" s="245"/>
      <c r="I28" s="246">
        <v>0.2</v>
      </c>
      <c r="J28" s="246"/>
    </row>
    <row r="29" spans="1:10" ht="20.100000000000001" customHeight="1" x14ac:dyDescent="0.25">
      <c r="A29" s="247"/>
      <c r="B29" s="243"/>
      <c r="C29" s="243"/>
      <c r="D29" s="244" t="s">
        <v>299</v>
      </c>
      <c r="E29" s="244"/>
      <c r="F29" s="244"/>
      <c r="G29" s="245">
        <v>60</v>
      </c>
      <c r="H29" s="245"/>
      <c r="I29" s="246">
        <v>0.2</v>
      </c>
      <c r="J29" s="246"/>
    </row>
    <row r="30" spans="1:10" ht="20.100000000000001" customHeight="1" x14ac:dyDescent="0.25">
      <c r="A30" s="247"/>
      <c r="B30" s="243"/>
      <c r="C30" s="243"/>
      <c r="D30" s="244" t="s">
        <v>303</v>
      </c>
      <c r="E30" s="244"/>
      <c r="F30" s="244"/>
      <c r="G30" s="245">
        <v>80</v>
      </c>
      <c r="H30" s="245"/>
      <c r="I30" s="246">
        <v>0.2</v>
      </c>
      <c r="J30" s="246"/>
    </row>
    <row r="31" spans="1:10" ht="20.100000000000001" customHeight="1" x14ac:dyDescent="0.25">
      <c r="A31" s="247"/>
      <c r="B31" s="243"/>
      <c r="C31" s="243"/>
      <c r="D31" s="244" t="s">
        <v>304</v>
      </c>
      <c r="E31" s="244"/>
      <c r="F31" s="244"/>
      <c r="G31" s="245">
        <v>80</v>
      </c>
      <c r="H31" s="245"/>
      <c r="I31" s="246">
        <v>0.2</v>
      </c>
      <c r="J31" s="246"/>
    </row>
    <row r="32" spans="1:10" ht="20.100000000000001" customHeight="1" x14ac:dyDescent="0.25">
      <c r="A32" s="247"/>
      <c r="B32" s="243" t="s">
        <v>311</v>
      </c>
      <c r="C32" s="243"/>
      <c r="D32" s="244" t="s">
        <v>298</v>
      </c>
      <c r="E32" s="244"/>
      <c r="F32" s="244"/>
      <c r="G32" s="245">
        <v>20</v>
      </c>
      <c r="H32" s="245"/>
      <c r="I32" s="246">
        <v>0.1</v>
      </c>
      <c r="J32" s="246"/>
    </row>
    <row r="33" spans="1:10" ht="20.100000000000001" customHeight="1" x14ac:dyDescent="0.25">
      <c r="A33" s="247"/>
      <c r="B33" s="243"/>
      <c r="C33" s="243"/>
      <c r="D33" s="244" t="s">
        <v>299</v>
      </c>
      <c r="E33" s="244"/>
      <c r="F33" s="244"/>
      <c r="G33" s="245">
        <v>20</v>
      </c>
      <c r="H33" s="245"/>
      <c r="I33" s="246">
        <v>0.1</v>
      </c>
      <c r="J33" s="246"/>
    </row>
    <row r="34" spans="1:10" ht="20.100000000000001" customHeight="1" x14ac:dyDescent="0.25">
      <c r="A34" s="247"/>
      <c r="B34" s="243"/>
      <c r="C34" s="243"/>
      <c r="D34" s="244" t="s">
        <v>304</v>
      </c>
      <c r="E34" s="244"/>
      <c r="F34" s="244"/>
      <c r="G34" s="245">
        <v>30</v>
      </c>
      <c r="H34" s="245"/>
      <c r="I34" s="246">
        <v>0.1</v>
      </c>
      <c r="J34" s="246"/>
    </row>
    <row r="35" spans="1:10" ht="20.100000000000001" customHeight="1" x14ac:dyDescent="0.25">
      <c r="A35" s="1"/>
      <c r="B35" s="1"/>
      <c r="C35" s="1"/>
      <c r="D35" s="1"/>
      <c r="E35" s="1"/>
    </row>
    <row r="36" spans="1:10" ht="20.100000000000001" customHeight="1" x14ac:dyDescent="0.25">
      <c r="A36" s="239" t="s">
        <v>80</v>
      </c>
      <c r="B36" s="239"/>
      <c r="C36" s="239"/>
      <c r="D36" s="239"/>
      <c r="E36" s="239"/>
      <c r="F36" s="239"/>
      <c r="G36" s="239"/>
      <c r="H36" s="239"/>
      <c r="I36" s="239"/>
      <c r="J36" s="239"/>
    </row>
    <row r="37" spans="1:10" ht="20.100000000000001" customHeight="1" x14ac:dyDescent="0.25">
      <c r="A37" s="239" t="s">
        <v>312</v>
      </c>
      <c r="B37" s="239"/>
      <c r="C37" s="239"/>
      <c r="D37" s="239"/>
      <c r="E37" s="239"/>
      <c r="F37" s="239"/>
      <c r="G37" s="239"/>
      <c r="H37" s="239"/>
      <c r="I37" s="239"/>
      <c r="J37" s="239"/>
    </row>
    <row r="38" spans="1:10" ht="20.100000000000001" customHeight="1" x14ac:dyDescent="0.25">
      <c r="A38" s="239" t="s">
        <v>313</v>
      </c>
      <c r="B38" s="239"/>
      <c r="C38" s="239"/>
      <c r="D38" s="239"/>
      <c r="E38" s="239"/>
      <c r="F38" s="239"/>
      <c r="G38" s="239"/>
      <c r="H38" s="239"/>
      <c r="I38" s="239"/>
      <c r="J38" s="239"/>
    </row>
    <row r="39" spans="1:10" ht="20.100000000000001" customHeight="1" x14ac:dyDescent="0.25">
      <c r="A39" s="239"/>
      <c r="B39" s="239"/>
      <c r="C39" s="239"/>
      <c r="D39" s="239"/>
      <c r="E39" s="239"/>
      <c r="F39" s="239"/>
      <c r="G39" s="239"/>
      <c r="H39" s="239"/>
      <c r="I39" s="239"/>
      <c r="J39" s="239"/>
    </row>
    <row r="42" spans="1:10" ht="20.100000000000001" customHeight="1" x14ac:dyDescent="0.25">
      <c r="A42" s="240" t="s">
        <v>314</v>
      </c>
      <c r="B42" s="240"/>
      <c r="C42" s="240"/>
      <c r="D42" s="240"/>
      <c r="E42" s="240"/>
      <c r="F42" s="240"/>
      <c r="G42" s="240"/>
      <c r="H42" s="240"/>
      <c r="I42" s="240"/>
      <c r="J42" s="240"/>
    </row>
    <row r="43" spans="1:10" ht="20.100000000000001" customHeight="1" thickBot="1" x14ac:dyDescent="0.3">
      <c r="A43" s="241"/>
      <c r="B43" s="241"/>
      <c r="C43" s="241"/>
      <c r="D43" s="241"/>
      <c r="E43" s="241"/>
      <c r="F43" s="241"/>
      <c r="G43" s="241"/>
      <c r="H43" s="241"/>
      <c r="I43" s="241"/>
      <c r="J43" s="241"/>
    </row>
    <row r="44" spans="1:10" ht="20.100000000000001" customHeight="1" x14ac:dyDescent="0.25">
      <c r="A44" s="7"/>
      <c r="B44" s="8"/>
      <c r="C44" s="8"/>
      <c r="D44" s="8"/>
      <c r="E44" s="8"/>
      <c r="F44" s="9"/>
      <c r="G44" s="9"/>
      <c r="H44" s="10"/>
      <c r="I44" s="10"/>
      <c r="J44" s="10"/>
    </row>
    <row r="45" spans="1:10" ht="20.100000000000001" customHeight="1" x14ac:dyDescent="0.25">
      <c r="A45" s="242" t="s">
        <v>315</v>
      </c>
      <c r="B45" s="242" t="s">
        <v>316</v>
      </c>
      <c r="C45" s="242"/>
      <c r="D45" s="242"/>
      <c r="E45" s="242" t="s">
        <v>317</v>
      </c>
      <c r="F45" s="242" t="s">
        <v>318</v>
      </c>
      <c r="G45" s="242"/>
      <c r="H45" s="242"/>
      <c r="I45" s="242"/>
      <c r="J45" s="242"/>
    </row>
    <row r="46" spans="1:10" ht="20.100000000000001" customHeight="1" x14ac:dyDescent="0.25">
      <c r="A46" s="242"/>
      <c r="B46" s="242"/>
      <c r="C46" s="242"/>
      <c r="D46" s="242"/>
      <c r="E46" s="242"/>
      <c r="F46" s="242"/>
      <c r="G46" s="242"/>
      <c r="H46" s="242"/>
      <c r="I46" s="242"/>
      <c r="J46" s="242"/>
    </row>
    <row r="47" spans="1:10" ht="20.100000000000001" customHeight="1" x14ac:dyDescent="0.25">
      <c r="A47" s="234" t="s">
        <v>319</v>
      </c>
      <c r="B47" s="235" t="s">
        <v>272</v>
      </c>
      <c r="C47" s="235"/>
      <c r="D47" s="235"/>
      <c r="E47" s="238">
        <v>0</v>
      </c>
      <c r="F47" s="237" t="s">
        <v>320</v>
      </c>
      <c r="G47" s="237"/>
      <c r="H47" s="237"/>
      <c r="I47" s="237"/>
      <c r="J47" s="237"/>
    </row>
    <row r="48" spans="1:10" ht="20.100000000000001" customHeight="1" x14ac:dyDescent="0.25">
      <c r="A48" s="234"/>
      <c r="B48" s="235"/>
      <c r="C48" s="235"/>
      <c r="D48" s="235"/>
      <c r="E48" s="238"/>
      <c r="F48" s="237"/>
      <c r="G48" s="237"/>
      <c r="H48" s="237"/>
      <c r="I48" s="237"/>
      <c r="J48" s="237"/>
    </row>
    <row r="49" spans="1:10" ht="20.100000000000001" customHeight="1" x14ac:dyDescent="0.25">
      <c r="A49" s="234"/>
      <c r="B49" s="235"/>
      <c r="C49" s="235"/>
      <c r="D49" s="235"/>
      <c r="E49" s="238"/>
      <c r="F49" s="237"/>
      <c r="G49" s="237"/>
      <c r="H49" s="237"/>
      <c r="I49" s="237"/>
      <c r="J49" s="237"/>
    </row>
    <row r="50" spans="1:10" ht="20.100000000000001" customHeight="1" x14ac:dyDescent="0.25">
      <c r="A50" s="234" t="s">
        <v>321</v>
      </c>
      <c r="B50" s="235" t="s">
        <v>322</v>
      </c>
      <c r="C50" s="235"/>
      <c r="D50" s="235"/>
      <c r="E50" s="238">
        <v>0.32</v>
      </c>
      <c r="F50" s="237" t="s">
        <v>323</v>
      </c>
      <c r="G50" s="237"/>
      <c r="H50" s="237"/>
      <c r="I50" s="237"/>
      <c r="J50" s="237"/>
    </row>
    <row r="51" spans="1:10" ht="20.100000000000001" customHeight="1" x14ac:dyDescent="0.25">
      <c r="A51" s="234"/>
      <c r="B51" s="235"/>
      <c r="C51" s="235"/>
      <c r="D51" s="235"/>
      <c r="E51" s="238"/>
      <c r="F51" s="237"/>
      <c r="G51" s="237"/>
      <c r="H51" s="237"/>
      <c r="I51" s="237"/>
      <c r="J51" s="237"/>
    </row>
    <row r="52" spans="1:10" ht="20.100000000000001" customHeight="1" x14ac:dyDescent="0.25">
      <c r="A52" s="234"/>
      <c r="B52" s="235"/>
      <c r="C52" s="235"/>
      <c r="D52" s="235"/>
      <c r="E52" s="238"/>
      <c r="F52" s="237"/>
      <c r="G52" s="237"/>
      <c r="H52" s="237"/>
      <c r="I52" s="237"/>
      <c r="J52" s="237"/>
    </row>
    <row r="53" spans="1:10" ht="20.100000000000001" customHeight="1" x14ac:dyDescent="0.25">
      <c r="A53" s="234" t="s">
        <v>324</v>
      </c>
      <c r="B53" s="235" t="s">
        <v>7</v>
      </c>
      <c r="C53" s="235"/>
      <c r="D53" s="235"/>
      <c r="E53" s="238">
        <v>2.52</v>
      </c>
      <c r="F53" s="237" t="s">
        <v>325</v>
      </c>
      <c r="G53" s="237"/>
      <c r="H53" s="237"/>
      <c r="I53" s="237"/>
      <c r="J53" s="237"/>
    </row>
    <row r="54" spans="1:10" ht="20.100000000000001" customHeight="1" x14ac:dyDescent="0.25">
      <c r="A54" s="234"/>
      <c r="B54" s="235"/>
      <c r="C54" s="235"/>
      <c r="D54" s="235"/>
      <c r="E54" s="238"/>
      <c r="F54" s="237"/>
      <c r="G54" s="237"/>
      <c r="H54" s="237"/>
      <c r="I54" s="237"/>
      <c r="J54" s="237"/>
    </row>
    <row r="55" spans="1:10" ht="20.100000000000001" customHeight="1" x14ac:dyDescent="0.25">
      <c r="A55" s="234"/>
      <c r="B55" s="235"/>
      <c r="C55" s="235"/>
      <c r="D55" s="235"/>
      <c r="E55" s="238"/>
      <c r="F55" s="237"/>
      <c r="G55" s="237"/>
      <c r="H55" s="237"/>
      <c r="I55" s="237"/>
      <c r="J55" s="237"/>
    </row>
    <row r="56" spans="1:10" ht="20.100000000000001" customHeight="1" x14ac:dyDescent="0.25">
      <c r="A56" s="234" t="s">
        <v>326</v>
      </c>
      <c r="B56" s="235" t="s">
        <v>327</v>
      </c>
      <c r="C56" s="235"/>
      <c r="D56" s="235"/>
      <c r="E56" s="238">
        <v>8.09</v>
      </c>
      <c r="F56" s="237" t="s">
        <v>328</v>
      </c>
      <c r="G56" s="237"/>
      <c r="H56" s="237"/>
      <c r="I56" s="237"/>
      <c r="J56" s="237"/>
    </row>
    <row r="57" spans="1:10" ht="20.100000000000001" customHeight="1" x14ac:dyDescent="0.25">
      <c r="A57" s="234"/>
      <c r="B57" s="235"/>
      <c r="C57" s="235"/>
      <c r="D57" s="235"/>
      <c r="E57" s="238"/>
      <c r="F57" s="237"/>
      <c r="G57" s="237"/>
      <c r="H57" s="237"/>
      <c r="I57" s="237"/>
      <c r="J57" s="237"/>
    </row>
    <row r="58" spans="1:10" ht="20.100000000000001" customHeight="1" x14ac:dyDescent="0.25">
      <c r="A58" s="234"/>
      <c r="B58" s="235"/>
      <c r="C58" s="235"/>
      <c r="D58" s="235"/>
      <c r="E58" s="238"/>
      <c r="F58" s="237"/>
      <c r="G58" s="237"/>
      <c r="H58" s="237"/>
      <c r="I58" s="237"/>
      <c r="J58" s="237"/>
    </row>
    <row r="59" spans="1:10" ht="20.100000000000001" customHeight="1" x14ac:dyDescent="0.25">
      <c r="A59" s="234" t="s">
        <v>329</v>
      </c>
      <c r="B59" s="235" t="s">
        <v>330</v>
      </c>
      <c r="C59" s="235"/>
      <c r="D59" s="235"/>
      <c r="E59" s="236">
        <v>18.100000000000001</v>
      </c>
      <c r="F59" s="237" t="s">
        <v>331</v>
      </c>
      <c r="G59" s="237"/>
      <c r="H59" s="237"/>
      <c r="I59" s="237"/>
      <c r="J59" s="237"/>
    </row>
    <row r="60" spans="1:10" ht="20.100000000000001" customHeight="1" x14ac:dyDescent="0.25">
      <c r="A60" s="234"/>
      <c r="B60" s="235"/>
      <c r="C60" s="235"/>
      <c r="D60" s="235"/>
      <c r="E60" s="236"/>
      <c r="F60" s="237"/>
      <c r="G60" s="237"/>
      <c r="H60" s="237"/>
      <c r="I60" s="237"/>
      <c r="J60" s="237"/>
    </row>
    <row r="61" spans="1:10" ht="20.100000000000001" customHeight="1" x14ac:dyDescent="0.25">
      <c r="A61" s="234"/>
      <c r="B61" s="235"/>
      <c r="C61" s="235"/>
      <c r="D61" s="235"/>
      <c r="E61" s="236"/>
      <c r="F61" s="237"/>
      <c r="G61" s="237"/>
      <c r="H61" s="237"/>
      <c r="I61" s="237"/>
      <c r="J61" s="237"/>
    </row>
    <row r="62" spans="1:10" ht="20.100000000000001" customHeight="1" x14ac:dyDescent="0.25">
      <c r="A62" s="234"/>
      <c r="B62" s="235"/>
      <c r="C62" s="235"/>
      <c r="D62" s="235"/>
      <c r="E62" s="236"/>
      <c r="F62" s="237"/>
      <c r="G62" s="237"/>
      <c r="H62" s="237"/>
      <c r="I62" s="237"/>
      <c r="J62" s="237"/>
    </row>
    <row r="63" spans="1:10" ht="20.100000000000001" customHeight="1" x14ac:dyDescent="0.25">
      <c r="A63" s="234" t="s">
        <v>332</v>
      </c>
      <c r="B63" s="235" t="s">
        <v>333</v>
      </c>
      <c r="C63" s="235"/>
      <c r="D63" s="235"/>
      <c r="E63" s="236">
        <v>33.200000000000003</v>
      </c>
      <c r="F63" s="237" t="s">
        <v>334</v>
      </c>
      <c r="G63" s="237"/>
      <c r="H63" s="237"/>
      <c r="I63" s="237"/>
      <c r="J63" s="237"/>
    </row>
    <row r="64" spans="1:10" ht="20.100000000000001" customHeight="1" x14ac:dyDescent="0.25">
      <c r="A64" s="234"/>
      <c r="B64" s="235"/>
      <c r="C64" s="235"/>
      <c r="D64" s="235"/>
      <c r="E64" s="236"/>
      <c r="F64" s="237"/>
      <c r="G64" s="237"/>
      <c r="H64" s="237"/>
      <c r="I64" s="237"/>
      <c r="J64" s="237"/>
    </row>
    <row r="65" spans="1:10" ht="20.100000000000001" customHeight="1" x14ac:dyDescent="0.25">
      <c r="A65" s="234"/>
      <c r="B65" s="235"/>
      <c r="C65" s="235"/>
      <c r="D65" s="235"/>
      <c r="E65" s="236"/>
      <c r="F65" s="237"/>
      <c r="G65" s="237"/>
      <c r="H65" s="237"/>
      <c r="I65" s="237"/>
      <c r="J65" s="237"/>
    </row>
    <row r="66" spans="1:10" ht="20.100000000000001" customHeight="1" x14ac:dyDescent="0.25">
      <c r="A66" s="234"/>
      <c r="B66" s="235"/>
      <c r="C66" s="235"/>
      <c r="D66" s="235"/>
      <c r="E66" s="236"/>
      <c r="F66" s="237"/>
      <c r="G66" s="237"/>
      <c r="H66" s="237"/>
      <c r="I66" s="237"/>
      <c r="J66" s="237"/>
    </row>
    <row r="67" spans="1:10" ht="20.100000000000001" customHeight="1" x14ac:dyDescent="0.25">
      <c r="A67" s="234"/>
      <c r="B67" s="235"/>
      <c r="C67" s="235"/>
      <c r="D67" s="235"/>
      <c r="E67" s="236"/>
      <c r="F67" s="237"/>
      <c r="G67" s="237"/>
      <c r="H67" s="237"/>
      <c r="I67" s="237"/>
      <c r="J67" s="237"/>
    </row>
    <row r="68" spans="1:10" ht="20.100000000000001" customHeight="1" x14ac:dyDescent="0.25">
      <c r="A68" s="234"/>
      <c r="B68" s="235"/>
      <c r="C68" s="235"/>
      <c r="D68" s="235"/>
      <c r="E68" s="236"/>
      <c r="F68" s="237"/>
      <c r="G68" s="237"/>
      <c r="H68" s="237"/>
      <c r="I68" s="237"/>
      <c r="J68" s="237"/>
    </row>
    <row r="69" spans="1:10" ht="20.100000000000001" customHeight="1" x14ac:dyDescent="0.25">
      <c r="A69" s="234" t="s">
        <v>335</v>
      </c>
      <c r="B69" s="235" t="s">
        <v>336</v>
      </c>
      <c r="C69" s="235"/>
      <c r="D69" s="235"/>
      <c r="E69" s="236">
        <v>52.6</v>
      </c>
      <c r="F69" s="237" t="s">
        <v>337</v>
      </c>
      <c r="G69" s="237"/>
      <c r="H69" s="237"/>
      <c r="I69" s="237"/>
      <c r="J69" s="237"/>
    </row>
    <row r="70" spans="1:10" ht="20.100000000000001" customHeight="1" x14ac:dyDescent="0.25">
      <c r="A70" s="234"/>
      <c r="B70" s="235"/>
      <c r="C70" s="235"/>
      <c r="D70" s="235"/>
      <c r="E70" s="236"/>
      <c r="F70" s="237"/>
      <c r="G70" s="237"/>
      <c r="H70" s="237"/>
      <c r="I70" s="237"/>
      <c r="J70" s="237"/>
    </row>
    <row r="71" spans="1:10" ht="20.100000000000001" customHeight="1" x14ac:dyDescent="0.25">
      <c r="A71" s="234"/>
      <c r="B71" s="235"/>
      <c r="C71" s="235"/>
      <c r="D71" s="235"/>
      <c r="E71" s="236"/>
      <c r="F71" s="237"/>
      <c r="G71" s="237"/>
      <c r="H71" s="237"/>
      <c r="I71" s="237"/>
      <c r="J71" s="237"/>
    </row>
    <row r="72" spans="1:10" ht="20.100000000000001" customHeight="1" x14ac:dyDescent="0.25">
      <c r="A72" s="234"/>
      <c r="B72" s="235"/>
      <c r="C72" s="235"/>
      <c r="D72" s="235"/>
      <c r="E72" s="236"/>
      <c r="F72" s="237"/>
      <c r="G72" s="237"/>
      <c r="H72" s="237"/>
      <c r="I72" s="237"/>
      <c r="J72" s="237"/>
    </row>
    <row r="73" spans="1:10" ht="20.100000000000001" customHeight="1" x14ac:dyDescent="0.25">
      <c r="A73" s="234"/>
      <c r="B73" s="235"/>
      <c r="C73" s="235"/>
      <c r="D73" s="235"/>
      <c r="E73" s="236"/>
      <c r="F73" s="237"/>
      <c r="G73" s="237"/>
      <c r="H73" s="237"/>
      <c r="I73" s="237"/>
      <c r="J73" s="237"/>
    </row>
    <row r="74" spans="1:10" ht="20.100000000000001" customHeight="1" x14ac:dyDescent="0.25">
      <c r="A74" s="234"/>
      <c r="B74" s="235"/>
      <c r="C74" s="235"/>
      <c r="D74" s="235"/>
      <c r="E74" s="236"/>
      <c r="F74" s="237"/>
      <c r="G74" s="237"/>
      <c r="H74" s="237"/>
      <c r="I74" s="237"/>
      <c r="J74" s="237"/>
    </row>
    <row r="75" spans="1:10" ht="20.100000000000001" customHeight="1" x14ac:dyDescent="0.25">
      <c r="A75" s="234" t="s">
        <v>338</v>
      </c>
      <c r="B75" s="235" t="s">
        <v>339</v>
      </c>
      <c r="C75" s="235"/>
      <c r="D75" s="235"/>
      <c r="E75" s="236">
        <v>75.2</v>
      </c>
      <c r="F75" s="237" t="s">
        <v>340</v>
      </c>
      <c r="G75" s="237"/>
      <c r="H75" s="237"/>
      <c r="I75" s="237"/>
      <c r="J75" s="237"/>
    </row>
    <row r="76" spans="1:10" ht="20.100000000000001" customHeight="1" x14ac:dyDescent="0.25">
      <c r="A76" s="234"/>
      <c r="B76" s="235"/>
      <c r="C76" s="235"/>
      <c r="D76" s="235"/>
      <c r="E76" s="236"/>
      <c r="F76" s="237"/>
      <c r="G76" s="237"/>
      <c r="H76" s="237"/>
      <c r="I76" s="237"/>
      <c r="J76" s="237"/>
    </row>
    <row r="77" spans="1:10" ht="20.100000000000001" customHeight="1" x14ac:dyDescent="0.25">
      <c r="A77" s="234"/>
      <c r="B77" s="235"/>
      <c r="C77" s="235"/>
      <c r="D77" s="235"/>
      <c r="E77" s="236"/>
      <c r="F77" s="237"/>
      <c r="G77" s="237"/>
      <c r="H77" s="237"/>
      <c r="I77" s="237"/>
      <c r="J77" s="237"/>
    </row>
    <row r="78" spans="1:10" ht="20.100000000000001" customHeight="1" x14ac:dyDescent="0.25">
      <c r="A78" s="234"/>
      <c r="B78" s="235"/>
      <c r="C78" s="235"/>
      <c r="D78" s="235"/>
      <c r="E78" s="236"/>
      <c r="F78" s="237"/>
      <c r="G78" s="237"/>
      <c r="H78" s="237"/>
      <c r="I78" s="237"/>
      <c r="J78" s="237"/>
    </row>
    <row r="79" spans="1:10" ht="20.100000000000001" customHeight="1" thickBot="1" x14ac:dyDescent="0.3">
      <c r="A79" s="11" t="s">
        <v>82</v>
      </c>
      <c r="B79" s="232" t="s">
        <v>341</v>
      </c>
      <c r="C79" s="232"/>
      <c r="D79" s="232"/>
      <c r="E79" s="12">
        <v>100</v>
      </c>
      <c r="F79" s="233" t="s">
        <v>342</v>
      </c>
      <c r="G79" s="233"/>
      <c r="H79" s="233"/>
      <c r="I79" s="233"/>
      <c r="J79" s="233"/>
    </row>
    <row r="80" spans="1:10" ht="20.100000000000001" customHeight="1" x14ac:dyDescent="0.25">
      <c r="A80" s="1"/>
      <c r="B80" s="1"/>
      <c r="C80" s="1"/>
      <c r="D80" s="1"/>
    </row>
    <row r="81" spans="1:10" ht="20.100000000000001" customHeight="1" x14ac:dyDescent="0.25">
      <c r="A81" s="218" t="s">
        <v>80</v>
      </c>
      <c r="B81" s="218"/>
      <c r="C81" s="218"/>
      <c r="D81" s="218"/>
      <c r="E81" s="218"/>
      <c r="F81" s="218"/>
      <c r="G81" s="218"/>
      <c r="H81" s="218"/>
      <c r="I81" s="218"/>
      <c r="J81" s="218"/>
    </row>
    <row r="82" spans="1:10" ht="20.100000000000001" customHeight="1" x14ac:dyDescent="0.25">
      <c r="A82" s="218" t="s">
        <v>343</v>
      </c>
      <c r="B82" s="218"/>
      <c r="C82" s="218"/>
      <c r="D82" s="218"/>
      <c r="E82" s="218"/>
      <c r="F82" s="218"/>
      <c r="G82" s="218"/>
      <c r="H82" s="218"/>
      <c r="I82" s="218"/>
      <c r="J82" s="218"/>
    </row>
    <row r="83" spans="1:10" ht="20.100000000000001" customHeight="1" x14ac:dyDescent="0.25">
      <c r="A83" s="218" t="s">
        <v>344</v>
      </c>
      <c r="B83" s="218"/>
      <c r="C83" s="218"/>
      <c r="D83" s="218"/>
      <c r="E83" s="218"/>
      <c r="F83" s="218"/>
      <c r="G83" s="218"/>
      <c r="H83" s="218"/>
      <c r="I83" s="218"/>
      <c r="J83" s="218"/>
    </row>
    <row r="84" spans="1:10" ht="20.100000000000001" customHeight="1" x14ac:dyDescent="0.25">
      <c r="A84" s="218" t="s">
        <v>345</v>
      </c>
      <c r="B84" s="218"/>
      <c r="C84" s="218"/>
      <c r="D84" s="218"/>
      <c r="E84" s="218"/>
      <c r="F84" s="218"/>
      <c r="G84" s="218"/>
      <c r="H84" s="218"/>
      <c r="I84" s="218"/>
      <c r="J84" s="218"/>
    </row>
    <row r="86" spans="1:10" ht="20.100000000000001" customHeight="1" x14ac:dyDescent="0.25">
      <c r="A86" s="218" t="s">
        <v>286</v>
      </c>
      <c r="B86" s="218"/>
      <c r="C86" s="218"/>
      <c r="D86" s="218"/>
      <c r="E86" s="218"/>
      <c r="F86" s="218"/>
      <c r="G86" s="218"/>
      <c r="H86" s="218"/>
      <c r="I86" s="218"/>
      <c r="J86" s="218"/>
    </row>
    <row r="87" spans="1:10" ht="20.100000000000001" customHeight="1" x14ac:dyDescent="0.25">
      <c r="A87" s="218" t="s">
        <v>346</v>
      </c>
      <c r="B87" s="218"/>
      <c r="C87" s="218"/>
      <c r="D87" s="218"/>
      <c r="E87" s="218"/>
      <c r="F87" s="218"/>
      <c r="G87" s="218"/>
      <c r="H87" s="218"/>
      <c r="I87" s="218"/>
      <c r="J87" s="218"/>
    </row>
    <row r="88" spans="1:10" ht="20.100000000000001" customHeight="1" x14ac:dyDescent="0.25">
      <c r="A88" s="218"/>
      <c r="B88" s="218"/>
      <c r="C88" s="218"/>
      <c r="D88" s="218"/>
      <c r="E88" s="218"/>
      <c r="F88" s="218"/>
      <c r="G88" s="218"/>
      <c r="H88" s="218"/>
      <c r="I88" s="218"/>
      <c r="J88" s="218"/>
    </row>
    <row r="89" spans="1:10" ht="20.100000000000001" customHeight="1" x14ac:dyDescent="0.25">
      <c r="A89" s="218"/>
      <c r="B89" s="218"/>
      <c r="C89" s="218"/>
      <c r="D89" s="218"/>
      <c r="E89" s="218"/>
      <c r="F89" s="218"/>
      <c r="G89" s="218"/>
      <c r="H89" s="218"/>
      <c r="I89" s="218"/>
      <c r="J89" s="218"/>
    </row>
    <row r="92" spans="1:10" ht="20.100000000000001" customHeight="1" x14ac:dyDescent="0.25">
      <c r="A92" s="231" t="s">
        <v>347</v>
      </c>
      <c r="B92" s="231"/>
      <c r="C92" s="231"/>
      <c r="D92" s="231"/>
      <c r="E92" s="231"/>
      <c r="F92" s="231"/>
      <c r="G92" s="231"/>
      <c r="H92" s="231"/>
      <c r="I92" s="231"/>
      <c r="J92" s="231"/>
    </row>
    <row r="94" spans="1:10" ht="20.100000000000001" customHeight="1" x14ac:dyDescent="0.25">
      <c r="A94" s="218" t="s">
        <v>348</v>
      </c>
      <c r="B94" s="218"/>
      <c r="C94" s="218"/>
      <c r="D94" s="218"/>
      <c r="E94" s="218"/>
      <c r="F94" s="218"/>
      <c r="G94" s="218"/>
      <c r="H94" s="218"/>
      <c r="I94" s="218"/>
      <c r="J94" s="218"/>
    </row>
    <row r="95" spans="1:10" ht="20.100000000000001" customHeight="1" x14ac:dyDescent="0.25">
      <c r="A95" s="218"/>
      <c r="B95" s="218"/>
      <c r="C95" s="218"/>
      <c r="D95" s="218"/>
      <c r="E95" s="218"/>
      <c r="F95" s="218"/>
      <c r="G95" s="218"/>
      <c r="H95" s="218"/>
      <c r="I95" s="218"/>
      <c r="J95" s="218"/>
    </row>
    <row r="96" spans="1:10" ht="20.100000000000001" customHeight="1" x14ac:dyDescent="0.25">
      <c r="A96" s="218"/>
      <c r="B96" s="218"/>
      <c r="C96" s="218"/>
      <c r="D96" s="218"/>
      <c r="E96" s="218"/>
      <c r="F96" s="218"/>
      <c r="G96" s="218"/>
      <c r="H96" s="218"/>
      <c r="I96" s="218"/>
      <c r="J96" s="218"/>
    </row>
    <row r="97" spans="1:10" ht="20.100000000000001" customHeight="1" x14ac:dyDescent="0.25">
      <c r="A97" s="218"/>
      <c r="B97" s="218"/>
      <c r="C97" s="218"/>
      <c r="D97" s="218"/>
      <c r="E97" s="218"/>
      <c r="F97" s="218"/>
      <c r="G97" s="218"/>
      <c r="H97" s="218"/>
      <c r="I97" s="218"/>
      <c r="J97" s="218"/>
    </row>
    <row r="98" spans="1:10" ht="20.100000000000001" customHeight="1" x14ac:dyDescent="0.25">
      <c r="A98" s="218"/>
      <c r="B98" s="218"/>
      <c r="C98" s="218"/>
      <c r="D98" s="218"/>
      <c r="E98" s="218"/>
      <c r="F98" s="218"/>
      <c r="G98" s="218"/>
      <c r="H98" s="218"/>
      <c r="I98" s="218"/>
      <c r="J98" s="218"/>
    </row>
    <row r="99" spans="1:10" ht="20.100000000000001" customHeight="1" x14ac:dyDescent="0.25">
      <c r="A99" s="218"/>
      <c r="B99" s="218"/>
      <c r="C99" s="218"/>
      <c r="D99" s="218"/>
      <c r="E99" s="218"/>
      <c r="F99" s="218"/>
      <c r="G99" s="218"/>
      <c r="H99" s="218"/>
      <c r="I99" s="218"/>
      <c r="J99" s="218"/>
    </row>
    <row r="101" spans="1:10" ht="20.100000000000001" customHeight="1" x14ac:dyDescent="0.25">
      <c r="A101" s="225" t="s">
        <v>349</v>
      </c>
      <c r="B101" s="225"/>
      <c r="C101" s="225"/>
      <c r="D101" s="225"/>
      <c r="E101" s="225"/>
      <c r="F101" s="225"/>
      <c r="G101" s="225"/>
      <c r="H101" s="225"/>
      <c r="I101" s="225"/>
      <c r="J101" s="225"/>
    </row>
    <row r="102" spans="1:10" ht="20.100000000000001" customHeight="1" x14ac:dyDescent="0.25">
      <c r="A102" s="225"/>
      <c r="B102" s="225"/>
      <c r="C102" s="225"/>
      <c r="D102" s="225"/>
      <c r="E102" s="225"/>
      <c r="F102" s="225"/>
      <c r="G102" s="225"/>
      <c r="H102" s="225"/>
      <c r="I102" s="225"/>
      <c r="J102" s="225"/>
    </row>
    <row r="103" spans="1:10" ht="20.100000000000001" customHeight="1" x14ac:dyDescent="0.25">
      <c r="A103" s="225"/>
      <c r="B103" s="225"/>
      <c r="C103" s="225"/>
      <c r="D103" s="225"/>
      <c r="E103" s="225"/>
      <c r="F103" s="225"/>
      <c r="G103" s="225"/>
      <c r="H103" s="225"/>
      <c r="I103" s="225"/>
      <c r="J103" s="225"/>
    </row>
    <row r="104" spans="1:10" ht="20.100000000000001" customHeight="1" x14ac:dyDescent="0.25">
      <c r="A104" s="225" t="s">
        <v>350</v>
      </c>
      <c r="B104" s="225"/>
      <c r="C104" s="225" t="s">
        <v>351</v>
      </c>
      <c r="D104" s="225"/>
      <c r="E104" s="225" t="s">
        <v>352</v>
      </c>
      <c r="F104" s="225"/>
      <c r="G104" s="225" t="s">
        <v>353</v>
      </c>
      <c r="H104" s="225"/>
      <c r="I104" s="225"/>
      <c r="J104" s="225"/>
    </row>
    <row r="105" spans="1:10" ht="20.100000000000001" customHeight="1" x14ac:dyDescent="0.25">
      <c r="A105" s="225"/>
      <c r="B105" s="225"/>
      <c r="C105" s="225"/>
      <c r="D105" s="225"/>
      <c r="E105" s="225"/>
      <c r="F105" s="225"/>
      <c r="G105" s="225"/>
      <c r="H105" s="225"/>
      <c r="I105" s="225"/>
      <c r="J105" s="225"/>
    </row>
    <row r="106" spans="1:10" ht="20.100000000000001" customHeight="1" x14ac:dyDescent="0.25">
      <c r="A106" s="225"/>
      <c r="B106" s="225"/>
      <c r="C106" s="225"/>
      <c r="D106" s="225"/>
      <c r="E106" s="225"/>
      <c r="F106" s="225"/>
      <c r="G106" s="225" t="s">
        <v>354</v>
      </c>
      <c r="H106" s="225"/>
      <c r="I106" s="225" t="s">
        <v>355</v>
      </c>
      <c r="J106" s="225"/>
    </row>
    <row r="107" spans="1:10" ht="20.100000000000001" customHeight="1" x14ac:dyDescent="0.25">
      <c r="A107" s="229">
        <v>0</v>
      </c>
      <c r="B107" s="229"/>
      <c r="C107" s="223" t="s">
        <v>319</v>
      </c>
      <c r="D107" s="223"/>
      <c r="E107" s="230">
        <v>1</v>
      </c>
      <c r="F107" s="230"/>
      <c r="G107" s="230" t="s">
        <v>356</v>
      </c>
      <c r="H107" s="230"/>
      <c r="I107" s="230" t="s">
        <v>357</v>
      </c>
      <c r="J107" s="230"/>
    </row>
    <row r="108" spans="1:10" ht="20.100000000000001" customHeight="1" x14ac:dyDescent="0.25">
      <c r="A108" s="229">
        <v>-3.2000000000000002E-3</v>
      </c>
      <c r="B108" s="229"/>
      <c r="C108" s="223" t="s">
        <v>321</v>
      </c>
      <c r="D108" s="223"/>
      <c r="E108" s="230">
        <v>1.5</v>
      </c>
      <c r="F108" s="230"/>
      <c r="G108" s="230" t="s">
        <v>358</v>
      </c>
      <c r="H108" s="230"/>
      <c r="I108" s="230" t="s">
        <v>359</v>
      </c>
      <c r="J108" s="230"/>
    </row>
    <row r="109" spans="1:10" ht="20.100000000000001" customHeight="1" x14ac:dyDescent="0.25">
      <c r="A109" s="229">
        <v>-2.52E-2</v>
      </c>
      <c r="B109" s="229"/>
      <c r="C109" s="223" t="s">
        <v>324</v>
      </c>
      <c r="D109" s="223"/>
      <c r="E109" s="230">
        <v>2</v>
      </c>
      <c r="F109" s="230"/>
      <c r="G109" s="230" t="s">
        <v>68</v>
      </c>
      <c r="H109" s="230"/>
      <c r="I109" s="230" t="s">
        <v>321</v>
      </c>
      <c r="J109" s="230"/>
    </row>
    <row r="110" spans="1:10" ht="20.100000000000001" customHeight="1" x14ac:dyDescent="0.25">
      <c r="A110" s="229">
        <v>-8.09E-2</v>
      </c>
      <c r="B110" s="229"/>
      <c r="C110" s="223" t="s">
        <v>326</v>
      </c>
      <c r="D110" s="223"/>
      <c r="E110" s="230">
        <v>2.5</v>
      </c>
      <c r="F110" s="230"/>
      <c r="G110" s="230" t="s">
        <v>360</v>
      </c>
      <c r="H110" s="230"/>
      <c r="I110" s="230" t="s">
        <v>82</v>
      </c>
      <c r="J110" s="230"/>
    </row>
    <row r="111" spans="1:10" ht="20.100000000000001" customHeight="1" x14ac:dyDescent="0.25">
      <c r="A111" s="229">
        <v>-0.18099999999999999</v>
      </c>
      <c r="B111" s="229"/>
      <c r="C111" s="223" t="s">
        <v>329</v>
      </c>
      <c r="D111" s="223"/>
      <c r="E111" s="230">
        <v>3</v>
      </c>
      <c r="F111" s="230"/>
      <c r="G111" s="230" t="s">
        <v>7</v>
      </c>
      <c r="H111" s="230"/>
      <c r="I111" s="230" t="s">
        <v>361</v>
      </c>
      <c r="J111" s="230"/>
    </row>
    <row r="112" spans="1:10" ht="20.100000000000001" customHeight="1" x14ac:dyDescent="0.25">
      <c r="A112" s="229">
        <v>-0.33200000000000002</v>
      </c>
      <c r="B112" s="229"/>
      <c r="C112" s="223" t="s">
        <v>332</v>
      </c>
      <c r="D112" s="223"/>
      <c r="E112" s="230">
        <v>3.5</v>
      </c>
      <c r="F112" s="230"/>
      <c r="G112" s="230" t="s">
        <v>362</v>
      </c>
      <c r="H112" s="230"/>
      <c r="I112" s="230" t="s">
        <v>326</v>
      </c>
      <c r="J112" s="230"/>
    </row>
    <row r="113" spans="1:10" ht="20.100000000000001" customHeight="1" x14ac:dyDescent="0.25">
      <c r="A113" s="229">
        <v>-0.52600000000000002</v>
      </c>
      <c r="B113" s="229"/>
      <c r="C113" s="223" t="s">
        <v>335</v>
      </c>
      <c r="D113" s="223"/>
      <c r="E113" s="230">
        <v>4</v>
      </c>
      <c r="F113" s="230"/>
      <c r="G113" s="230" t="s">
        <v>363</v>
      </c>
      <c r="H113" s="230"/>
      <c r="I113" s="230" t="s">
        <v>364</v>
      </c>
      <c r="J113" s="230"/>
    </row>
    <row r="114" spans="1:10" ht="20.100000000000001" customHeight="1" x14ac:dyDescent="0.25">
      <c r="A114" s="229">
        <v>-0.752</v>
      </c>
      <c r="B114" s="229"/>
      <c r="C114" s="223" t="s">
        <v>338</v>
      </c>
      <c r="D114" s="223"/>
      <c r="E114" s="230">
        <v>4.5</v>
      </c>
      <c r="F114" s="230"/>
      <c r="G114" s="230" t="s">
        <v>365</v>
      </c>
      <c r="H114" s="230"/>
      <c r="I114" s="230" t="s">
        <v>366</v>
      </c>
      <c r="J114" s="230"/>
    </row>
    <row r="115" spans="1:10" ht="20.100000000000001" customHeight="1" x14ac:dyDescent="0.25">
      <c r="A115" s="229">
        <v>-1</v>
      </c>
      <c r="B115" s="229"/>
      <c r="C115" s="223" t="s">
        <v>82</v>
      </c>
      <c r="D115" s="223"/>
      <c r="E115" s="230">
        <v>5</v>
      </c>
      <c r="F115" s="230"/>
      <c r="G115" s="230" t="s">
        <v>367</v>
      </c>
      <c r="H115" s="230"/>
      <c r="I115" s="230" t="s">
        <v>368</v>
      </c>
      <c r="J115" s="230"/>
    </row>
    <row r="118" spans="1:10" ht="20.100000000000001" customHeight="1" x14ac:dyDescent="0.25">
      <c r="A118" s="225" t="s">
        <v>369</v>
      </c>
      <c r="B118" s="226" t="s">
        <v>370</v>
      </c>
      <c r="C118" s="227"/>
      <c r="D118" s="227"/>
      <c r="E118" s="227"/>
      <c r="F118" s="227"/>
      <c r="G118" s="227"/>
      <c r="H118" s="227"/>
      <c r="I118" s="227"/>
      <c r="J118" s="228"/>
    </row>
    <row r="119" spans="1:10" ht="20.100000000000001" customHeight="1" x14ac:dyDescent="0.25">
      <c r="A119" s="225"/>
      <c r="B119" s="223" t="s">
        <v>371</v>
      </c>
      <c r="C119" s="223"/>
      <c r="D119" s="223"/>
      <c r="E119" s="223"/>
      <c r="F119" s="223"/>
      <c r="G119" s="223"/>
      <c r="H119" s="223"/>
      <c r="I119" s="223"/>
      <c r="J119" s="223"/>
    </row>
    <row r="120" spans="1:10" ht="20.100000000000001" customHeight="1" x14ac:dyDescent="0.25">
      <c r="A120" s="225"/>
      <c r="B120" s="225" t="s">
        <v>372</v>
      </c>
      <c r="C120" s="225"/>
      <c r="D120" s="225"/>
      <c r="E120" s="225"/>
      <c r="F120" s="225"/>
      <c r="G120" s="225"/>
      <c r="H120" s="225"/>
      <c r="I120" s="225"/>
      <c r="J120" s="225"/>
    </row>
    <row r="121" spans="1:10" ht="20.100000000000001" customHeight="1" x14ac:dyDescent="0.25">
      <c r="A121" s="225"/>
      <c r="B121" s="13" t="s">
        <v>319</v>
      </c>
      <c r="C121" s="13" t="s">
        <v>321</v>
      </c>
      <c r="D121" s="13" t="s">
        <v>324</v>
      </c>
      <c r="E121" s="13" t="s">
        <v>326</v>
      </c>
      <c r="F121" s="13" t="s">
        <v>329</v>
      </c>
      <c r="G121" s="13" t="s">
        <v>332</v>
      </c>
      <c r="H121" s="13" t="s">
        <v>335</v>
      </c>
      <c r="I121" s="13" t="s">
        <v>338</v>
      </c>
      <c r="J121" s="13" t="s">
        <v>82</v>
      </c>
    </row>
    <row r="122" spans="1:10" ht="20.100000000000001" customHeight="1" x14ac:dyDescent="0.25">
      <c r="A122" s="14">
        <v>0</v>
      </c>
      <c r="B122" s="15">
        <v>0</v>
      </c>
      <c r="C122" s="15">
        <v>0.32</v>
      </c>
      <c r="D122" s="15">
        <v>2.52</v>
      </c>
      <c r="E122" s="15">
        <v>8.09</v>
      </c>
      <c r="F122" s="15">
        <v>18.100000000000001</v>
      </c>
      <c r="G122" s="15">
        <v>33.200000000000003</v>
      </c>
      <c r="H122" s="15">
        <v>52.6</v>
      </c>
      <c r="I122" s="15">
        <v>75.2</v>
      </c>
      <c r="J122" s="15">
        <v>100</v>
      </c>
    </row>
    <row r="123" spans="1:10" ht="20.100000000000001" customHeight="1" x14ac:dyDescent="0.25">
      <c r="A123" s="14">
        <f>A122+0.02</f>
        <v>0.02</v>
      </c>
      <c r="B123" s="15">
        <f>((1/2)*((A123)+(A123^2)))*100</f>
        <v>1.02</v>
      </c>
      <c r="C123" s="15">
        <f>$B123+((100-$B123)*C$122/100)</f>
        <v>1.3367360000000001</v>
      </c>
      <c r="D123" s="15">
        <f t="shared" ref="D123:J138" si="0">$B123+((100-$B123)*D$122/100)</f>
        <v>3.5142960000000003</v>
      </c>
      <c r="E123" s="15">
        <f t="shared" si="0"/>
        <v>9.0274819999999991</v>
      </c>
      <c r="F123" s="15">
        <f t="shared" si="0"/>
        <v>18.935380000000002</v>
      </c>
      <c r="G123" s="15">
        <f t="shared" si="0"/>
        <v>33.881360000000008</v>
      </c>
      <c r="H123" s="15">
        <f t="shared" si="0"/>
        <v>53.083480000000002</v>
      </c>
      <c r="I123" s="15">
        <f t="shared" si="0"/>
        <v>75.452960000000004</v>
      </c>
      <c r="J123" s="15">
        <f t="shared" si="0"/>
        <v>100</v>
      </c>
    </row>
    <row r="124" spans="1:10" ht="20.100000000000001" customHeight="1" x14ac:dyDescent="0.25">
      <c r="A124" s="14">
        <f t="shared" ref="A124:A172" si="1">A123+0.02</f>
        <v>0.04</v>
      </c>
      <c r="B124" s="15">
        <f t="shared" ref="B124:B172" si="2">((1/2)*((A124)+(A124^2)))*100</f>
        <v>2.08</v>
      </c>
      <c r="C124" s="15">
        <f t="shared" ref="C124:J155" si="3">$B124+((100-$B124)*C$122/100)</f>
        <v>2.3933439999999999</v>
      </c>
      <c r="D124" s="15">
        <f t="shared" si="0"/>
        <v>4.5475840000000005</v>
      </c>
      <c r="E124" s="15">
        <f t="shared" si="0"/>
        <v>10.001728</v>
      </c>
      <c r="F124" s="15">
        <f t="shared" si="0"/>
        <v>19.803519999999999</v>
      </c>
      <c r="G124" s="15">
        <f t="shared" si="0"/>
        <v>34.589440000000003</v>
      </c>
      <c r="H124" s="15">
        <f t="shared" si="0"/>
        <v>53.585920000000002</v>
      </c>
      <c r="I124" s="15">
        <f t="shared" si="0"/>
        <v>75.71584</v>
      </c>
      <c r="J124" s="15">
        <f t="shared" si="0"/>
        <v>100</v>
      </c>
    </row>
    <row r="125" spans="1:10" ht="20.100000000000001" customHeight="1" x14ac:dyDescent="0.25">
      <c r="A125" s="14">
        <f t="shared" si="1"/>
        <v>0.06</v>
      </c>
      <c r="B125" s="15">
        <f t="shared" si="2"/>
        <v>3.18</v>
      </c>
      <c r="C125" s="15">
        <f t="shared" si="3"/>
        <v>3.489824</v>
      </c>
      <c r="D125" s="15">
        <f t="shared" si="0"/>
        <v>5.6198639999999997</v>
      </c>
      <c r="E125" s="15">
        <f t="shared" si="0"/>
        <v>11.012737999999999</v>
      </c>
      <c r="F125" s="15">
        <f t="shared" si="0"/>
        <v>20.704419999999999</v>
      </c>
      <c r="G125" s="15">
        <f t="shared" si="0"/>
        <v>35.324239999999996</v>
      </c>
      <c r="H125" s="15">
        <f t="shared" si="0"/>
        <v>54.107320000000001</v>
      </c>
      <c r="I125" s="15">
        <f t="shared" si="0"/>
        <v>75.988640000000004</v>
      </c>
      <c r="J125" s="15">
        <f t="shared" si="0"/>
        <v>100</v>
      </c>
    </row>
    <row r="126" spans="1:10" ht="20.100000000000001" customHeight="1" x14ac:dyDescent="0.25">
      <c r="A126" s="14">
        <f t="shared" si="1"/>
        <v>0.08</v>
      </c>
      <c r="B126" s="15">
        <f t="shared" si="2"/>
        <v>4.32</v>
      </c>
      <c r="C126" s="15">
        <f t="shared" si="3"/>
        <v>4.6261760000000001</v>
      </c>
      <c r="D126" s="15">
        <f t="shared" si="0"/>
        <v>6.7311360000000011</v>
      </c>
      <c r="E126" s="15">
        <f t="shared" si="0"/>
        <v>12.060511999999999</v>
      </c>
      <c r="F126" s="15">
        <f t="shared" si="0"/>
        <v>21.638080000000002</v>
      </c>
      <c r="G126" s="15">
        <f t="shared" si="0"/>
        <v>36.085760000000008</v>
      </c>
      <c r="H126" s="15">
        <f t="shared" si="0"/>
        <v>54.647680000000008</v>
      </c>
      <c r="I126" s="15">
        <f t="shared" si="0"/>
        <v>76.271360000000016</v>
      </c>
      <c r="J126" s="15">
        <f t="shared" si="0"/>
        <v>100</v>
      </c>
    </row>
    <row r="127" spans="1:10" ht="20.100000000000001" customHeight="1" x14ac:dyDescent="0.25">
      <c r="A127" s="14">
        <f t="shared" si="1"/>
        <v>0.1</v>
      </c>
      <c r="B127" s="15">
        <f t="shared" si="2"/>
        <v>5.5000000000000009</v>
      </c>
      <c r="C127" s="15">
        <f t="shared" si="3"/>
        <v>5.8024000000000004</v>
      </c>
      <c r="D127" s="15">
        <f t="shared" si="0"/>
        <v>7.8814000000000011</v>
      </c>
      <c r="E127" s="15">
        <f t="shared" si="0"/>
        <v>13.145050000000001</v>
      </c>
      <c r="F127" s="15">
        <f t="shared" si="0"/>
        <v>22.604500000000002</v>
      </c>
      <c r="G127" s="15">
        <f t="shared" si="0"/>
        <v>36.874000000000002</v>
      </c>
      <c r="H127" s="15">
        <f t="shared" si="0"/>
        <v>55.207000000000001</v>
      </c>
      <c r="I127" s="15">
        <f t="shared" si="0"/>
        <v>76.564000000000007</v>
      </c>
      <c r="J127" s="15">
        <f t="shared" si="0"/>
        <v>100</v>
      </c>
    </row>
    <row r="128" spans="1:10" ht="20.100000000000001" customHeight="1" x14ac:dyDescent="0.25">
      <c r="A128" s="14">
        <f t="shared" si="1"/>
        <v>0.12000000000000001</v>
      </c>
      <c r="B128" s="15">
        <f t="shared" si="2"/>
        <v>6.7200000000000006</v>
      </c>
      <c r="C128" s="15">
        <f t="shared" si="3"/>
        <v>7.0184960000000007</v>
      </c>
      <c r="D128" s="15">
        <f t="shared" si="0"/>
        <v>9.0706560000000014</v>
      </c>
      <c r="E128" s="15">
        <f t="shared" si="0"/>
        <v>14.266352000000001</v>
      </c>
      <c r="F128" s="15">
        <f t="shared" si="0"/>
        <v>23.603680000000004</v>
      </c>
      <c r="G128" s="15">
        <f t="shared" si="0"/>
        <v>37.688960000000002</v>
      </c>
      <c r="H128" s="15">
        <f t="shared" si="0"/>
        <v>55.78528</v>
      </c>
      <c r="I128" s="15">
        <f t="shared" si="0"/>
        <v>76.866559999999993</v>
      </c>
      <c r="J128" s="15">
        <f t="shared" si="0"/>
        <v>100</v>
      </c>
    </row>
    <row r="129" spans="1:10" ht="20.100000000000001" customHeight="1" x14ac:dyDescent="0.25">
      <c r="A129" s="14">
        <f t="shared" si="1"/>
        <v>0.14000000000000001</v>
      </c>
      <c r="B129" s="15">
        <f t="shared" si="2"/>
        <v>7.9800000000000013</v>
      </c>
      <c r="C129" s="15">
        <f t="shared" si="3"/>
        <v>8.2744640000000018</v>
      </c>
      <c r="D129" s="15">
        <f t="shared" si="0"/>
        <v>10.298904</v>
      </c>
      <c r="E129" s="15">
        <f t="shared" si="0"/>
        <v>15.424418000000001</v>
      </c>
      <c r="F129" s="15">
        <f t="shared" si="0"/>
        <v>24.635620000000003</v>
      </c>
      <c r="G129" s="15">
        <f t="shared" si="0"/>
        <v>38.530640000000005</v>
      </c>
      <c r="H129" s="15">
        <f t="shared" si="0"/>
        <v>56.38252</v>
      </c>
      <c r="I129" s="15">
        <f t="shared" si="0"/>
        <v>77.179040000000001</v>
      </c>
      <c r="J129" s="15">
        <f t="shared" si="0"/>
        <v>100</v>
      </c>
    </row>
    <row r="130" spans="1:10" ht="20.100000000000001" customHeight="1" x14ac:dyDescent="0.25">
      <c r="A130" s="14">
        <f t="shared" si="1"/>
        <v>0.16</v>
      </c>
      <c r="B130" s="15">
        <f t="shared" si="2"/>
        <v>9.2800000000000011</v>
      </c>
      <c r="C130" s="15">
        <f t="shared" si="3"/>
        <v>9.5703040000000019</v>
      </c>
      <c r="D130" s="15">
        <f t="shared" si="0"/>
        <v>11.566144000000001</v>
      </c>
      <c r="E130" s="15">
        <f t="shared" si="0"/>
        <v>16.619248000000002</v>
      </c>
      <c r="F130" s="15">
        <f t="shared" si="0"/>
        <v>25.700320000000001</v>
      </c>
      <c r="G130" s="15">
        <f t="shared" si="0"/>
        <v>39.399039999999999</v>
      </c>
      <c r="H130" s="15">
        <f t="shared" si="0"/>
        <v>56.998720000000006</v>
      </c>
      <c r="I130" s="15">
        <f t="shared" si="0"/>
        <v>77.501440000000002</v>
      </c>
      <c r="J130" s="15">
        <f t="shared" si="0"/>
        <v>100</v>
      </c>
    </row>
    <row r="131" spans="1:10" ht="20.100000000000001" customHeight="1" x14ac:dyDescent="0.25">
      <c r="A131" s="14">
        <f t="shared" si="1"/>
        <v>0.18</v>
      </c>
      <c r="B131" s="15">
        <f t="shared" si="2"/>
        <v>10.62</v>
      </c>
      <c r="C131" s="15">
        <f t="shared" si="3"/>
        <v>10.906015999999999</v>
      </c>
      <c r="D131" s="15">
        <f t="shared" si="0"/>
        <v>12.872375999999999</v>
      </c>
      <c r="E131" s="15">
        <f t="shared" si="0"/>
        <v>17.850842</v>
      </c>
      <c r="F131" s="15">
        <f t="shared" si="0"/>
        <v>26.797779999999996</v>
      </c>
      <c r="G131" s="15">
        <f t="shared" si="0"/>
        <v>40.294159999999998</v>
      </c>
      <c r="H131" s="15">
        <f t="shared" si="0"/>
        <v>57.633879999999998</v>
      </c>
      <c r="I131" s="15">
        <f t="shared" si="0"/>
        <v>77.833760000000012</v>
      </c>
      <c r="J131" s="15">
        <f t="shared" si="0"/>
        <v>100</v>
      </c>
    </row>
    <row r="132" spans="1:10" ht="20.100000000000001" customHeight="1" x14ac:dyDescent="0.25">
      <c r="A132" s="14">
        <f t="shared" si="1"/>
        <v>0.19999999999999998</v>
      </c>
      <c r="B132" s="15">
        <f t="shared" si="2"/>
        <v>12</v>
      </c>
      <c r="C132" s="15">
        <f t="shared" si="3"/>
        <v>12.281599999999999</v>
      </c>
      <c r="D132" s="15">
        <f t="shared" si="0"/>
        <v>14.217600000000001</v>
      </c>
      <c r="E132" s="15">
        <f t="shared" si="0"/>
        <v>19.119199999999999</v>
      </c>
      <c r="F132" s="15">
        <f t="shared" si="0"/>
        <v>27.928000000000004</v>
      </c>
      <c r="G132" s="15">
        <f t="shared" si="0"/>
        <v>41.216000000000008</v>
      </c>
      <c r="H132" s="15">
        <f t="shared" si="0"/>
        <v>58.288000000000004</v>
      </c>
      <c r="I132" s="15">
        <f t="shared" si="0"/>
        <v>78.176000000000002</v>
      </c>
      <c r="J132" s="15">
        <f t="shared" si="0"/>
        <v>100</v>
      </c>
    </row>
    <row r="133" spans="1:10" ht="20.100000000000001" customHeight="1" x14ac:dyDescent="0.25">
      <c r="A133" s="14">
        <f t="shared" si="1"/>
        <v>0.21999999999999997</v>
      </c>
      <c r="B133" s="15">
        <f t="shared" si="2"/>
        <v>13.419999999999998</v>
      </c>
      <c r="C133" s="15">
        <f t="shared" si="3"/>
        <v>13.697055999999998</v>
      </c>
      <c r="D133" s="15">
        <f t="shared" si="0"/>
        <v>15.601815999999998</v>
      </c>
      <c r="E133" s="15">
        <f t="shared" si="0"/>
        <v>20.424321999999997</v>
      </c>
      <c r="F133" s="15">
        <f t="shared" si="0"/>
        <v>29.090980000000002</v>
      </c>
      <c r="G133" s="15">
        <f t="shared" si="0"/>
        <v>42.164559999999994</v>
      </c>
      <c r="H133" s="15">
        <f t="shared" si="0"/>
        <v>58.961079999999995</v>
      </c>
      <c r="I133" s="15">
        <f t="shared" si="0"/>
        <v>78.52816</v>
      </c>
      <c r="J133" s="15">
        <f t="shared" si="0"/>
        <v>100</v>
      </c>
    </row>
    <row r="134" spans="1:10" ht="20.100000000000001" customHeight="1" x14ac:dyDescent="0.25">
      <c r="A134" s="14">
        <f t="shared" si="1"/>
        <v>0.23999999999999996</v>
      </c>
      <c r="B134" s="15">
        <f t="shared" si="2"/>
        <v>14.879999999999999</v>
      </c>
      <c r="C134" s="15">
        <f t="shared" si="3"/>
        <v>15.152384</v>
      </c>
      <c r="D134" s="15">
        <f t="shared" si="0"/>
        <v>17.025023999999998</v>
      </c>
      <c r="E134" s="15">
        <f t="shared" si="0"/>
        <v>21.766207999999999</v>
      </c>
      <c r="F134" s="15">
        <f t="shared" si="0"/>
        <v>30.286720000000003</v>
      </c>
      <c r="G134" s="15">
        <f t="shared" si="0"/>
        <v>43.139840000000007</v>
      </c>
      <c r="H134" s="15">
        <f t="shared" si="0"/>
        <v>59.653120000000001</v>
      </c>
      <c r="I134" s="15">
        <f t="shared" si="0"/>
        <v>78.890240000000006</v>
      </c>
      <c r="J134" s="15">
        <f t="shared" si="0"/>
        <v>100</v>
      </c>
    </row>
    <row r="135" spans="1:10" ht="20.100000000000001" customHeight="1" x14ac:dyDescent="0.25">
      <c r="A135" s="14">
        <f t="shared" si="1"/>
        <v>0.25999999999999995</v>
      </c>
      <c r="B135" s="15">
        <f t="shared" si="2"/>
        <v>16.38</v>
      </c>
      <c r="C135" s="15">
        <f t="shared" si="3"/>
        <v>16.647583999999998</v>
      </c>
      <c r="D135" s="15">
        <f t="shared" si="0"/>
        <v>18.487223999999998</v>
      </c>
      <c r="E135" s="15">
        <f t="shared" si="0"/>
        <v>23.144857999999999</v>
      </c>
      <c r="F135" s="15">
        <f t="shared" si="0"/>
        <v>31.515219999999999</v>
      </c>
      <c r="G135" s="15">
        <f t="shared" si="0"/>
        <v>44.141840000000002</v>
      </c>
      <c r="H135" s="15">
        <f t="shared" si="0"/>
        <v>60.36412</v>
      </c>
      <c r="I135" s="15">
        <f t="shared" si="0"/>
        <v>79.262240000000006</v>
      </c>
      <c r="J135" s="15">
        <f t="shared" si="0"/>
        <v>100</v>
      </c>
    </row>
    <row r="136" spans="1:10" ht="20.100000000000001" customHeight="1" x14ac:dyDescent="0.25">
      <c r="A136" s="14">
        <f t="shared" si="1"/>
        <v>0.27999999999999997</v>
      </c>
      <c r="B136" s="15">
        <f t="shared" si="2"/>
        <v>17.919999999999998</v>
      </c>
      <c r="C136" s="15">
        <f t="shared" si="3"/>
        <v>18.182655999999998</v>
      </c>
      <c r="D136" s="15">
        <f t="shared" si="0"/>
        <v>19.988415999999997</v>
      </c>
      <c r="E136" s="15">
        <f t="shared" si="0"/>
        <v>24.560271999999998</v>
      </c>
      <c r="F136" s="15">
        <f t="shared" si="0"/>
        <v>32.776479999999999</v>
      </c>
      <c r="G136" s="15">
        <f t="shared" si="0"/>
        <v>45.170559999999995</v>
      </c>
      <c r="H136" s="15">
        <f t="shared" si="0"/>
        <v>61.094080000000005</v>
      </c>
      <c r="I136" s="15">
        <f t="shared" si="0"/>
        <v>79.644159999999999</v>
      </c>
      <c r="J136" s="15">
        <f t="shared" si="0"/>
        <v>100</v>
      </c>
    </row>
    <row r="137" spans="1:10" ht="20.100000000000001" customHeight="1" x14ac:dyDescent="0.25">
      <c r="A137" s="14">
        <f t="shared" si="1"/>
        <v>0.3</v>
      </c>
      <c r="B137" s="15">
        <f t="shared" si="2"/>
        <v>19.5</v>
      </c>
      <c r="C137" s="15">
        <f t="shared" si="3"/>
        <v>19.7576</v>
      </c>
      <c r="D137" s="15">
        <f t="shared" si="0"/>
        <v>21.528600000000001</v>
      </c>
      <c r="E137" s="15">
        <f t="shared" si="0"/>
        <v>26.012450000000001</v>
      </c>
      <c r="F137" s="15">
        <f t="shared" si="0"/>
        <v>34.070500000000003</v>
      </c>
      <c r="G137" s="15">
        <f t="shared" si="0"/>
        <v>46.225999999999999</v>
      </c>
      <c r="H137" s="15">
        <f t="shared" si="0"/>
        <v>61.843000000000004</v>
      </c>
      <c r="I137" s="15">
        <f t="shared" si="0"/>
        <v>80.036000000000001</v>
      </c>
      <c r="J137" s="15">
        <f t="shared" si="0"/>
        <v>100</v>
      </c>
    </row>
    <row r="138" spans="1:10" ht="20.100000000000001" customHeight="1" x14ac:dyDescent="0.25">
      <c r="A138" s="14">
        <f t="shared" si="1"/>
        <v>0.32</v>
      </c>
      <c r="B138" s="15">
        <f t="shared" si="2"/>
        <v>21.12</v>
      </c>
      <c r="C138" s="15">
        <f t="shared" si="3"/>
        <v>21.372416000000001</v>
      </c>
      <c r="D138" s="15">
        <f t="shared" si="0"/>
        <v>23.107776000000001</v>
      </c>
      <c r="E138" s="15">
        <f t="shared" si="0"/>
        <v>27.501392000000003</v>
      </c>
      <c r="F138" s="15">
        <f t="shared" si="0"/>
        <v>35.397280000000002</v>
      </c>
      <c r="G138" s="15">
        <f t="shared" si="0"/>
        <v>47.308160000000001</v>
      </c>
      <c r="H138" s="15">
        <f t="shared" si="0"/>
        <v>62.610879999999995</v>
      </c>
      <c r="I138" s="15">
        <f t="shared" si="0"/>
        <v>80.437759999999997</v>
      </c>
      <c r="J138" s="15">
        <f t="shared" si="0"/>
        <v>100</v>
      </c>
    </row>
    <row r="139" spans="1:10" ht="20.100000000000001" customHeight="1" x14ac:dyDescent="0.25">
      <c r="A139" s="14">
        <f t="shared" si="1"/>
        <v>0.34</v>
      </c>
      <c r="B139" s="15">
        <f t="shared" si="2"/>
        <v>22.780000000000005</v>
      </c>
      <c r="C139" s="15">
        <f t="shared" si="3"/>
        <v>23.027104000000005</v>
      </c>
      <c r="D139" s="15">
        <f t="shared" si="3"/>
        <v>24.725944000000005</v>
      </c>
      <c r="E139" s="15">
        <f t="shared" si="3"/>
        <v>29.027098000000002</v>
      </c>
      <c r="F139" s="15">
        <f t="shared" si="3"/>
        <v>36.756820000000005</v>
      </c>
      <c r="G139" s="15">
        <f t="shared" si="3"/>
        <v>48.417040000000007</v>
      </c>
      <c r="H139" s="15">
        <f t="shared" si="3"/>
        <v>63.397720000000007</v>
      </c>
      <c r="I139" s="15">
        <f t="shared" si="3"/>
        <v>80.849440000000016</v>
      </c>
      <c r="J139" s="15">
        <f t="shared" si="3"/>
        <v>100</v>
      </c>
    </row>
    <row r="140" spans="1:10" ht="20.100000000000001" customHeight="1" x14ac:dyDescent="0.25">
      <c r="A140" s="14">
        <f t="shared" si="1"/>
        <v>0.36000000000000004</v>
      </c>
      <c r="B140" s="15">
        <f t="shared" si="2"/>
        <v>24.48</v>
      </c>
      <c r="C140" s="15">
        <f t="shared" si="3"/>
        <v>24.721664000000001</v>
      </c>
      <c r="D140" s="15">
        <f t="shared" si="3"/>
        <v>26.383103999999999</v>
      </c>
      <c r="E140" s="15">
        <f t="shared" si="3"/>
        <v>30.589568</v>
      </c>
      <c r="F140" s="15">
        <f t="shared" si="3"/>
        <v>38.149119999999996</v>
      </c>
      <c r="G140" s="15">
        <f t="shared" si="3"/>
        <v>49.552639999999997</v>
      </c>
      <c r="H140" s="15">
        <f t="shared" si="3"/>
        <v>64.203519999999997</v>
      </c>
      <c r="I140" s="15">
        <f t="shared" si="3"/>
        <v>81.271039999999999</v>
      </c>
      <c r="J140" s="15">
        <f t="shared" si="3"/>
        <v>100</v>
      </c>
    </row>
    <row r="141" spans="1:10" ht="20.100000000000001" customHeight="1" x14ac:dyDescent="0.25">
      <c r="A141" s="14">
        <f t="shared" si="1"/>
        <v>0.38000000000000006</v>
      </c>
      <c r="B141" s="15">
        <f t="shared" si="2"/>
        <v>26.220000000000006</v>
      </c>
      <c r="C141" s="15">
        <f t="shared" si="3"/>
        <v>26.456096000000006</v>
      </c>
      <c r="D141" s="15">
        <f t="shared" si="3"/>
        <v>28.079256000000004</v>
      </c>
      <c r="E141" s="15">
        <f t="shared" si="3"/>
        <v>32.188802000000003</v>
      </c>
      <c r="F141" s="15">
        <f t="shared" si="3"/>
        <v>39.574180000000005</v>
      </c>
      <c r="G141" s="15">
        <f t="shared" si="3"/>
        <v>50.714960000000005</v>
      </c>
      <c r="H141" s="15">
        <f t="shared" si="3"/>
        <v>65.028279999999995</v>
      </c>
      <c r="I141" s="15">
        <f t="shared" si="3"/>
        <v>81.702560000000005</v>
      </c>
      <c r="J141" s="15">
        <f t="shared" si="3"/>
        <v>100</v>
      </c>
    </row>
    <row r="142" spans="1:10" ht="20.100000000000001" customHeight="1" x14ac:dyDescent="0.25">
      <c r="A142" s="14">
        <f t="shared" si="1"/>
        <v>0.40000000000000008</v>
      </c>
      <c r="B142" s="15">
        <f t="shared" si="2"/>
        <v>28.000000000000007</v>
      </c>
      <c r="C142" s="15">
        <f t="shared" si="3"/>
        <v>28.230400000000007</v>
      </c>
      <c r="D142" s="15">
        <f t="shared" si="3"/>
        <v>29.814400000000006</v>
      </c>
      <c r="E142" s="15">
        <f t="shared" si="3"/>
        <v>33.82480000000001</v>
      </c>
      <c r="F142" s="15">
        <f t="shared" si="3"/>
        <v>41.032000000000011</v>
      </c>
      <c r="G142" s="15">
        <f t="shared" si="3"/>
        <v>51.904000000000011</v>
      </c>
      <c r="H142" s="15">
        <f t="shared" si="3"/>
        <v>65.872000000000014</v>
      </c>
      <c r="I142" s="15">
        <f t="shared" si="3"/>
        <v>82.144000000000005</v>
      </c>
      <c r="J142" s="15">
        <f t="shared" si="3"/>
        <v>100</v>
      </c>
    </row>
    <row r="143" spans="1:10" ht="20.100000000000001" customHeight="1" x14ac:dyDescent="0.25">
      <c r="A143" s="14">
        <f t="shared" si="1"/>
        <v>0.4200000000000001</v>
      </c>
      <c r="B143" s="15">
        <f t="shared" si="2"/>
        <v>29.820000000000007</v>
      </c>
      <c r="C143" s="15">
        <f t="shared" si="3"/>
        <v>30.044576000000006</v>
      </c>
      <c r="D143" s="15">
        <f t="shared" si="3"/>
        <v>31.588536000000008</v>
      </c>
      <c r="E143" s="15">
        <f t="shared" si="3"/>
        <v>35.497562000000009</v>
      </c>
      <c r="F143" s="15">
        <f t="shared" si="3"/>
        <v>42.522580000000005</v>
      </c>
      <c r="G143" s="15">
        <f t="shared" si="3"/>
        <v>53.119760000000014</v>
      </c>
      <c r="H143" s="15">
        <f t="shared" si="3"/>
        <v>66.734679999999997</v>
      </c>
      <c r="I143" s="15">
        <f t="shared" si="3"/>
        <v>82.595359999999999</v>
      </c>
      <c r="J143" s="15">
        <f t="shared" si="3"/>
        <v>100</v>
      </c>
    </row>
    <row r="144" spans="1:10" ht="20.100000000000001" customHeight="1" x14ac:dyDescent="0.25">
      <c r="A144" s="14">
        <f t="shared" si="1"/>
        <v>0.44000000000000011</v>
      </c>
      <c r="B144" s="15">
        <f t="shared" si="2"/>
        <v>31.680000000000007</v>
      </c>
      <c r="C144" s="15">
        <f t="shared" si="3"/>
        <v>31.898624000000005</v>
      </c>
      <c r="D144" s="15">
        <f t="shared" si="3"/>
        <v>33.401664000000004</v>
      </c>
      <c r="E144" s="15">
        <f t="shared" si="3"/>
        <v>37.207088000000006</v>
      </c>
      <c r="F144" s="15">
        <f t="shared" si="3"/>
        <v>44.04592000000001</v>
      </c>
      <c r="G144" s="15">
        <f t="shared" si="3"/>
        <v>54.362240000000007</v>
      </c>
      <c r="H144" s="15">
        <f t="shared" si="3"/>
        <v>67.616320000000002</v>
      </c>
      <c r="I144" s="15">
        <f t="shared" si="3"/>
        <v>83.056640000000002</v>
      </c>
      <c r="J144" s="15">
        <f t="shared" si="3"/>
        <v>100</v>
      </c>
    </row>
    <row r="145" spans="1:10" ht="20.100000000000001" customHeight="1" x14ac:dyDescent="0.25">
      <c r="A145" s="14">
        <f t="shared" si="1"/>
        <v>0.46000000000000013</v>
      </c>
      <c r="B145" s="15">
        <f t="shared" si="2"/>
        <v>33.580000000000013</v>
      </c>
      <c r="C145" s="15">
        <f t="shared" si="3"/>
        <v>33.792544000000014</v>
      </c>
      <c r="D145" s="15">
        <f t="shared" si="3"/>
        <v>35.25378400000001</v>
      </c>
      <c r="E145" s="15">
        <f t="shared" si="3"/>
        <v>38.953378000000015</v>
      </c>
      <c r="F145" s="15">
        <f t="shared" si="3"/>
        <v>45.60202000000001</v>
      </c>
      <c r="G145" s="15">
        <f t="shared" si="3"/>
        <v>55.631440000000012</v>
      </c>
      <c r="H145" s="15">
        <f t="shared" si="3"/>
        <v>68.516919999999999</v>
      </c>
      <c r="I145" s="15">
        <f t="shared" si="3"/>
        <v>83.527840000000012</v>
      </c>
      <c r="J145" s="15">
        <f t="shared" si="3"/>
        <v>100</v>
      </c>
    </row>
    <row r="146" spans="1:10" ht="20.100000000000001" customHeight="1" x14ac:dyDescent="0.25">
      <c r="A146" s="14">
        <f t="shared" si="1"/>
        <v>0.48000000000000015</v>
      </c>
      <c r="B146" s="15">
        <f t="shared" si="2"/>
        <v>35.52000000000001</v>
      </c>
      <c r="C146" s="15">
        <f t="shared" si="3"/>
        <v>35.726336000000011</v>
      </c>
      <c r="D146" s="15">
        <f t="shared" si="3"/>
        <v>37.14489600000001</v>
      </c>
      <c r="E146" s="15">
        <f t="shared" si="3"/>
        <v>40.736432000000008</v>
      </c>
      <c r="F146" s="15">
        <f t="shared" si="3"/>
        <v>47.190880000000007</v>
      </c>
      <c r="G146" s="15">
        <f t="shared" si="3"/>
        <v>56.927360000000007</v>
      </c>
      <c r="H146" s="15">
        <f t="shared" si="3"/>
        <v>69.436480000000017</v>
      </c>
      <c r="I146" s="15">
        <f t="shared" si="3"/>
        <v>84.008960000000002</v>
      </c>
      <c r="J146" s="15">
        <f t="shared" si="3"/>
        <v>100</v>
      </c>
    </row>
    <row r="147" spans="1:10" ht="20.100000000000001" customHeight="1" x14ac:dyDescent="0.25">
      <c r="A147" s="14">
        <f t="shared" si="1"/>
        <v>0.50000000000000011</v>
      </c>
      <c r="B147" s="15">
        <f t="shared" si="2"/>
        <v>37.500000000000014</v>
      </c>
      <c r="C147" s="15">
        <f t="shared" si="3"/>
        <v>37.700000000000017</v>
      </c>
      <c r="D147" s="15">
        <f t="shared" si="3"/>
        <v>39.075000000000017</v>
      </c>
      <c r="E147" s="15">
        <f t="shared" si="3"/>
        <v>42.556250000000013</v>
      </c>
      <c r="F147" s="15">
        <f t="shared" si="3"/>
        <v>48.812500000000014</v>
      </c>
      <c r="G147" s="15">
        <f t="shared" si="3"/>
        <v>58.250000000000014</v>
      </c>
      <c r="H147" s="15">
        <f t="shared" si="3"/>
        <v>70.375</v>
      </c>
      <c r="I147" s="15">
        <f t="shared" si="3"/>
        <v>84.5</v>
      </c>
      <c r="J147" s="15">
        <f t="shared" si="3"/>
        <v>100</v>
      </c>
    </row>
    <row r="148" spans="1:10" ht="20.100000000000001" customHeight="1" x14ac:dyDescent="0.25">
      <c r="A148" s="14">
        <f t="shared" si="1"/>
        <v>0.52000000000000013</v>
      </c>
      <c r="B148" s="15">
        <f t="shared" si="2"/>
        <v>39.52000000000001</v>
      </c>
      <c r="C148" s="15">
        <f t="shared" si="3"/>
        <v>39.713536000000012</v>
      </c>
      <c r="D148" s="15">
        <f t="shared" si="3"/>
        <v>41.04409600000001</v>
      </c>
      <c r="E148" s="15">
        <f t="shared" si="3"/>
        <v>44.412832000000009</v>
      </c>
      <c r="F148" s="15">
        <f t="shared" si="3"/>
        <v>50.46688000000001</v>
      </c>
      <c r="G148" s="15">
        <f t="shared" si="3"/>
        <v>59.599360000000004</v>
      </c>
      <c r="H148" s="15">
        <f t="shared" si="3"/>
        <v>71.332480000000004</v>
      </c>
      <c r="I148" s="15">
        <f t="shared" si="3"/>
        <v>85.000960000000006</v>
      </c>
      <c r="J148" s="15">
        <f t="shared" si="3"/>
        <v>100</v>
      </c>
    </row>
    <row r="149" spans="1:10" ht="20.100000000000001" customHeight="1" x14ac:dyDescent="0.25">
      <c r="A149" s="14">
        <f t="shared" si="1"/>
        <v>0.54000000000000015</v>
      </c>
      <c r="B149" s="15">
        <f t="shared" si="2"/>
        <v>41.58000000000002</v>
      </c>
      <c r="C149" s="15">
        <f t="shared" si="3"/>
        <v>41.766944000000017</v>
      </c>
      <c r="D149" s="15">
        <f t="shared" si="3"/>
        <v>43.052184000000018</v>
      </c>
      <c r="E149" s="15">
        <f t="shared" si="3"/>
        <v>46.306178000000017</v>
      </c>
      <c r="F149" s="15">
        <f t="shared" si="3"/>
        <v>52.154020000000017</v>
      </c>
      <c r="G149" s="15">
        <f t="shared" si="3"/>
        <v>60.975440000000013</v>
      </c>
      <c r="H149" s="15">
        <f t="shared" si="3"/>
        <v>72.308920000000001</v>
      </c>
      <c r="I149" s="15">
        <f t="shared" si="3"/>
        <v>85.511840000000007</v>
      </c>
      <c r="J149" s="15">
        <f t="shared" si="3"/>
        <v>100</v>
      </c>
    </row>
    <row r="150" spans="1:10" ht="20.100000000000001" customHeight="1" x14ac:dyDescent="0.25">
      <c r="A150" s="14">
        <f t="shared" si="1"/>
        <v>0.56000000000000016</v>
      </c>
      <c r="B150" s="15">
        <f t="shared" si="2"/>
        <v>43.680000000000021</v>
      </c>
      <c r="C150" s="15">
        <f t="shared" si="3"/>
        <v>43.860224000000024</v>
      </c>
      <c r="D150" s="15">
        <f t="shared" si="3"/>
        <v>45.099264000000019</v>
      </c>
      <c r="E150" s="15">
        <f t="shared" si="3"/>
        <v>48.236288000000016</v>
      </c>
      <c r="F150" s="15">
        <f t="shared" si="3"/>
        <v>53.87392000000002</v>
      </c>
      <c r="G150" s="15">
        <f t="shared" si="3"/>
        <v>62.378240000000019</v>
      </c>
      <c r="H150" s="15">
        <f t="shared" si="3"/>
        <v>73.304320000000018</v>
      </c>
      <c r="I150" s="15">
        <f t="shared" si="3"/>
        <v>86.032640000000001</v>
      </c>
      <c r="J150" s="15">
        <f t="shared" si="3"/>
        <v>100</v>
      </c>
    </row>
    <row r="151" spans="1:10" ht="20.100000000000001" customHeight="1" x14ac:dyDescent="0.25">
      <c r="A151" s="14">
        <f t="shared" si="1"/>
        <v>0.58000000000000018</v>
      </c>
      <c r="B151" s="15">
        <f t="shared" si="2"/>
        <v>45.820000000000014</v>
      </c>
      <c r="C151" s="15">
        <f t="shared" si="3"/>
        <v>45.993376000000012</v>
      </c>
      <c r="D151" s="15">
        <f t="shared" si="3"/>
        <v>47.185336000000014</v>
      </c>
      <c r="E151" s="15">
        <f t="shared" si="3"/>
        <v>50.203162000000013</v>
      </c>
      <c r="F151" s="15">
        <f t="shared" si="3"/>
        <v>55.626580000000011</v>
      </c>
      <c r="G151" s="15">
        <f t="shared" si="3"/>
        <v>63.807760000000009</v>
      </c>
      <c r="H151" s="15">
        <f t="shared" si="3"/>
        <v>74.318680000000001</v>
      </c>
      <c r="I151" s="15">
        <f t="shared" si="3"/>
        <v>86.563360000000003</v>
      </c>
      <c r="J151" s="15">
        <f t="shared" si="3"/>
        <v>100</v>
      </c>
    </row>
    <row r="152" spans="1:10" ht="20.100000000000001" customHeight="1" x14ac:dyDescent="0.25">
      <c r="A152" s="14">
        <f t="shared" si="1"/>
        <v>0.6000000000000002</v>
      </c>
      <c r="B152" s="15">
        <f t="shared" si="2"/>
        <v>48.000000000000021</v>
      </c>
      <c r="C152" s="15">
        <f t="shared" si="3"/>
        <v>48.166400000000024</v>
      </c>
      <c r="D152" s="15">
        <f t="shared" si="3"/>
        <v>49.310400000000023</v>
      </c>
      <c r="E152" s="15">
        <f t="shared" si="3"/>
        <v>52.206800000000023</v>
      </c>
      <c r="F152" s="15">
        <f t="shared" si="3"/>
        <v>57.41200000000002</v>
      </c>
      <c r="G152" s="15">
        <f t="shared" si="3"/>
        <v>65.26400000000001</v>
      </c>
      <c r="H152" s="15">
        <f t="shared" si="3"/>
        <v>75.352000000000004</v>
      </c>
      <c r="I152" s="15">
        <f t="shared" si="3"/>
        <v>87.104000000000013</v>
      </c>
      <c r="J152" s="15">
        <f t="shared" si="3"/>
        <v>100</v>
      </c>
    </row>
    <row r="153" spans="1:10" ht="20.100000000000001" customHeight="1" x14ac:dyDescent="0.25">
      <c r="A153" s="14">
        <f t="shared" si="1"/>
        <v>0.62000000000000022</v>
      </c>
      <c r="B153" s="15">
        <f t="shared" si="2"/>
        <v>50.22000000000002</v>
      </c>
      <c r="C153" s="15">
        <f t="shared" si="3"/>
        <v>50.379296000000018</v>
      </c>
      <c r="D153" s="15">
        <f t="shared" si="3"/>
        <v>51.474456000000018</v>
      </c>
      <c r="E153" s="15">
        <f t="shared" si="3"/>
        <v>54.247202000000016</v>
      </c>
      <c r="F153" s="15">
        <f t="shared" si="3"/>
        <v>59.230180000000018</v>
      </c>
      <c r="G153" s="15">
        <f t="shared" si="3"/>
        <v>66.746960000000016</v>
      </c>
      <c r="H153" s="15">
        <f t="shared" si="3"/>
        <v>76.404280000000014</v>
      </c>
      <c r="I153" s="15">
        <f t="shared" si="3"/>
        <v>87.654560000000004</v>
      </c>
      <c r="J153" s="15">
        <f t="shared" si="3"/>
        <v>100</v>
      </c>
    </row>
    <row r="154" spans="1:10" ht="20.100000000000001" customHeight="1" x14ac:dyDescent="0.25">
      <c r="A154" s="14">
        <f t="shared" si="1"/>
        <v>0.64000000000000024</v>
      </c>
      <c r="B154" s="15">
        <f t="shared" si="2"/>
        <v>52.480000000000025</v>
      </c>
      <c r="C154" s="15">
        <f t="shared" si="3"/>
        <v>52.632064000000028</v>
      </c>
      <c r="D154" s="15">
        <f t="shared" si="3"/>
        <v>53.677504000000027</v>
      </c>
      <c r="E154" s="15">
        <f t="shared" si="3"/>
        <v>56.324368000000021</v>
      </c>
      <c r="F154" s="15">
        <f t="shared" si="3"/>
        <v>61.08112000000002</v>
      </c>
      <c r="G154" s="15">
        <f t="shared" si="3"/>
        <v>68.256640000000019</v>
      </c>
      <c r="H154" s="15">
        <f t="shared" si="3"/>
        <v>77.475520000000017</v>
      </c>
      <c r="I154" s="15">
        <f t="shared" si="3"/>
        <v>88.215040000000016</v>
      </c>
      <c r="J154" s="15">
        <f t="shared" si="3"/>
        <v>100</v>
      </c>
    </row>
    <row r="155" spans="1:10" ht="20.100000000000001" customHeight="1" x14ac:dyDescent="0.25">
      <c r="A155" s="14">
        <f t="shared" si="1"/>
        <v>0.66000000000000025</v>
      </c>
      <c r="B155" s="15">
        <f t="shared" si="2"/>
        <v>54.78000000000003</v>
      </c>
      <c r="C155" s="15">
        <f t="shared" si="3"/>
        <v>54.924704000000027</v>
      </c>
      <c r="D155" s="15">
        <f t="shared" si="3"/>
        <v>55.91954400000003</v>
      </c>
      <c r="E155" s="15">
        <f t="shared" si="3"/>
        <v>58.438298000000025</v>
      </c>
      <c r="F155" s="15">
        <f t="shared" si="3"/>
        <v>62.964820000000024</v>
      </c>
      <c r="G155" s="15">
        <f t="shared" si="3"/>
        <v>69.793040000000019</v>
      </c>
      <c r="H155" s="15">
        <f t="shared" si="3"/>
        <v>78.565720000000013</v>
      </c>
      <c r="I155" s="15">
        <f t="shared" si="3"/>
        <v>88.785440000000008</v>
      </c>
      <c r="J155" s="15">
        <f t="shared" si="3"/>
        <v>100</v>
      </c>
    </row>
    <row r="156" spans="1:10" ht="20.100000000000001" customHeight="1" x14ac:dyDescent="0.25">
      <c r="A156" s="14">
        <f t="shared" si="1"/>
        <v>0.68000000000000027</v>
      </c>
      <c r="B156" s="15">
        <f t="shared" si="2"/>
        <v>57.12000000000004</v>
      </c>
      <c r="C156" s="15">
        <f t="shared" ref="C156:J172" si="4">$B156+((100-$B156)*C$122/100)</f>
        <v>57.257216000000042</v>
      </c>
      <c r="D156" s="15">
        <f t="shared" si="4"/>
        <v>58.200576000000041</v>
      </c>
      <c r="E156" s="15">
        <f t="shared" si="4"/>
        <v>60.588992000000033</v>
      </c>
      <c r="F156" s="15">
        <f t="shared" si="4"/>
        <v>64.881280000000032</v>
      </c>
      <c r="G156" s="15">
        <f t="shared" si="4"/>
        <v>71.356160000000031</v>
      </c>
      <c r="H156" s="15">
        <f t="shared" si="4"/>
        <v>79.674880000000016</v>
      </c>
      <c r="I156" s="15">
        <f t="shared" si="4"/>
        <v>89.365760000000023</v>
      </c>
      <c r="J156" s="15">
        <f t="shared" si="4"/>
        <v>100</v>
      </c>
    </row>
    <row r="157" spans="1:10" ht="20.100000000000001" customHeight="1" x14ac:dyDescent="0.25">
      <c r="A157" s="14">
        <f t="shared" si="1"/>
        <v>0.70000000000000029</v>
      </c>
      <c r="B157" s="15">
        <f t="shared" si="2"/>
        <v>59.500000000000028</v>
      </c>
      <c r="C157" s="15">
        <f t="shared" si="4"/>
        <v>59.629600000000025</v>
      </c>
      <c r="D157" s="15">
        <f t="shared" si="4"/>
        <v>60.52060000000003</v>
      </c>
      <c r="E157" s="15">
        <f t="shared" si="4"/>
        <v>62.776450000000025</v>
      </c>
      <c r="F157" s="15">
        <f t="shared" si="4"/>
        <v>66.830500000000029</v>
      </c>
      <c r="G157" s="15">
        <f t="shared" si="4"/>
        <v>72.946000000000026</v>
      </c>
      <c r="H157" s="15">
        <f t="shared" si="4"/>
        <v>80.803000000000011</v>
      </c>
      <c r="I157" s="15">
        <f t="shared" si="4"/>
        <v>89.956000000000017</v>
      </c>
      <c r="J157" s="15">
        <f t="shared" si="4"/>
        <v>100</v>
      </c>
    </row>
    <row r="158" spans="1:10" ht="20.100000000000001" customHeight="1" x14ac:dyDescent="0.25">
      <c r="A158" s="14">
        <f t="shared" si="1"/>
        <v>0.72000000000000031</v>
      </c>
      <c r="B158" s="15">
        <f t="shared" si="2"/>
        <v>61.920000000000044</v>
      </c>
      <c r="C158" s="15">
        <f t="shared" si="4"/>
        <v>62.041856000000045</v>
      </c>
      <c r="D158" s="15">
        <f t="shared" si="4"/>
        <v>62.879616000000041</v>
      </c>
      <c r="E158" s="15">
        <f t="shared" si="4"/>
        <v>65.000672000000037</v>
      </c>
      <c r="F158" s="15">
        <f t="shared" si="4"/>
        <v>68.812480000000036</v>
      </c>
      <c r="G158" s="15">
        <f t="shared" si="4"/>
        <v>74.562560000000033</v>
      </c>
      <c r="H158" s="15">
        <f t="shared" si="4"/>
        <v>81.950080000000014</v>
      </c>
      <c r="I158" s="15">
        <f t="shared" si="4"/>
        <v>90.556160000000006</v>
      </c>
      <c r="J158" s="15">
        <f t="shared" si="4"/>
        <v>100</v>
      </c>
    </row>
    <row r="159" spans="1:10" ht="20.100000000000001" customHeight="1" x14ac:dyDescent="0.25">
      <c r="A159" s="14">
        <f t="shared" si="1"/>
        <v>0.74000000000000032</v>
      </c>
      <c r="B159" s="15">
        <f t="shared" si="2"/>
        <v>64.380000000000038</v>
      </c>
      <c r="C159" s="15">
        <f t="shared" si="4"/>
        <v>64.49398400000004</v>
      </c>
      <c r="D159" s="15">
        <f t="shared" si="4"/>
        <v>65.277624000000031</v>
      </c>
      <c r="E159" s="15">
        <f t="shared" si="4"/>
        <v>67.26165800000004</v>
      </c>
      <c r="F159" s="15">
        <f t="shared" si="4"/>
        <v>70.82722000000004</v>
      </c>
      <c r="G159" s="15">
        <f t="shared" si="4"/>
        <v>76.205840000000023</v>
      </c>
      <c r="H159" s="15">
        <f t="shared" si="4"/>
        <v>83.116120000000024</v>
      </c>
      <c r="I159" s="15">
        <f t="shared" si="4"/>
        <v>91.166240000000016</v>
      </c>
      <c r="J159" s="15">
        <f t="shared" si="4"/>
        <v>100</v>
      </c>
    </row>
    <row r="160" spans="1:10" ht="20.100000000000001" customHeight="1" x14ac:dyDescent="0.25">
      <c r="A160" s="14">
        <f t="shared" si="1"/>
        <v>0.76000000000000034</v>
      </c>
      <c r="B160" s="15">
        <f t="shared" si="2"/>
        <v>66.880000000000052</v>
      </c>
      <c r="C160" s="15">
        <f t="shared" si="4"/>
        <v>66.985984000000059</v>
      </c>
      <c r="D160" s="15">
        <f t="shared" si="4"/>
        <v>67.714624000000057</v>
      </c>
      <c r="E160" s="15">
        <f t="shared" si="4"/>
        <v>69.559408000000047</v>
      </c>
      <c r="F160" s="15">
        <f t="shared" si="4"/>
        <v>72.874720000000039</v>
      </c>
      <c r="G160" s="15">
        <f t="shared" si="4"/>
        <v>77.875840000000039</v>
      </c>
      <c r="H160" s="15">
        <f t="shared" si="4"/>
        <v>84.301120000000026</v>
      </c>
      <c r="I160" s="15">
        <f t="shared" si="4"/>
        <v>91.786240000000021</v>
      </c>
      <c r="J160" s="15">
        <f t="shared" si="4"/>
        <v>100</v>
      </c>
    </row>
    <row r="161" spans="1:10" ht="20.100000000000001" customHeight="1" x14ac:dyDescent="0.25">
      <c r="A161" s="14">
        <f t="shared" si="1"/>
        <v>0.78000000000000036</v>
      </c>
      <c r="B161" s="15">
        <f t="shared" si="2"/>
        <v>69.420000000000044</v>
      </c>
      <c r="C161" s="15">
        <f t="shared" si="4"/>
        <v>69.517856000000037</v>
      </c>
      <c r="D161" s="15">
        <f t="shared" si="4"/>
        <v>70.190616000000048</v>
      </c>
      <c r="E161" s="15">
        <f t="shared" si="4"/>
        <v>71.893922000000046</v>
      </c>
      <c r="F161" s="15">
        <f t="shared" si="4"/>
        <v>74.954980000000035</v>
      </c>
      <c r="G161" s="15">
        <f t="shared" si="4"/>
        <v>79.572560000000038</v>
      </c>
      <c r="H161" s="15">
        <f t="shared" si="4"/>
        <v>85.505080000000021</v>
      </c>
      <c r="I161" s="15">
        <f t="shared" si="4"/>
        <v>92.416160000000019</v>
      </c>
      <c r="J161" s="15">
        <f t="shared" si="4"/>
        <v>100</v>
      </c>
    </row>
    <row r="162" spans="1:10" ht="20.100000000000001" customHeight="1" x14ac:dyDescent="0.25">
      <c r="A162" s="14">
        <f t="shared" si="1"/>
        <v>0.80000000000000038</v>
      </c>
      <c r="B162" s="15">
        <f t="shared" si="2"/>
        <v>72.000000000000043</v>
      </c>
      <c r="C162" s="15">
        <f t="shared" si="4"/>
        <v>72.089600000000047</v>
      </c>
      <c r="D162" s="15">
        <f t="shared" si="4"/>
        <v>72.705600000000047</v>
      </c>
      <c r="E162" s="15">
        <f t="shared" si="4"/>
        <v>74.265200000000036</v>
      </c>
      <c r="F162" s="15">
        <f t="shared" si="4"/>
        <v>77.06800000000004</v>
      </c>
      <c r="G162" s="15">
        <f t="shared" si="4"/>
        <v>81.296000000000035</v>
      </c>
      <c r="H162" s="15">
        <f t="shared" si="4"/>
        <v>86.728000000000023</v>
      </c>
      <c r="I162" s="15">
        <f t="shared" si="4"/>
        <v>93.056000000000012</v>
      </c>
      <c r="J162" s="15">
        <f t="shared" si="4"/>
        <v>100</v>
      </c>
    </row>
    <row r="163" spans="1:10" ht="20.100000000000001" customHeight="1" x14ac:dyDescent="0.25">
      <c r="A163" s="14">
        <f t="shared" si="1"/>
        <v>0.8200000000000004</v>
      </c>
      <c r="B163" s="15">
        <f t="shared" si="2"/>
        <v>74.620000000000047</v>
      </c>
      <c r="C163" s="15">
        <f t="shared" si="4"/>
        <v>74.701216000000045</v>
      </c>
      <c r="D163" s="15">
        <f t="shared" si="4"/>
        <v>75.259576000000052</v>
      </c>
      <c r="E163" s="15">
        <f t="shared" si="4"/>
        <v>76.673242000000045</v>
      </c>
      <c r="F163" s="15">
        <f t="shared" si="4"/>
        <v>79.213780000000042</v>
      </c>
      <c r="G163" s="15">
        <f t="shared" si="4"/>
        <v>83.046160000000029</v>
      </c>
      <c r="H163" s="15">
        <f t="shared" si="4"/>
        <v>87.969880000000018</v>
      </c>
      <c r="I163" s="15">
        <f t="shared" si="4"/>
        <v>93.705760000000012</v>
      </c>
      <c r="J163" s="15">
        <f t="shared" si="4"/>
        <v>100</v>
      </c>
    </row>
    <row r="164" spans="1:10" ht="20.100000000000001" customHeight="1" x14ac:dyDescent="0.25">
      <c r="A164" s="14">
        <f t="shared" si="1"/>
        <v>0.84000000000000041</v>
      </c>
      <c r="B164" s="15">
        <f t="shared" si="2"/>
        <v>77.280000000000058</v>
      </c>
      <c r="C164" s="15">
        <f t="shared" si="4"/>
        <v>77.35270400000006</v>
      </c>
      <c r="D164" s="15">
        <f t="shared" si="4"/>
        <v>77.852544000000051</v>
      </c>
      <c r="E164" s="15">
        <f t="shared" si="4"/>
        <v>79.118048000000059</v>
      </c>
      <c r="F164" s="15">
        <f t="shared" si="4"/>
        <v>81.392320000000041</v>
      </c>
      <c r="G164" s="15">
        <f t="shared" si="4"/>
        <v>84.823040000000034</v>
      </c>
      <c r="H164" s="15">
        <f t="shared" si="4"/>
        <v>89.230720000000019</v>
      </c>
      <c r="I164" s="15">
        <f t="shared" si="4"/>
        <v>94.365440000000021</v>
      </c>
      <c r="J164" s="15">
        <f t="shared" si="4"/>
        <v>100</v>
      </c>
    </row>
    <row r="165" spans="1:10" ht="20.100000000000001" customHeight="1" x14ac:dyDescent="0.25">
      <c r="A165" s="14">
        <f t="shared" si="1"/>
        <v>0.86000000000000043</v>
      </c>
      <c r="B165" s="15">
        <f t="shared" si="2"/>
        <v>79.980000000000047</v>
      </c>
      <c r="C165" s="15">
        <f t="shared" si="4"/>
        <v>80.044064000000049</v>
      </c>
      <c r="D165" s="15">
        <f t="shared" si="4"/>
        <v>80.484504000000044</v>
      </c>
      <c r="E165" s="15">
        <f t="shared" si="4"/>
        <v>81.599618000000049</v>
      </c>
      <c r="F165" s="15">
        <f t="shared" si="4"/>
        <v>83.603620000000035</v>
      </c>
      <c r="G165" s="15">
        <f t="shared" si="4"/>
        <v>86.626640000000037</v>
      </c>
      <c r="H165" s="15">
        <f t="shared" si="4"/>
        <v>90.510520000000028</v>
      </c>
      <c r="I165" s="15">
        <f t="shared" si="4"/>
        <v>95.035040000000009</v>
      </c>
      <c r="J165" s="15">
        <f t="shared" si="4"/>
        <v>100</v>
      </c>
    </row>
    <row r="166" spans="1:10" ht="20.100000000000001" customHeight="1" x14ac:dyDescent="0.25">
      <c r="A166" s="14">
        <f t="shared" si="1"/>
        <v>0.88000000000000045</v>
      </c>
      <c r="B166" s="15">
        <f t="shared" si="2"/>
        <v>82.720000000000056</v>
      </c>
      <c r="C166" s="15">
        <f t="shared" si="4"/>
        <v>82.775296000000054</v>
      </c>
      <c r="D166" s="15">
        <f t="shared" si="4"/>
        <v>83.155456000000058</v>
      </c>
      <c r="E166" s="15">
        <f t="shared" si="4"/>
        <v>84.117952000000045</v>
      </c>
      <c r="F166" s="15">
        <f t="shared" si="4"/>
        <v>85.84768000000004</v>
      </c>
      <c r="G166" s="15">
        <f t="shared" si="4"/>
        <v>88.456960000000038</v>
      </c>
      <c r="H166" s="15">
        <f t="shared" si="4"/>
        <v>91.80928000000003</v>
      </c>
      <c r="I166" s="15">
        <f t="shared" si="4"/>
        <v>95.714560000000006</v>
      </c>
      <c r="J166" s="15">
        <f t="shared" si="4"/>
        <v>100</v>
      </c>
    </row>
    <row r="167" spans="1:10" ht="20.100000000000001" customHeight="1" x14ac:dyDescent="0.25">
      <c r="A167" s="14">
        <f t="shared" si="1"/>
        <v>0.90000000000000047</v>
      </c>
      <c r="B167" s="15">
        <f t="shared" si="2"/>
        <v>85.500000000000071</v>
      </c>
      <c r="C167" s="15">
        <f t="shared" si="4"/>
        <v>85.546400000000077</v>
      </c>
      <c r="D167" s="15">
        <f t="shared" si="4"/>
        <v>85.865400000000065</v>
      </c>
      <c r="E167" s="15">
        <f t="shared" si="4"/>
        <v>86.67305000000006</v>
      </c>
      <c r="F167" s="15">
        <f t="shared" si="4"/>
        <v>88.124500000000054</v>
      </c>
      <c r="G167" s="15">
        <f t="shared" si="4"/>
        <v>90.31400000000005</v>
      </c>
      <c r="H167" s="15">
        <f t="shared" si="4"/>
        <v>93.127000000000038</v>
      </c>
      <c r="I167" s="15">
        <f t="shared" si="4"/>
        <v>96.404000000000025</v>
      </c>
      <c r="J167" s="15">
        <f t="shared" si="4"/>
        <v>100</v>
      </c>
    </row>
    <row r="168" spans="1:10" ht="20.100000000000001" customHeight="1" x14ac:dyDescent="0.25">
      <c r="A168" s="14">
        <f t="shared" si="1"/>
        <v>0.92000000000000048</v>
      </c>
      <c r="B168" s="15">
        <f t="shared" si="2"/>
        <v>88.320000000000064</v>
      </c>
      <c r="C168" s="15">
        <f t="shared" si="4"/>
        <v>88.357376000000059</v>
      </c>
      <c r="D168" s="15">
        <f t="shared" si="4"/>
        <v>88.614336000000065</v>
      </c>
      <c r="E168" s="15">
        <f t="shared" si="4"/>
        <v>89.264912000000052</v>
      </c>
      <c r="F168" s="15">
        <f t="shared" si="4"/>
        <v>90.434080000000051</v>
      </c>
      <c r="G168" s="15">
        <f t="shared" si="4"/>
        <v>92.197760000000045</v>
      </c>
      <c r="H168" s="15">
        <f t="shared" si="4"/>
        <v>94.463680000000025</v>
      </c>
      <c r="I168" s="15">
        <f t="shared" si="4"/>
        <v>97.103360000000009</v>
      </c>
      <c r="J168" s="15">
        <f t="shared" si="4"/>
        <v>100</v>
      </c>
    </row>
    <row r="169" spans="1:10" ht="20.100000000000001" customHeight="1" x14ac:dyDescent="0.25">
      <c r="A169" s="14">
        <f t="shared" si="1"/>
        <v>0.9400000000000005</v>
      </c>
      <c r="B169" s="15">
        <f t="shared" si="2"/>
        <v>91.180000000000078</v>
      </c>
      <c r="C169" s="15">
        <f t="shared" si="4"/>
        <v>91.208224000000072</v>
      </c>
      <c r="D169" s="15">
        <f t="shared" si="4"/>
        <v>91.402264000000073</v>
      </c>
      <c r="E169" s="15">
        <f t="shared" si="4"/>
        <v>91.893538000000078</v>
      </c>
      <c r="F169" s="15">
        <f t="shared" si="4"/>
        <v>92.776420000000059</v>
      </c>
      <c r="G169" s="15">
        <f t="shared" si="4"/>
        <v>94.108240000000052</v>
      </c>
      <c r="H169" s="15">
        <f t="shared" si="4"/>
        <v>95.819320000000033</v>
      </c>
      <c r="I169" s="15">
        <f t="shared" si="4"/>
        <v>97.812640000000016</v>
      </c>
      <c r="J169" s="15">
        <f t="shared" si="4"/>
        <v>100</v>
      </c>
    </row>
    <row r="170" spans="1:10" ht="20.100000000000001" customHeight="1" x14ac:dyDescent="0.25">
      <c r="A170" s="14">
        <f t="shared" si="1"/>
        <v>0.96000000000000052</v>
      </c>
      <c r="B170" s="15">
        <f t="shared" si="2"/>
        <v>94.080000000000069</v>
      </c>
      <c r="C170" s="15">
        <f t="shared" si="4"/>
        <v>94.098944000000074</v>
      </c>
      <c r="D170" s="15">
        <f t="shared" si="4"/>
        <v>94.229184000000075</v>
      </c>
      <c r="E170" s="15">
        <f t="shared" si="4"/>
        <v>94.558928000000066</v>
      </c>
      <c r="F170" s="15">
        <f t="shared" si="4"/>
        <v>95.151520000000062</v>
      </c>
      <c r="G170" s="15">
        <f t="shared" si="4"/>
        <v>96.045440000000042</v>
      </c>
      <c r="H170" s="15">
        <f t="shared" si="4"/>
        <v>97.193920000000034</v>
      </c>
      <c r="I170" s="15">
        <f t="shared" si="4"/>
        <v>98.531840000000017</v>
      </c>
      <c r="J170" s="15">
        <f t="shared" si="4"/>
        <v>100</v>
      </c>
    </row>
    <row r="171" spans="1:10" ht="20.100000000000001" customHeight="1" x14ac:dyDescent="0.25">
      <c r="A171" s="14">
        <f t="shared" si="1"/>
        <v>0.98000000000000054</v>
      </c>
      <c r="B171" s="15">
        <f t="shared" si="2"/>
        <v>97.020000000000081</v>
      </c>
      <c r="C171" s="15">
        <f t="shared" si="4"/>
        <v>97.029536000000078</v>
      </c>
      <c r="D171" s="15">
        <f t="shared" si="4"/>
        <v>97.095096000000083</v>
      </c>
      <c r="E171" s="15">
        <f t="shared" si="4"/>
        <v>97.261082000000073</v>
      </c>
      <c r="F171" s="15">
        <f t="shared" si="4"/>
        <v>97.559380000000061</v>
      </c>
      <c r="G171" s="15">
        <f t="shared" si="4"/>
        <v>98.009360000000058</v>
      </c>
      <c r="H171" s="15">
        <f t="shared" si="4"/>
        <v>98.587480000000042</v>
      </c>
      <c r="I171" s="15">
        <f t="shared" si="4"/>
        <v>99.260960000000026</v>
      </c>
      <c r="J171" s="15">
        <f t="shared" si="4"/>
        <v>100</v>
      </c>
    </row>
    <row r="172" spans="1:10" ht="20.100000000000001" customHeight="1" x14ac:dyDescent="0.25">
      <c r="A172" s="14">
        <f t="shared" si="1"/>
        <v>1.0000000000000004</v>
      </c>
      <c r="B172" s="15">
        <f t="shared" si="2"/>
        <v>100.00000000000007</v>
      </c>
      <c r="C172" s="15">
        <f t="shared" si="4"/>
        <v>100.00000000000007</v>
      </c>
      <c r="D172" s="15">
        <f t="shared" si="4"/>
        <v>100.00000000000007</v>
      </c>
      <c r="E172" s="15">
        <f t="shared" si="4"/>
        <v>100.00000000000007</v>
      </c>
      <c r="F172" s="15">
        <f t="shared" si="4"/>
        <v>100.00000000000006</v>
      </c>
      <c r="G172" s="15">
        <f t="shared" si="4"/>
        <v>100.00000000000004</v>
      </c>
      <c r="H172" s="15">
        <f t="shared" si="4"/>
        <v>100.00000000000003</v>
      </c>
      <c r="I172" s="15">
        <f t="shared" si="4"/>
        <v>100.00000000000001</v>
      </c>
      <c r="J172" s="15">
        <f t="shared" si="4"/>
        <v>100</v>
      </c>
    </row>
    <row r="174" spans="1:10" ht="20.100000000000001" customHeight="1" x14ac:dyDescent="0.25">
      <c r="A174" s="218" t="s">
        <v>373</v>
      </c>
      <c r="B174" s="218"/>
      <c r="C174" s="218"/>
      <c r="D174" s="218"/>
      <c r="E174" s="218"/>
      <c r="F174" s="218"/>
      <c r="G174" s="218"/>
      <c r="H174" s="218"/>
      <c r="I174" s="218"/>
      <c r="J174" s="218"/>
    </row>
    <row r="176" spans="1:10" ht="20.100000000000001" customHeight="1" x14ac:dyDescent="0.25">
      <c r="E176" s="16"/>
      <c r="F176" s="16"/>
      <c r="G176" s="16"/>
      <c r="H176" s="16"/>
      <c r="I176" s="16"/>
      <c r="J176" s="16"/>
    </row>
    <row r="177" spans="1:10" ht="20.100000000000001" customHeight="1" x14ac:dyDescent="0.25">
      <c r="A177" s="2"/>
      <c r="B177" s="2"/>
      <c r="C177" s="17"/>
      <c r="D177" s="18"/>
      <c r="E177" s="16"/>
      <c r="F177" s="16"/>
      <c r="G177" s="16"/>
      <c r="H177" s="16"/>
      <c r="I177" s="16"/>
      <c r="J177" s="16"/>
    </row>
    <row r="178" spans="1:10" ht="20.100000000000001" customHeight="1" x14ac:dyDescent="0.25">
      <c r="A178" s="2"/>
      <c r="B178" s="2"/>
      <c r="C178" s="17"/>
      <c r="D178" s="18"/>
      <c r="E178" s="16"/>
      <c r="F178" s="16"/>
      <c r="G178" s="16"/>
      <c r="H178" s="16"/>
      <c r="I178" s="16"/>
      <c r="J178" s="16"/>
    </row>
    <row r="179" spans="1:10" ht="20.100000000000001" customHeight="1" x14ac:dyDescent="0.25">
      <c r="A179" s="2"/>
      <c r="B179" s="2"/>
      <c r="C179" s="17"/>
      <c r="D179" s="18"/>
      <c r="E179" s="16"/>
      <c r="F179" s="16"/>
      <c r="G179" s="16"/>
      <c r="H179" s="16"/>
      <c r="I179" s="16"/>
      <c r="J179" s="16"/>
    </row>
    <row r="180" spans="1:10" ht="20.100000000000001" customHeight="1" x14ac:dyDescent="0.25">
      <c r="C180" s="17"/>
      <c r="D180" s="18"/>
      <c r="E180" s="16"/>
      <c r="F180" s="16"/>
      <c r="G180" s="16"/>
      <c r="H180" s="16"/>
      <c r="I180" s="16"/>
      <c r="J180" s="16"/>
    </row>
    <row r="181" spans="1:10" ht="20.100000000000001" customHeight="1" x14ac:dyDescent="0.25">
      <c r="C181" s="17"/>
      <c r="D181" s="18"/>
      <c r="E181" s="16"/>
      <c r="F181" s="16"/>
      <c r="G181" s="16"/>
      <c r="H181" s="16"/>
      <c r="I181" s="16"/>
      <c r="J181" s="16"/>
    </row>
    <row r="182" spans="1:10" ht="20.100000000000001" customHeight="1" x14ac:dyDescent="0.25">
      <c r="C182" s="17"/>
      <c r="D182" s="18"/>
      <c r="E182" s="16"/>
      <c r="F182" s="16"/>
      <c r="G182" s="16"/>
      <c r="H182" s="16"/>
      <c r="I182" s="16"/>
      <c r="J182" s="16"/>
    </row>
    <row r="183" spans="1:10" ht="20.100000000000001" customHeight="1" x14ac:dyDescent="0.25">
      <c r="C183" s="17"/>
      <c r="D183" s="18"/>
      <c r="E183" s="16"/>
      <c r="F183" s="16"/>
      <c r="G183" s="16"/>
      <c r="H183" s="16"/>
      <c r="I183" s="16"/>
      <c r="J183" s="16"/>
    </row>
    <row r="184" spans="1:10" ht="20.100000000000001" customHeight="1" x14ac:dyDescent="0.25">
      <c r="C184" s="17"/>
      <c r="D184" s="18"/>
      <c r="E184" s="16"/>
      <c r="F184" s="16"/>
      <c r="G184" s="16"/>
      <c r="H184" s="16"/>
      <c r="I184" s="16"/>
      <c r="J184" s="16"/>
    </row>
    <row r="185" spans="1:10" ht="20.100000000000001" customHeight="1" x14ac:dyDescent="0.25">
      <c r="C185" s="17"/>
      <c r="D185" s="18"/>
      <c r="E185" s="16"/>
      <c r="F185" s="16"/>
      <c r="G185" s="16"/>
      <c r="H185" s="16"/>
      <c r="I185" s="16"/>
      <c r="J185" s="16"/>
    </row>
    <row r="186" spans="1:10" ht="20.100000000000001" customHeight="1" x14ac:dyDescent="0.25">
      <c r="C186" s="17"/>
      <c r="D186" s="18"/>
      <c r="E186" s="16"/>
      <c r="F186" s="16"/>
      <c r="G186" s="16"/>
      <c r="H186" s="16"/>
      <c r="I186" s="16"/>
      <c r="J186" s="16"/>
    </row>
    <row r="189" spans="1:10" ht="20.100000000000001" customHeight="1" x14ac:dyDescent="0.25">
      <c r="A189" s="225" t="str">
        <f>A118</f>
        <v>IDADE EM % DA VIDA ÚTIL</v>
      </c>
      <c r="B189" s="226" t="str">
        <f t="shared" ref="B189:J189" si="5">B118</f>
        <v>ESTADO DE CONSERVAÇÃO</v>
      </c>
      <c r="C189" s="227">
        <f t="shared" si="5"/>
        <v>0</v>
      </c>
      <c r="D189" s="227">
        <f t="shared" si="5"/>
        <v>0</v>
      </c>
      <c r="E189" s="227">
        <f t="shared" si="5"/>
        <v>0</v>
      </c>
      <c r="F189" s="227">
        <f t="shared" si="5"/>
        <v>0</v>
      </c>
      <c r="G189" s="227">
        <f t="shared" si="5"/>
        <v>0</v>
      </c>
      <c r="H189" s="227">
        <f t="shared" si="5"/>
        <v>0</v>
      </c>
      <c r="I189" s="227">
        <f t="shared" si="5"/>
        <v>0</v>
      </c>
      <c r="J189" s="228">
        <f t="shared" si="5"/>
        <v>0</v>
      </c>
    </row>
    <row r="190" spans="1:10" ht="20.100000000000001" customHeight="1" x14ac:dyDescent="0.25">
      <c r="A190" s="225">
        <f t="shared" ref="A190:J205" si="6">A119</f>
        <v>0</v>
      </c>
      <c r="B190" s="223" t="s">
        <v>374</v>
      </c>
      <c r="C190" s="223">
        <f t="shared" si="6"/>
        <v>0</v>
      </c>
      <c r="D190" s="223">
        <f t="shared" si="6"/>
        <v>0</v>
      </c>
      <c r="E190" s="223">
        <f t="shared" si="6"/>
        <v>0</v>
      </c>
      <c r="F190" s="223">
        <f t="shared" si="6"/>
        <v>0</v>
      </c>
      <c r="G190" s="223">
        <f t="shared" si="6"/>
        <v>0</v>
      </c>
      <c r="H190" s="223">
        <f t="shared" si="6"/>
        <v>0</v>
      </c>
      <c r="I190" s="223">
        <f t="shared" si="6"/>
        <v>0</v>
      </c>
      <c r="J190" s="223">
        <f t="shared" si="6"/>
        <v>0</v>
      </c>
    </row>
    <row r="191" spans="1:10" ht="20.100000000000001" customHeight="1" x14ac:dyDescent="0.25">
      <c r="A191" s="225">
        <f t="shared" si="6"/>
        <v>0</v>
      </c>
      <c r="B191" s="225" t="str">
        <f t="shared" si="6"/>
        <v>Classificação do estado de conservação de acordo com a tabela de Heidecke</v>
      </c>
      <c r="C191" s="225">
        <f t="shared" si="6"/>
        <v>0</v>
      </c>
      <c r="D191" s="225">
        <f t="shared" si="6"/>
        <v>0</v>
      </c>
      <c r="E191" s="225">
        <f t="shared" si="6"/>
        <v>0</v>
      </c>
      <c r="F191" s="225">
        <f t="shared" si="6"/>
        <v>0</v>
      </c>
      <c r="G191" s="225">
        <f t="shared" si="6"/>
        <v>0</v>
      </c>
      <c r="H191" s="225">
        <f t="shared" si="6"/>
        <v>0</v>
      </c>
      <c r="I191" s="225">
        <f t="shared" si="6"/>
        <v>0</v>
      </c>
      <c r="J191" s="225">
        <f t="shared" si="6"/>
        <v>0</v>
      </c>
    </row>
    <row r="192" spans="1:10" ht="20.100000000000001" customHeight="1" x14ac:dyDescent="0.25">
      <c r="A192" s="225">
        <f t="shared" si="6"/>
        <v>0</v>
      </c>
      <c r="B192" s="13" t="str">
        <f t="shared" si="6"/>
        <v>A</v>
      </c>
      <c r="C192" s="13" t="str">
        <f t="shared" si="6"/>
        <v>B</v>
      </c>
      <c r="D192" s="13" t="str">
        <f t="shared" si="6"/>
        <v>C</v>
      </c>
      <c r="E192" s="13" t="str">
        <f t="shared" si="6"/>
        <v>D</v>
      </c>
      <c r="F192" s="13" t="str">
        <f t="shared" si="6"/>
        <v>E</v>
      </c>
      <c r="G192" s="13" t="str">
        <f t="shared" si="6"/>
        <v>F</v>
      </c>
      <c r="H192" s="13" t="str">
        <f t="shared" si="6"/>
        <v>G</v>
      </c>
      <c r="I192" s="13" t="str">
        <f t="shared" si="6"/>
        <v>H</v>
      </c>
      <c r="J192" s="13" t="str">
        <f t="shared" si="6"/>
        <v>I</v>
      </c>
    </row>
    <row r="193" spans="1:10" ht="20.100000000000001" customHeight="1" x14ac:dyDescent="0.25">
      <c r="A193" s="19">
        <f t="shared" si="6"/>
        <v>0</v>
      </c>
      <c r="B193" s="20">
        <f>-(B122/100)</f>
        <v>0</v>
      </c>
      <c r="C193" s="20">
        <f t="shared" ref="C193:J193" si="7">-(C122/100)</f>
        <v>-3.2000000000000002E-3</v>
      </c>
      <c r="D193" s="20">
        <f t="shared" si="7"/>
        <v>-2.52E-2</v>
      </c>
      <c r="E193" s="20">
        <f t="shared" si="7"/>
        <v>-8.09E-2</v>
      </c>
      <c r="F193" s="20">
        <f t="shared" si="7"/>
        <v>-0.18100000000000002</v>
      </c>
      <c r="G193" s="20">
        <f t="shared" si="7"/>
        <v>-0.33200000000000002</v>
      </c>
      <c r="H193" s="20">
        <f t="shared" si="7"/>
        <v>-0.52600000000000002</v>
      </c>
      <c r="I193" s="20">
        <f t="shared" si="7"/>
        <v>-0.752</v>
      </c>
      <c r="J193" s="20">
        <f t="shared" si="7"/>
        <v>-1</v>
      </c>
    </row>
    <row r="194" spans="1:10" ht="20.100000000000001" customHeight="1" x14ac:dyDescent="0.25">
      <c r="A194" s="19">
        <f t="shared" si="6"/>
        <v>0.02</v>
      </c>
      <c r="B194" s="20">
        <f t="shared" ref="B194:J209" si="8">-(B123/100)</f>
        <v>-1.0200000000000001E-2</v>
      </c>
      <c r="C194" s="20">
        <f t="shared" si="8"/>
        <v>-1.3367360000000002E-2</v>
      </c>
      <c r="D194" s="20">
        <f t="shared" si="8"/>
        <v>-3.5142960000000001E-2</v>
      </c>
      <c r="E194" s="20">
        <f t="shared" si="8"/>
        <v>-9.0274819999999992E-2</v>
      </c>
      <c r="F194" s="20">
        <f t="shared" si="8"/>
        <v>-0.18935380000000002</v>
      </c>
      <c r="G194" s="20">
        <f t="shared" si="8"/>
        <v>-0.3388136000000001</v>
      </c>
      <c r="H194" s="20">
        <f t="shared" si="8"/>
        <v>-0.53083480000000005</v>
      </c>
      <c r="I194" s="20">
        <f t="shared" si="8"/>
        <v>-0.75452960000000002</v>
      </c>
      <c r="J194" s="20">
        <f t="shared" si="8"/>
        <v>-1</v>
      </c>
    </row>
    <row r="195" spans="1:10" ht="20.100000000000001" customHeight="1" x14ac:dyDescent="0.25">
      <c r="A195" s="19">
        <f t="shared" si="6"/>
        <v>0.04</v>
      </c>
      <c r="B195" s="20">
        <f t="shared" si="8"/>
        <v>-2.0799999999999999E-2</v>
      </c>
      <c r="C195" s="20">
        <f t="shared" si="8"/>
        <v>-2.393344E-2</v>
      </c>
      <c r="D195" s="20">
        <f t="shared" si="8"/>
        <v>-4.5475840000000003E-2</v>
      </c>
      <c r="E195" s="20">
        <f t="shared" si="8"/>
        <v>-0.10001728</v>
      </c>
      <c r="F195" s="20">
        <f t="shared" si="8"/>
        <v>-0.19803519999999999</v>
      </c>
      <c r="G195" s="20">
        <f t="shared" si="8"/>
        <v>-0.34589440000000005</v>
      </c>
      <c r="H195" s="20">
        <f t="shared" si="8"/>
        <v>-0.53585919999999998</v>
      </c>
      <c r="I195" s="20">
        <f t="shared" si="8"/>
        <v>-0.75715840000000001</v>
      </c>
      <c r="J195" s="20">
        <f t="shared" si="8"/>
        <v>-1</v>
      </c>
    </row>
    <row r="196" spans="1:10" ht="20.100000000000001" customHeight="1" x14ac:dyDescent="0.25">
      <c r="A196" s="19">
        <f t="shared" si="6"/>
        <v>0.06</v>
      </c>
      <c r="B196" s="20">
        <f t="shared" si="8"/>
        <v>-3.1800000000000002E-2</v>
      </c>
      <c r="C196" s="20">
        <f t="shared" si="8"/>
        <v>-3.4898239999999997E-2</v>
      </c>
      <c r="D196" s="20">
        <f t="shared" si="8"/>
        <v>-5.6198639999999994E-2</v>
      </c>
      <c r="E196" s="20">
        <f t="shared" si="8"/>
        <v>-0.11012737999999998</v>
      </c>
      <c r="F196" s="20">
        <f t="shared" si="8"/>
        <v>-0.20704419999999998</v>
      </c>
      <c r="G196" s="20">
        <f t="shared" si="8"/>
        <v>-0.35324239999999996</v>
      </c>
      <c r="H196" s="20">
        <f t="shared" si="8"/>
        <v>-0.54107320000000003</v>
      </c>
      <c r="I196" s="20">
        <f t="shared" si="8"/>
        <v>-0.75988640000000007</v>
      </c>
      <c r="J196" s="20">
        <f t="shared" si="8"/>
        <v>-1</v>
      </c>
    </row>
    <row r="197" spans="1:10" ht="20.100000000000001" customHeight="1" x14ac:dyDescent="0.25">
      <c r="A197" s="19">
        <f t="shared" si="6"/>
        <v>0.08</v>
      </c>
      <c r="B197" s="20">
        <f t="shared" si="8"/>
        <v>-4.3200000000000002E-2</v>
      </c>
      <c r="C197" s="20">
        <f t="shared" si="8"/>
        <v>-4.6261759999999999E-2</v>
      </c>
      <c r="D197" s="20">
        <f t="shared" si="8"/>
        <v>-6.7311360000000015E-2</v>
      </c>
      <c r="E197" s="20">
        <f t="shared" si="8"/>
        <v>-0.12060512</v>
      </c>
      <c r="F197" s="20">
        <f t="shared" si="8"/>
        <v>-0.21638080000000001</v>
      </c>
      <c r="G197" s="20">
        <f t="shared" si="8"/>
        <v>-0.36085760000000006</v>
      </c>
      <c r="H197" s="20">
        <f t="shared" si="8"/>
        <v>-0.5464768000000001</v>
      </c>
      <c r="I197" s="20">
        <f t="shared" si="8"/>
        <v>-0.7627136000000001</v>
      </c>
      <c r="J197" s="20">
        <f t="shared" si="8"/>
        <v>-1</v>
      </c>
    </row>
    <row r="198" spans="1:10" ht="20.100000000000001" customHeight="1" x14ac:dyDescent="0.25">
      <c r="A198" s="19">
        <f t="shared" si="6"/>
        <v>0.1</v>
      </c>
      <c r="B198" s="20">
        <f t="shared" si="8"/>
        <v>-5.5000000000000007E-2</v>
      </c>
      <c r="C198" s="20">
        <f t="shared" si="8"/>
        <v>-5.8024000000000006E-2</v>
      </c>
      <c r="D198" s="20">
        <f t="shared" si="8"/>
        <v>-7.8814000000000009E-2</v>
      </c>
      <c r="E198" s="20">
        <f t="shared" si="8"/>
        <v>-0.13145050000000003</v>
      </c>
      <c r="F198" s="20">
        <f t="shared" si="8"/>
        <v>-0.22604500000000002</v>
      </c>
      <c r="G198" s="20">
        <f t="shared" si="8"/>
        <v>-0.36874000000000001</v>
      </c>
      <c r="H198" s="20">
        <f t="shared" si="8"/>
        <v>-0.55207000000000006</v>
      </c>
      <c r="I198" s="20">
        <f t="shared" si="8"/>
        <v>-0.7656400000000001</v>
      </c>
      <c r="J198" s="20">
        <f t="shared" si="8"/>
        <v>-1</v>
      </c>
    </row>
    <row r="199" spans="1:10" ht="20.100000000000001" customHeight="1" x14ac:dyDescent="0.25">
      <c r="A199" s="19">
        <f t="shared" si="6"/>
        <v>0.12000000000000001</v>
      </c>
      <c r="B199" s="20">
        <f t="shared" si="8"/>
        <v>-6.720000000000001E-2</v>
      </c>
      <c r="C199" s="20">
        <f t="shared" si="8"/>
        <v>-7.0184960000000005E-2</v>
      </c>
      <c r="D199" s="20">
        <f t="shared" si="8"/>
        <v>-9.0706560000000019E-2</v>
      </c>
      <c r="E199" s="20">
        <f t="shared" si="8"/>
        <v>-0.14266352000000002</v>
      </c>
      <c r="F199" s="20">
        <f t="shared" si="8"/>
        <v>-0.23603680000000005</v>
      </c>
      <c r="G199" s="20">
        <f t="shared" si="8"/>
        <v>-0.37688959999999999</v>
      </c>
      <c r="H199" s="20">
        <f t="shared" si="8"/>
        <v>-0.55785280000000004</v>
      </c>
      <c r="I199" s="20">
        <f t="shared" si="8"/>
        <v>-0.76866559999999995</v>
      </c>
      <c r="J199" s="20">
        <f t="shared" si="8"/>
        <v>-1</v>
      </c>
    </row>
    <row r="200" spans="1:10" ht="20.100000000000001" customHeight="1" x14ac:dyDescent="0.25">
      <c r="A200" s="19">
        <f t="shared" si="6"/>
        <v>0.14000000000000001</v>
      </c>
      <c r="B200" s="20">
        <f t="shared" si="8"/>
        <v>-7.980000000000001E-2</v>
      </c>
      <c r="C200" s="20">
        <f t="shared" si="8"/>
        <v>-8.2744640000000022E-2</v>
      </c>
      <c r="D200" s="20">
        <f t="shared" si="8"/>
        <v>-0.10298904</v>
      </c>
      <c r="E200" s="20">
        <f t="shared" si="8"/>
        <v>-0.15424418000000001</v>
      </c>
      <c r="F200" s="20">
        <f t="shared" si="8"/>
        <v>-0.24635620000000003</v>
      </c>
      <c r="G200" s="20">
        <f t="shared" si="8"/>
        <v>-0.38530640000000005</v>
      </c>
      <c r="H200" s="20">
        <f t="shared" si="8"/>
        <v>-0.56382520000000003</v>
      </c>
      <c r="I200" s="20">
        <f t="shared" si="8"/>
        <v>-0.77179039999999999</v>
      </c>
      <c r="J200" s="20">
        <f t="shared" si="8"/>
        <v>-1</v>
      </c>
    </row>
    <row r="201" spans="1:10" ht="20.100000000000001" customHeight="1" x14ac:dyDescent="0.25">
      <c r="A201" s="19">
        <f t="shared" si="6"/>
        <v>0.16</v>
      </c>
      <c r="B201" s="20">
        <f t="shared" si="8"/>
        <v>-9.2800000000000007E-2</v>
      </c>
      <c r="C201" s="20">
        <f t="shared" si="8"/>
        <v>-9.5703040000000017E-2</v>
      </c>
      <c r="D201" s="20">
        <f t="shared" si="8"/>
        <v>-0.11566144000000002</v>
      </c>
      <c r="E201" s="20">
        <f t="shared" si="8"/>
        <v>-0.16619248000000003</v>
      </c>
      <c r="F201" s="20">
        <f t="shared" si="8"/>
        <v>-0.25700319999999999</v>
      </c>
      <c r="G201" s="20">
        <f t="shared" si="8"/>
        <v>-0.39399040000000002</v>
      </c>
      <c r="H201" s="20">
        <f t="shared" si="8"/>
        <v>-0.56998720000000003</v>
      </c>
      <c r="I201" s="20">
        <f t="shared" si="8"/>
        <v>-0.77501439999999999</v>
      </c>
      <c r="J201" s="20">
        <f t="shared" si="8"/>
        <v>-1</v>
      </c>
    </row>
    <row r="202" spans="1:10" ht="20.100000000000001" customHeight="1" x14ac:dyDescent="0.25">
      <c r="A202" s="19">
        <f t="shared" si="6"/>
        <v>0.18</v>
      </c>
      <c r="B202" s="20">
        <f t="shared" si="8"/>
        <v>-0.10619999999999999</v>
      </c>
      <c r="C202" s="20">
        <f t="shared" si="8"/>
        <v>-0.10906015999999999</v>
      </c>
      <c r="D202" s="20">
        <f t="shared" si="8"/>
        <v>-0.12872375999999999</v>
      </c>
      <c r="E202" s="20">
        <f t="shared" si="8"/>
        <v>-0.17850842</v>
      </c>
      <c r="F202" s="20">
        <f t="shared" si="8"/>
        <v>-0.26797779999999993</v>
      </c>
      <c r="G202" s="20">
        <f t="shared" si="8"/>
        <v>-0.40294159999999996</v>
      </c>
      <c r="H202" s="20">
        <f t="shared" si="8"/>
        <v>-0.57633879999999993</v>
      </c>
      <c r="I202" s="20">
        <f t="shared" si="8"/>
        <v>-0.77833760000000007</v>
      </c>
      <c r="J202" s="20">
        <f t="shared" si="8"/>
        <v>-1</v>
      </c>
    </row>
    <row r="203" spans="1:10" ht="20.100000000000001" customHeight="1" x14ac:dyDescent="0.25">
      <c r="A203" s="19">
        <f t="shared" si="6"/>
        <v>0.19999999999999998</v>
      </c>
      <c r="B203" s="20">
        <f t="shared" si="8"/>
        <v>-0.12</v>
      </c>
      <c r="C203" s="20">
        <f t="shared" si="8"/>
        <v>-0.12281599999999999</v>
      </c>
      <c r="D203" s="20">
        <f t="shared" si="8"/>
        <v>-0.142176</v>
      </c>
      <c r="E203" s="20">
        <f t="shared" si="8"/>
        <v>-0.191192</v>
      </c>
      <c r="F203" s="20">
        <f t="shared" si="8"/>
        <v>-0.27928000000000003</v>
      </c>
      <c r="G203" s="20">
        <f t="shared" si="8"/>
        <v>-0.41216000000000008</v>
      </c>
      <c r="H203" s="20">
        <f t="shared" si="8"/>
        <v>-0.58288000000000006</v>
      </c>
      <c r="I203" s="20">
        <f t="shared" si="8"/>
        <v>-0.78176000000000001</v>
      </c>
      <c r="J203" s="20">
        <f t="shared" si="8"/>
        <v>-1</v>
      </c>
    </row>
    <row r="204" spans="1:10" ht="20.100000000000001" customHeight="1" x14ac:dyDescent="0.25">
      <c r="A204" s="19">
        <f t="shared" si="6"/>
        <v>0.21999999999999997</v>
      </c>
      <c r="B204" s="20">
        <f t="shared" si="8"/>
        <v>-0.13419999999999999</v>
      </c>
      <c r="C204" s="20">
        <f t="shared" si="8"/>
        <v>-0.13697055999999999</v>
      </c>
      <c r="D204" s="20">
        <f t="shared" si="8"/>
        <v>-0.15601815999999999</v>
      </c>
      <c r="E204" s="20">
        <f t="shared" si="8"/>
        <v>-0.20424321999999998</v>
      </c>
      <c r="F204" s="20">
        <f t="shared" si="8"/>
        <v>-0.2909098</v>
      </c>
      <c r="G204" s="20">
        <f t="shared" si="8"/>
        <v>-0.42164559999999995</v>
      </c>
      <c r="H204" s="20">
        <f t="shared" si="8"/>
        <v>-0.58961079999999999</v>
      </c>
      <c r="I204" s="20">
        <f t="shared" si="8"/>
        <v>-0.78528160000000002</v>
      </c>
      <c r="J204" s="20">
        <f t="shared" si="8"/>
        <v>-1</v>
      </c>
    </row>
    <row r="205" spans="1:10" ht="20.100000000000001" customHeight="1" x14ac:dyDescent="0.25">
      <c r="A205" s="19">
        <f t="shared" si="6"/>
        <v>0.23999999999999996</v>
      </c>
      <c r="B205" s="20">
        <f t="shared" si="8"/>
        <v>-0.14879999999999999</v>
      </c>
      <c r="C205" s="20">
        <f t="shared" si="8"/>
        <v>-0.15152383999999999</v>
      </c>
      <c r="D205" s="20">
        <f t="shared" si="8"/>
        <v>-0.17025024</v>
      </c>
      <c r="E205" s="20">
        <f t="shared" si="8"/>
        <v>-0.21766207999999998</v>
      </c>
      <c r="F205" s="20">
        <f t="shared" si="8"/>
        <v>-0.3028672</v>
      </c>
      <c r="G205" s="20">
        <f t="shared" si="8"/>
        <v>-0.43139840000000007</v>
      </c>
      <c r="H205" s="20">
        <f t="shared" si="8"/>
        <v>-0.59653120000000004</v>
      </c>
      <c r="I205" s="20">
        <f t="shared" si="8"/>
        <v>-0.7889024</v>
      </c>
      <c r="J205" s="20">
        <f t="shared" si="8"/>
        <v>-1</v>
      </c>
    </row>
    <row r="206" spans="1:10" ht="20.100000000000001" customHeight="1" x14ac:dyDescent="0.25">
      <c r="A206" s="19">
        <f t="shared" ref="A206:A209" si="9">A135</f>
        <v>0.25999999999999995</v>
      </c>
      <c r="B206" s="20">
        <f t="shared" si="8"/>
        <v>-0.1638</v>
      </c>
      <c r="C206" s="20">
        <f t="shared" si="8"/>
        <v>-0.16647583999999999</v>
      </c>
      <c r="D206" s="20">
        <f t="shared" si="8"/>
        <v>-0.18487223999999997</v>
      </c>
      <c r="E206" s="20">
        <f t="shared" si="8"/>
        <v>-0.23144857999999999</v>
      </c>
      <c r="F206" s="20">
        <f t="shared" si="8"/>
        <v>-0.31515219999999999</v>
      </c>
      <c r="G206" s="20">
        <f t="shared" si="8"/>
        <v>-0.44141840000000004</v>
      </c>
      <c r="H206" s="20">
        <f t="shared" si="8"/>
        <v>-0.60364119999999999</v>
      </c>
      <c r="I206" s="20">
        <f t="shared" si="8"/>
        <v>-0.79262240000000006</v>
      </c>
      <c r="J206" s="20">
        <f t="shared" si="8"/>
        <v>-1</v>
      </c>
    </row>
    <row r="207" spans="1:10" ht="20.100000000000001" customHeight="1" x14ac:dyDescent="0.25">
      <c r="A207" s="19">
        <f t="shared" si="9"/>
        <v>0.27999999999999997</v>
      </c>
      <c r="B207" s="20">
        <f t="shared" si="8"/>
        <v>-0.17919999999999997</v>
      </c>
      <c r="C207" s="20">
        <f t="shared" si="8"/>
        <v>-0.18182655999999997</v>
      </c>
      <c r="D207" s="20">
        <f t="shared" si="8"/>
        <v>-0.19988415999999998</v>
      </c>
      <c r="E207" s="20">
        <f t="shared" si="8"/>
        <v>-0.24560271999999997</v>
      </c>
      <c r="F207" s="20">
        <f t="shared" si="8"/>
        <v>-0.32776479999999997</v>
      </c>
      <c r="G207" s="20">
        <f t="shared" si="8"/>
        <v>-0.45170559999999993</v>
      </c>
      <c r="H207" s="20">
        <f t="shared" si="8"/>
        <v>-0.61094080000000006</v>
      </c>
      <c r="I207" s="20">
        <f t="shared" si="8"/>
        <v>-0.79644159999999997</v>
      </c>
      <c r="J207" s="20">
        <f t="shared" si="8"/>
        <v>-1</v>
      </c>
    </row>
    <row r="208" spans="1:10" ht="20.100000000000001" customHeight="1" x14ac:dyDescent="0.25">
      <c r="A208" s="19">
        <f t="shared" si="9"/>
        <v>0.3</v>
      </c>
      <c r="B208" s="20">
        <f t="shared" si="8"/>
        <v>-0.19500000000000001</v>
      </c>
      <c r="C208" s="20">
        <f t="shared" si="8"/>
        <v>-0.197576</v>
      </c>
      <c r="D208" s="20">
        <f t="shared" si="8"/>
        <v>-0.21528600000000001</v>
      </c>
      <c r="E208" s="20">
        <f t="shared" si="8"/>
        <v>-0.26012450000000004</v>
      </c>
      <c r="F208" s="20">
        <f t="shared" si="8"/>
        <v>-0.34070500000000004</v>
      </c>
      <c r="G208" s="20">
        <f t="shared" si="8"/>
        <v>-0.46226</v>
      </c>
      <c r="H208" s="20">
        <f t="shared" si="8"/>
        <v>-0.61843000000000004</v>
      </c>
      <c r="I208" s="20">
        <f t="shared" si="8"/>
        <v>-0.80035999999999996</v>
      </c>
      <c r="J208" s="20">
        <f t="shared" si="8"/>
        <v>-1</v>
      </c>
    </row>
    <row r="209" spans="1:10" ht="20.100000000000001" customHeight="1" x14ac:dyDescent="0.25">
      <c r="A209" s="19">
        <f t="shared" si="9"/>
        <v>0.32</v>
      </c>
      <c r="B209" s="20">
        <f t="shared" si="8"/>
        <v>-0.2112</v>
      </c>
      <c r="C209" s="20">
        <f t="shared" si="8"/>
        <v>-0.21372416000000002</v>
      </c>
      <c r="D209" s="20">
        <f t="shared" si="8"/>
        <v>-0.23107776000000002</v>
      </c>
      <c r="E209" s="20">
        <f t="shared" si="8"/>
        <v>-0.27501392000000002</v>
      </c>
      <c r="F209" s="20">
        <f t="shared" si="8"/>
        <v>-0.35397280000000003</v>
      </c>
      <c r="G209" s="20">
        <f t="shared" si="8"/>
        <v>-0.47308159999999999</v>
      </c>
      <c r="H209" s="20">
        <f t="shared" si="8"/>
        <v>-0.62610879999999991</v>
      </c>
      <c r="I209" s="20">
        <f t="shared" si="8"/>
        <v>-0.80437760000000003</v>
      </c>
      <c r="J209" s="20">
        <f t="shared" si="8"/>
        <v>-1</v>
      </c>
    </row>
    <row r="210" spans="1:10" ht="20.100000000000001" customHeight="1" x14ac:dyDescent="0.25">
      <c r="A210" s="19">
        <f>A139</f>
        <v>0.34</v>
      </c>
      <c r="B210" s="20">
        <f t="shared" ref="B210:J225" si="10">-(B139/100)</f>
        <v>-0.22780000000000006</v>
      </c>
      <c r="C210" s="20">
        <f t="shared" si="10"/>
        <v>-0.23027104000000004</v>
      </c>
      <c r="D210" s="20">
        <f t="shared" si="10"/>
        <v>-0.24725944000000005</v>
      </c>
      <c r="E210" s="20">
        <f t="shared" si="10"/>
        <v>-0.29027098000000001</v>
      </c>
      <c r="F210" s="20">
        <f t="shared" si="10"/>
        <v>-0.36756820000000007</v>
      </c>
      <c r="G210" s="20">
        <f t="shared" si="10"/>
        <v>-0.48417040000000006</v>
      </c>
      <c r="H210" s="20">
        <f t="shared" si="10"/>
        <v>-0.63397720000000002</v>
      </c>
      <c r="I210" s="20">
        <f t="shared" si="10"/>
        <v>-0.80849440000000017</v>
      </c>
      <c r="J210" s="20">
        <f t="shared" si="10"/>
        <v>-1</v>
      </c>
    </row>
    <row r="211" spans="1:10" ht="20.100000000000001" customHeight="1" x14ac:dyDescent="0.25">
      <c r="A211" s="19">
        <f t="shared" ref="A211:A225" si="11">A140</f>
        <v>0.36000000000000004</v>
      </c>
      <c r="B211" s="20">
        <f t="shared" si="10"/>
        <v>-0.24480000000000002</v>
      </c>
      <c r="C211" s="20">
        <f t="shared" si="10"/>
        <v>-0.24721664000000002</v>
      </c>
      <c r="D211" s="20">
        <f t="shared" si="10"/>
        <v>-0.26383104000000002</v>
      </c>
      <c r="E211" s="20">
        <f t="shared" si="10"/>
        <v>-0.30589568</v>
      </c>
      <c r="F211" s="20">
        <f t="shared" si="10"/>
        <v>-0.38149119999999997</v>
      </c>
      <c r="G211" s="20">
        <f t="shared" si="10"/>
        <v>-0.49552639999999998</v>
      </c>
      <c r="H211" s="20">
        <f t="shared" si="10"/>
        <v>-0.64203520000000003</v>
      </c>
      <c r="I211" s="20">
        <f t="shared" si="10"/>
        <v>-0.81271039999999994</v>
      </c>
      <c r="J211" s="20">
        <f t="shared" si="10"/>
        <v>-1</v>
      </c>
    </row>
    <row r="212" spans="1:10" ht="20.100000000000001" customHeight="1" x14ac:dyDescent="0.25">
      <c r="A212" s="19">
        <f t="shared" si="11"/>
        <v>0.38000000000000006</v>
      </c>
      <c r="B212" s="20">
        <f t="shared" si="10"/>
        <v>-0.26220000000000004</v>
      </c>
      <c r="C212" s="20">
        <f t="shared" si="10"/>
        <v>-0.26456096000000007</v>
      </c>
      <c r="D212" s="20">
        <f t="shared" si="10"/>
        <v>-0.28079256000000002</v>
      </c>
      <c r="E212" s="20">
        <f t="shared" si="10"/>
        <v>-0.32188802000000005</v>
      </c>
      <c r="F212" s="20">
        <f t="shared" si="10"/>
        <v>-0.39574180000000003</v>
      </c>
      <c r="G212" s="20">
        <f t="shared" si="10"/>
        <v>-0.50714960000000009</v>
      </c>
      <c r="H212" s="20">
        <f t="shared" si="10"/>
        <v>-0.65028279999999994</v>
      </c>
      <c r="I212" s="20">
        <f t="shared" si="10"/>
        <v>-0.81702560000000002</v>
      </c>
      <c r="J212" s="20">
        <f t="shared" si="10"/>
        <v>-1</v>
      </c>
    </row>
    <row r="213" spans="1:10" ht="20.100000000000001" customHeight="1" x14ac:dyDescent="0.25">
      <c r="A213" s="19">
        <f t="shared" si="11"/>
        <v>0.40000000000000008</v>
      </c>
      <c r="B213" s="20">
        <f t="shared" si="10"/>
        <v>-0.28000000000000008</v>
      </c>
      <c r="C213" s="20">
        <f t="shared" si="10"/>
        <v>-0.28230400000000005</v>
      </c>
      <c r="D213" s="20">
        <f t="shared" si="10"/>
        <v>-0.29814400000000008</v>
      </c>
      <c r="E213" s="20">
        <f t="shared" si="10"/>
        <v>-0.3382480000000001</v>
      </c>
      <c r="F213" s="20">
        <f t="shared" si="10"/>
        <v>-0.41032000000000013</v>
      </c>
      <c r="G213" s="20">
        <f t="shared" si="10"/>
        <v>-0.51904000000000006</v>
      </c>
      <c r="H213" s="20">
        <f t="shared" si="10"/>
        <v>-0.65872000000000019</v>
      </c>
      <c r="I213" s="20">
        <f t="shared" si="10"/>
        <v>-0.82144000000000006</v>
      </c>
      <c r="J213" s="20">
        <f t="shared" si="10"/>
        <v>-1</v>
      </c>
    </row>
    <row r="214" spans="1:10" ht="20.100000000000001" customHeight="1" x14ac:dyDescent="0.25">
      <c r="A214" s="19">
        <f t="shared" si="11"/>
        <v>0.4200000000000001</v>
      </c>
      <c r="B214" s="20">
        <f t="shared" si="10"/>
        <v>-0.29820000000000008</v>
      </c>
      <c r="C214" s="20">
        <f t="shared" si="10"/>
        <v>-0.30044576000000006</v>
      </c>
      <c r="D214" s="20">
        <f t="shared" si="10"/>
        <v>-0.31588536000000006</v>
      </c>
      <c r="E214" s="20">
        <f t="shared" si="10"/>
        <v>-0.3549756200000001</v>
      </c>
      <c r="F214" s="20">
        <f t="shared" si="10"/>
        <v>-0.42522580000000004</v>
      </c>
      <c r="G214" s="20">
        <f t="shared" si="10"/>
        <v>-0.53119760000000016</v>
      </c>
      <c r="H214" s="20">
        <f t="shared" si="10"/>
        <v>-0.66734680000000002</v>
      </c>
      <c r="I214" s="20">
        <f t="shared" si="10"/>
        <v>-0.82595359999999995</v>
      </c>
      <c r="J214" s="20">
        <f t="shared" si="10"/>
        <v>-1</v>
      </c>
    </row>
    <row r="215" spans="1:10" ht="20.100000000000001" customHeight="1" x14ac:dyDescent="0.25">
      <c r="A215" s="19">
        <f t="shared" si="11"/>
        <v>0.44000000000000011</v>
      </c>
      <c r="B215" s="20">
        <f t="shared" si="10"/>
        <v>-0.31680000000000008</v>
      </c>
      <c r="C215" s="20">
        <f t="shared" si="10"/>
        <v>-0.31898624000000003</v>
      </c>
      <c r="D215" s="20">
        <f t="shared" si="10"/>
        <v>-0.33401664000000003</v>
      </c>
      <c r="E215" s="20">
        <f t="shared" si="10"/>
        <v>-0.37207088000000005</v>
      </c>
      <c r="F215" s="20">
        <f t="shared" si="10"/>
        <v>-0.44045920000000011</v>
      </c>
      <c r="G215" s="20">
        <f t="shared" si="10"/>
        <v>-0.54362240000000006</v>
      </c>
      <c r="H215" s="20">
        <f t="shared" si="10"/>
        <v>-0.67616319999999996</v>
      </c>
      <c r="I215" s="20">
        <f t="shared" si="10"/>
        <v>-0.83056640000000004</v>
      </c>
      <c r="J215" s="20">
        <f t="shared" si="10"/>
        <v>-1</v>
      </c>
    </row>
    <row r="216" spans="1:10" ht="20.100000000000001" customHeight="1" x14ac:dyDescent="0.25">
      <c r="A216" s="19">
        <f t="shared" si="11"/>
        <v>0.46000000000000013</v>
      </c>
      <c r="B216" s="20">
        <f t="shared" si="10"/>
        <v>-0.3358000000000001</v>
      </c>
      <c r="C216" s="20">
        <f t="shared" si="10"/>
        <v>-0.33792544000000013</v>
      </c>
      <c r="D216" s="20">
        <f t="shared" si="10"/>
        <v>-0.3525378400000001</v>
      </c>
      <c r="E216" s="20">
        <f t="shared" si="10"/>
        <v>-0.38953378000000016</v>
      </c>
      <c r="F216" s="20">
        <f t="shared" si="10"/>
        <v>-0.4560202000000001</v>
      </c>
      <c r="G216" s="20">
        <f t="shared" si="10"/>
        <v>-0.5563144000000001</v>
      </c>
      <c r="H216" s="20">
        <f t="shared" si="10"/>
        <v>-0.68516920000000003</v>
      </c>
      <c r="I216" s="20">
        <f t="shared" si="10"/>
        <v>-0.83527840000000009</v>
      </c>
      <c r="J216" s="20">
        <f t="shared" si="10"/>
        <v>-1</v>
      </c>
    </row>
    <row r="217" spans="1:10" ht="20.100000000000001" customHeight="1" x14ac:dyDescent="0.25">
      <c r="A217" s="19">
        <f t="shared" si="11"/>
        <v>0.48000000000000015</v>
      </c>
      <c r="B217" s="20">
        <f t="shared" si="10"/>
        <v>-0.35520000000000013</v>
      </c>
      <c r="C217" s="20">
        <f t="shared" si="10"/>
        <v>-0.35726336000000009</v>
      </c>
      <c r="D217" s="20">
        <f t="shared" si="10"/>
        <v>-0.37144896000000011</v>
      </c>
      <c r="E217" s="20">
        <f t="shared" si="10"/>
        <v>-0.40736432000000006</v>
      </c>
      <c r="F217" s="20">
        <f t="shared" si="10"/>
        <v>-0.47190880000000007</v>
      </c>
      <c r="G217" s="20">
        <f t="shared" si="10"/>
        <v>-0.56927360000000005</v>
      </c>
      <c r="H217" s="20">
        <f t="shared" si="10"/>
        <v>-0.69436480000000023</v>
      </c>
      <c r="I217" s="20">
        <f t="shared" si="10"/>
        <v>-0.84008959999999999</v>
      </c>
      <c r="J217" s="20">
        <f t="shared" si="10"/>
        <v>-1</v>
      </c>
    </row>
    <row r="218" spans="1:10" ht="20.100000000000001" customHeight="1" x14ac:dyDescent="0.25">
      <c r="A218" s="19">
        <f t="shared" si="11"/>
        <v>0.50000000000000011</v>
      </c>
      <c r="B218" s="20">
        <f t="shared" si="10"/>
        <v>-0.37500000000000017</v>
      </c>
      <c r="C218" s="20">
        <f t="shared" si="10"/>
        <v>-0.37700000000000017</v>
      </c>
      <c r="D218" s="20">
        <f t="shared" si="10"/>
        <v>-0.39075000000000015</v>
      </c>
      <c r="E218" s="20">
        <f t="shared" si="10"/>
        <v>-0.42556250000000012</v>
      </c>
      <c r="F218" s="20">
        <f t="shared" si="10"/>
        <v>-0.48812500000000014</v>
      </c>
      <c r="G218" s="20">
        <f t="shared" si="10"/>
        <v>-0.58250000000000013</v>
      </c>
      <c r="H218" s="20">
        <f t="shared" si="10"/>
        <v>-0.70374999999999999</v>
      </c>
      <c r="I218" s="20">
        <f t="shared" si="10"/>
        <v>-0.84499999999999997</v>
      </c>
      <c r="J218" s="20">
        <f t="shared" si="10"/>
        <v>-1</v>
      </c>
    </row>
    <row r="219" spans="1:10" ht="20.100000000000001" customHeight="1" x14ac:dyDescent="0.25">
      <c r="A219" s="19">
        <f t="shared" si="11"/>
        <v>0.52000000000000013</v>
      </c>
      <c r="B219" s="20">
        <f t="shared" si="10"/>
        <v>-0.39520000000000011</v>
      </c>
      <c r="C219" s="20">
        <f t="shared" si="10"/>
        <v>-0.3971353600000001</v>
      </c>
      <c r="D219" s="20">
        <f t="shared" si="10"/>
        <v>-0.41044096000000008</v>
      </c>
      <c r="E219" s="20">
        <f t="shared" si="10"/>
        <v>-0.44412832000000008</v>
      </c>
      <c r="F219" s="20">
        <f t="shared" si="10"/>
        <v>-0.50466880000000014</v>
      </c>
      <c r="G219" s="20">
        <f t="shared" si="10"/>
        <v>-0.59599360000000001</v>
      </c>
      <c r="H219" s="20">
        <f t="shared" si="10"/>
        <v>-0.71332480000000009</v>
      </c>
      <c r="I219" s="20">
        <f t="shared" si="10"/>
        <v>-0.85000960000000003</v>
      </c>
      <c r="J219" s="20">
        <f t="shared" si="10"/>
        <v>-1</v>
      </c>
    </row>
    <row r="220" spans="1:10" ht="20.100000000000001" customHeight="1" x14ac:dyDescent="0.25">
      <c r="A220" s="19">
        <f t="shared" si="11"/>
        <v>0.54000000000000015</v>
      </c>
      <c r="B220" s="20">
        <f t="shared" si="10"/>
        <v>-0.41580000000000017</v>
      </c>
      <c r="C220" s="20">
        <f t="shared" si="10"/>
        <v>-0.41766944000000017</v>
      </c>
      <c r="D220" s="20">
        <f t="shared" si="10"/>
        <v>-0.43052184000000016</v>
      </c>
      <c r="E220" s="20">
        <f t="shared" si="10"/>
        <v>-0.46306178000000014</v>
      </c>
      <c r="F220" s="20">
        <f t="shared" si="10"/>
        <v>-0.52154020000000012</v>
      </c>
      <c r="G220" s="20">
        <f t="shared" si="10"/>
        <v>-0.60975440000000014</v>
      </c>
      <c r="H220" s="20">
        <f t="shared" si="10"/>
        <v>-0.72308919999999999</v>
      </c>
      <c r="I220" s="20">
        <f t="shared" si="10"/>
        <v>-0.85511840000000006</v>
      </c>
      <c r="J220" s="20">
        <f t="shared" si="10"/>
        <v>-1</v>
      </c>
    </row>
    <row r="221" spans="1:10" ht="20.100000000000001" customHeight="1" x14ac:dyDescent="0.25">
      <c r="A221" s="19">
        <f t="shared" si="11"/>
        <v>0.56000000000000016</v>
      </c>
      <c r="B221" s="20">
        <f t="shared" si="10"/>
        <v>-0.43680000000000019</v>
      </c>
      <c r="C221" s="20">
        <f t="shared" si="10"/>
        <v>-0.43860224000000025</v>
      </c>
      <c r="D221" s="20">
        <f t="shared" si="10"/>
        <v>-0.45099264000000017</v>
      </c>
      <c r="E221" s="20">
        <f t="shared" si="10"/>
        <v>-0.48236288000000016</v>
      </c>
      <c r="F221" s="20">
        <f t="shared" si="10"/>
        <v>-0.5387392000000002</v>
      </c>
      <c r="G221" s="20">
        <f t="shared" si="10"/>
        <v>-0.62378240000000018</v>
      </c>
      <c r="H221" s="20">
        <f t="shared" si="10"/>
        <v>-0.73304320000000023</v>
      </c>
      <c r="I221" s="20">
        <f t="shared" si="10"/>
        <v>-0.86032640000000005</v>
      </c>
      <c r="J221" s="20">
        <f t="shared" si="10"/>
        <v>-1</v>
      </c>
    </row>
    <row r="222" spans="1:10" ht="20.100000000000001" customHeight="1" x14ac:dyDescent="0.25">
      <c r="A222" s="19">
        <f t="shared" si="11"/>
        <v>0.58000000000000018</v>
      </c>
      <c r="B222" s="20">
        <f t="shared" si="10"/>
        <v>-0.45820000000000016</v>
      </c>
      <c r="C222" s="20">
        <f t="shared" si="10"/>
        <v>-0.45993376000000014</v>
      </c>
      <c r="D222" s="20">
        <f t="shared" si="10"/>
        <v>-0.47185336000000011</v>
      </c>
      <c r="E222" s="20">
        <f t="shared" si="10"/>
        <v>-0.50203162000000012</v>
      </c>
      <c r="F222" s="20">
        <f t="shared" si="10"/>
        <v>-0.55626580000000014</v>
      </c>
      <c r="G222" s="20">
        <f t="shared" si="10"/>
        <v>-0.63807760000000013</v>
      </c>
      <c r="H222" s="20">
        <f t="shared" si="10"/>
        <v>-0.74318680000000004</v>
      </c>
      <c r="I222" s="20">
        <f t="shared" si="10"/>
        <v>-0.8656336</v>
      </c>
      <c r="J222" s="20">
        <f t="shared" si="10"/>
        <v>-1</v>
      </c>
    </row>
    <row r="223" spans="1:10" ht="20.100000000000001" customHeight="1" x14ac:dyDescent="0.25">
      <c r="A223" s="19">
        <f t="shared" si="11"/>
        <v>0.6000000000000002</v>
      </c>
      <c r="B223" s="20">
        <f t="shared" si="10"/>
        <v>-0.4800000000000002</v>
      </c>
      <c r="C223" s="20">
        <f t="shared" si="10"/>
        <v>-0.48166400000000026</v>
      </c>
      <c r="D223" s="20">
        <f t="shared" si="10"/>
        <v>-0.49310400000000021</v>
      </c>
      <c r="E223" s="20">
        <f t="shared" si="10"/>
        <v>-0.5220680000000002</v>
      </c>
      <c r="F223" s="20">
        <f t="shared" si="10"/>
        <v>-0.57412000000000019</v>
      </c>
      <c r="G223" s="20">
        <f t="shared" si="10"/>
        <v>-0.65264000000000011</v>
      </c>
      <c r="H223" s="20">
        <f t="shared" si="10"/>
        <v>-0.75352000000000008</v>
      </c>
      <c r="I223" s="20">
        <f t="shared" si="10"/>
        <v>-0.87104000000000015</v>
      </c>
      <c r="J223" s="20">
        <f t="shared" si="10"/>
        <v>-1</v>
      </c>
    </row>
    <row r="224" spans="1:10" ht="20.100000000000001" customHeight="1" x14ac:dyDescent="0.25">
      <c r="A224" s="19">
        <f t="shared" si="11"/>
        <v>0.62000000000000022</v>
      </c>
      <c r="B224" s="20">
        <f t="shared" si="10"/>
        <v>-0.5022000000000002</v>
      </c>
      <c r="C224" s="20">
        <f t="shared" si="10"/>
        <v>-0.50379296000000018</v>
      </c>
      <c r="D224" s="20">
        <f t="shared" si="10"/>
        <v>-0.51474456000000013</v>
      </c>
      <c r="E224" s="20">
        <f t="shared" si="10"/>
        <v>-0.54247202000000017</v>
      </c>
      <c r="F224" s="20">
        <f t="shared" si="10"/>
        <v>-0.59230180000000021</v>
      </c>
      <c r="G224" s="20">
        <f t="shared" si="10"/>
        <v>-0.66746960000000011</v>
      </c>
      <c r="H224" s="20">
        <f t="shared" si="10"/>
        <v>-0.76404280000000013</v>
      </c>
      <c r="I224" s="20">
        <f t="shared" si="10"/>
        <v>-0.87654560000000004</v>
      </c>
      <c r="J224" s="20">
        <f t="shared" si="10"/>
        <v>-1</v>
      </c>
    </row>
    <row r="225" spans="1:10" ht="20.100000000000001" customHeight="1" x14ac:dyDescent="0.25">
      <c r="A225" s="19">
        <f t="shared" si="11"/>
        <v>0.64000000000000024</v>
      </c>
      <c r="B225" s="20">
        <f t="shared" si="10"/>
        <v>-0.52480000000000027</v>
      </c>
      <c r="C225" s="20">
        <f t="shared" si="10"/>
        <v>-0.52632064000000023</v>
      </c>
      <c r="D225" s="20">
        <f t="shared" si="10"/>
        <v>-0.53677504000000031</v>
      </c>
      <c r="E225" s="20">
        <f t="shared" si="10"/>
        <v>-0.56324368000000025</v>
      </c>
      <c r="F225" s="20">
        <f t="shared" si="10"/>
        <v>-0.61081120000000022</v>
      </c>
      <c r="G225" s="20">
        <f t="shared" si="10"/>
        <v>-0.68256640000000024</v>
      </c>
      <c r="H225" s="20">
        <f t="shared" si="10"/>
        <v>-0.7747552000000002</v>
      </c>
      <c r="I225" s="20">
        <f t="shared" si="10"/>
        <v>-0.88215040000000011</v>
      </c>
      <c r="J225" s="20">
        <f t="shared" si="10"/>
        <v>-1</v>
      </c>
    </row>
    <row r="226" spans="1:10" ht="20.100000000000001" customHeight="1" x14ac:dyDescent="0.25">
      <c r="A226" s="19">
        <f>A155</f>
        <v>0.66000000000000025</v>
      </c>
      <c r="B226" s="20">
        <f t="shared" ref="B226:J241" si="12">-(B155/100)</f>
        <v>-0.54780000000000029</v>
      </c>
      <c r="C226" s="20">
        <f t="shared" si="12"/>
        <v>-0.54924704000000024</v>
      </c>
      <c r="D226" s="20">
        <f t="shared" si="12"/>
        <v>-0.55919544000000032</v>
      </c>
      <c r="E226" s="20">
        <f t="shared" si="12"/>
        <v>-0.58438298000000022</v>
      </c>
      <c r="F226" s="20">
        <f t="shared" si="12"/>
        <v>-0.62964820000000021</v>
      </c>
      <c r="G226" s="20">
        <f t="shared" si="12"/>
        <v>-0.69793040000000017</v>
      </c>
      <c r="H226" s="20">
        <f t="shared" si="12"/>
        <v>-0.78565720000000017</v>
      </c>
      <c r="I226" s="20">
        <f t="shared" si="12"/>
        <v>-0.88785440000000004</v>
      </c>
      <c r="J226" s="20">
        <f t="shared" si="12"/>
        <v>-1</v>
      </c>
    </row>
    <row r="227" spans="1:10" ht="20.100000000000001" customHeight="1" x14ac:dyDescent="0.25">
      <c r="A227" s="19">
        <f t="shared" ref="A227:A243" si="13">A156</f>
        <v>0.68000000000000027</v>
      </c>
      <c r="B227" s="20">
        <f t="shared" si="12"/>
        <v>-0.57120000000000037</v>
      </c>
      <c r="C227" s="20">
        <f t="shared" si="12"/>
        <v>-0.57257216000000044</v>
      </c>
      <c r="D227" s="20">
        <f t="shared" si="12"/>
        <v>-0.58200576000000037</v>
      </c>
      <c r="E227" s="20">
        <f t="shared" si="12"/>
        <v>-0.6058899200000003</v>
      </c>
      <c r="F227" s="20">
        <f t="shared" si="12"/>
        <v>-0.6488128000000003</v>
      </c>
      <c r="G227" s="20">
        <f t="shared" si="12"/>
        <v>-0.71356160000000035</v>
      </c>
      <c r="H227" s="20">
        <f t="shared" si="12"/>
        <v>-0.79674880000000015</v>
      </c>
      <c r="I227" s="20">
        <f t="shared" si="12"/>
        <v>-0.89365760000000027</v>
      </c>
      <c r="J227" s="20">
        <f t="shared" si="12"/>
        <v>-1</v>
      </c>
    </row>
    <row r="228" spans="1:10" ht="20.100000000000001" customHeight="1" x14ac:dyDescent="0.25">
      <c r="A228" s="19">
        <f t="shared" si="13"/>
        <v>0.70000000000000029</v>
      </c>
      <c r="B228" s="20">
        <f t="shared" si="12"/>
        <v>-0.59500000000000031</v>
      </c>
      <c r="C228" s="20">
        <f t="shared" si="12"/>
        <v>-0.59629600000000027</v>
      </c>
      <c r="D228" s="20">
        <f t="shared" si="12"/>
        <v>-0.60520600000000035</v>
      </c>
      <c r="E228" s="20">
        <f t="shared" si="12"/>
        <v>-0.62776450000000028</v>
      </c>
      <c r="F228" s="20">
        <f t="shared" si="12"/>
        <v>-0.66830500000000026</v>
      </c>
      <c r="G228" s="20">
        <f t="shared" si="12"/>
        <v>-0.72946000000000022</v>
      </c>
      <c r="H228" s="20">
        <f t="shared" si="12"/>
        <v>-0.80803000000000014</v>
      </c>
      <c r="I228" s="20">
        <f t="shared" si="12"/>
        <v>-0.89956000000000014</v>
      </c>
      <c r="J228" s="20">
        <f t="shared" si="12"/>
        <v>-1</v>
      </c>
    </row>
    <row r="229" spans="1:10" ht="20.100000000000001" customHeight="1" x14ac:dyDescent="0.25">
      <c r="A229" s="19">
        <f t="shared" si="13"/>
        <v>0.72000000000000031</v>
      </c>
      <c r="B229" s="20">
        <f t="shared" si="12"/>
        <v>-0.61920000000000042</v>
      </c>
      <c r="C229" s="20">
        <f t="shared" si="12"/>
        <v>-0.62041856000000051</v>
      </c>
      <c r="D229" s="20">
        <f t="shared" si="12"/>
        <v>-0.62879616000000038</v>
      </c>
      <c r="E229" s="20">
        <f t="shared" si="12"/>
        <v>-0.65000672000000037</v>
      </c>
      <c r="F229" s="20">
        <f t="shared" si="12"/>
        <v>-0.68812480000000031</v>
      </c>
      <c r="G229" s="20">
        <f t="shared" si="12"/>
        <v>-0.74562560000000033</v>
      </c>
      <c r="H229" s="20">
        <f t="shared" si="12"/>
        <v>-0.81950080000000014</v>
      </c>
      <c r="I229" s="20">
        <f t="shared" si="12"/>
        <v>-0.90556160000000008</v>
      </c>
      <c r="J229" s="20">
        <f t="shared" si="12"/>
        <v>-1</v>
      </c>
    </row>
    <row r="230" spans="1:10" ht="20.100000000000001" customHeight="1" x14ac:dyDescent="0.25">
      <c r="A230" s="19">
        <f t="shared" si="13"/>
        <v>0.74000000000000032</v>
      </c>
      <c r="B230" s="20">
        <f t="shared" si="12"/>
        <v>-0.64380000000000037</v>
      </c>
      <c r="C230" s="20">
        <f t="shared" si="12"/>
        <v>-0.64493984000000038</v>
      </c>
      <c r="D230" s="20">
        <f t="shared" si="12"/>
        <v>-0.65277624000000034</v>
      </c>
      <c r="E230" s="20">
        <f t="shared" si="12"/>
        <v>-0.67261658000000035</v>
      </c>
      <c r="F230" s="20">
        <f t="shared" si="12"/>
        <v>-0.70827220000000035</v>
      </c>
      <c r="G230" s="20">
        <f t="shared" si="12"/>
        <v>-0.76205840000000025</v>
      </c>
      <c r="H230" s="20">
        <f t="shared" si="12"/>
        <v>-0.83116120000000027</v>
      </c>
      <c r="I230" s="20">
        <f t="shared" si="12"/>
        <v>-0.91166240000000021</v>
      </c>
      <c r="J230" s="20">
        <f t="shared" si="12"/>
        <v>-1</v>
      </c>
    </row>
    <row r="231" spans="1:10" ht="20.100000000000001" customHeight="1" x14ac:dyDescent="0.25">
      <c r="A231" s="19">
        <f t="shared" si="13"/>
        <v>0.76000000000000034</v>
      </c>
      <c r="B231" s="20">
        <f t="shared" si="12"/>
        <v>-0.66880000000000051</v>
      </c>
      <c r="C231" s="20">
        <f t="shared" si="12"/>
        <v>-0.66985984000000054</v>
      </c>
      <c r="D231" s="20">
        <f t="shared" si="12"/>
        <v>-0.67714624000000057</v>
      </c>
      <c r="E231" s="20">
        <f t="shared" si="12"/>
        <v>-0.69559408000000045</v>
      </c>
      <c r="F231" s="20">
        <f t="shared" si="12"/>
        <v>-0.72874720000000037</v>
      </c>
      <c r="G231" s="20">
        <f t="shared" si="12"/>
        <v>-0.77875840000000041</v>
      </c>
      <c r="H231" s="20">
        <f t="shared" si="12"/>
        <v>-0.84301120000000029</v>
      </c>
      <c r="I231" s="20">
        <f t="shared" si="12"/>
        <v>-0.91786240000000019</v>
      </c>
      <c r="J231" s="20">
        <f t="shared" si="12"/>
        <v>-1</v>
      </c>
    </row>
    <row r="232" spans="1:10" ht="20.100000000000001" customHeight="1" x14ac:dyDescent="0.25">
      <c r="A232" s="19">
        <f t="shared" si="13"/>
        <v>0.78000000000000036</v>
      </c>
      <c r="B232" s="20">
        <f t="shared" si="12"/>
        <v>-0.69420000000000048</v>
      </c>
      <c r="C232" s="20">
        <f t="shared" si="12"/>
        <v>-0.69517856000000033</v>
      </c>
      <c r="D232" s="20">
        <f t="shared" si="12"/>
        <v>-0.7019061600000005</v>
      </c>
      <c r="E232" s="20">
        <f t="shared" si="12"/>
        <v>-0.71893922000000043</v>
      </c>
      <c r="F232" s="20">
        <f t="shared" si="12"/>
        <v>-0.74954980000000038</v>
      </c>
      <c r="G232" s="20">
        <f t="shared" si="12"/>
        <v>-0.79572560000000037</v>
      </c>
      <c r="H232" s="20">
        <f t="shared" si="12"/>
        <v>-0.85505080000000022</v>
      </c>
      <c r="I232" s="20">
        <f t="shared" si="12"/>
        <v>-0.92416160000000014</v>
      </c>
      <c r="J232" s="20">
        <f t="shared" si="12"/>
        <v>-1</v>
      </c>
    </row>
    <row r="233" spans="1:10" ht="20.100000000000001" customHeight="1" x14ac:dyDescent="0.25">
      <c r="A233" s="19">
        <f t="shared" si="13"/>
        <v>0.80000000000000038</v>
      </c>
      <c r="B233" s="20">
        <f t="shared" si="12"/>
        <v>-0.72000000000000042</v>
      </c>
      <c r="C233" s="20">
        <f t="shared" si="12"/>
        <v>-0.72089600000000043</v>
      </c>
      <c r="D233" s="20">
        <f t="shared" si="12"/>
        <v>-0.72705600000000048</v>
      </c>
      <c r="E233" s="20">
        <f t="shared" si="12"/>
        <v>-0.74265200000000031</v>
      </c>
      <c r="F233" s="20">
        <f t="shared" si="12"/>
        <v>-0.77068000000000036</v>
      </c>
      <c r="G233" s="20">
        <f t="shared" si="12"/>
        <v>-0.81296000000000035</v>
      </c>
      <c r="H233" s="20">
        <f t="shared" si="12"/>
        <v>-0.86728000000000027</v>
      </c>
      <c r="I233" s="20">
        <f t="shared" si="12"/>
        <v>-0.93056000000000016</v>
      </c>
      <c r="J233" s="20">
        <f t="shared" si="12"/>
        <v>-1</v>
      </c>
    </row>
    <row r="234" spans="1:10" ht="20.100000000000001" customHeight="1" x14ac:dyDescent="0.25">
      <c r="A234" s="19">
        <f t="shared" si="13"/>
        <v>0.8200000000000004</v>
      </c>
      <c r="B234" s="20">
        <f t="shared" si="12"/>
        <v>-0.74620000000000042</v>
      </c>
      <c r="C234" s="20">
        <f t="shared" si="12"/>
        <v>-0.74701216000000048</v>
      </c>
      <c r="D234" s="20">
        <f t="shared" si="12"/>
        <v>-0.7525957600000005</v>
      </c>
      <c r="E234" s="20">
        <f t="shared" si="12"/>
        <v>-0.76673242000000041</v>
      </c>
      <c r="F234" s="20">
        <f t="shared" si="12"/>
        <v>-0.79213780000000045</v>
      </c>
      <c r="G234" s="20">
        <f t="shared" si="12"/>
        <v>-0.83046160000000024</v>
      </c>
      <c r="H234" s="20">
        <f t="shared" si="12"/>
        <v>-0.87969880000000023</v>
      </c>
      <c r="I234" s="20">
        <f t="shared" si="12"/>
        <v>-0.93705760000000016</v>
      </c>
      <c r="J234" s="20">
        <f t="shared" si="12"/>
        <v>-1</v>
      </c>
    </row>
    <row r="235" spans="1:10" ht="20.100000000000001" customHeight="1" x14ac:dyDescent="0.25">
      <c r="A235" s="19">
        <f t="shared" si="13"/>
        <v>0.84000000000000041</v>
      </c>
      <c r="B235" s="20">
        <f t="shared" si="12"/>
        <v>-0.7728000000000006</v>
      </c>
      <c r="C235" s="20">
        <f t="shared" si="12"/>
        <v>-0.77352704000000061</v>
      </c>
      <c r="D235" s="20">
        <f t="shared" si="12"/>
        <v>-0.77852544000000057</v>
      </c>
      <c r="E235" s="20">
        <f t="shared" si="12"/>
        <v>-0.79118048000000063</v>
      </c>
      <c r="F235" s="20">
        <f t="shared" si="12"/>
        <v>-0.8139232000000004</v>
      </c>
      <c r="G235" s="20">
        <f t="shared" si="12"/>
        <v>-0.84823040000000038</v>
      </c>
      <c r="H235" s="20">
        <f t="shared" si="12"/>
        <v>-0.89230720000000019</v>
      </c>
      <c r="I235" s="20">
        <f t="shared" si="12"/>
        <v>-0.94365440000000023</v>
      </c>
      <c r="J235" s="20">
        <f t="shared" si="12"/>
        <v>-1</v>
      </c>
    </row>
    <row r="236" spans="1:10" ht="20.100000000000001" customHeight="1" x14ac:dyDescent="0.25">
      <c r="A236" s="19">
        <f t="shared" si="13"/>
        <v>0.86000000000000043</v>
      </c>
      <c r="B236" s="20">
        <f t="shared" si="12"/>
        <v>-0.79980000000000051</v>
      </c>
      <c r="C236" s="20">
        <f t="shared" si="12"/>
        <v>-0.80044064000000048</v>
      </c>
      <c r="D236" s="20">
        <f t="shared" si="12"/>
        <v>-0.80484504000000046</v>
      </c>
      <c r="E236" s="20">
        <f t="shared" si="12"/>
        <v>-0.81599618000000051</v>
      </c>
      <c r="F236" s="20">
        <f t="shared" si="12"/>
        <v>-0.83603620000000034</v>
      </c>
      <c r="G236" s="20">
        <f t="shared" si="12"/>
        <v>-0.86626640000000033</v>
      </c>
      <c r="H236" s="20">
        <f t="shared" si="12"/>
        <v>-0.90510520000000028</v>
      </c>
      <c r="I236" s="20">
        <f t="shared" si="12"/>
        <v>-0.95035040000000004</v>
      </c>
      <c r="J236" s="20">
        <f t="shared" si="12"/>
        <v>-1</v>
      </c>
    </row>
    <row r="237" spans="1:10" ht="20.100000000000001" customHeight="1" x14ac:dyDescent="0.25">
      <c r="A237" s="19">
        <f t="shared" si="13"/>
        <v>0.88000000000000045</v>
      </c>
      <c r="B237" s="20">
        <f t="shared" si="12"/>
        <v>-0.8272000000000006</v>
      </c>
      <c r="C237" s="20">
        <f t="shared" si="12"/>
        <v>-0.82775296000000054</v>
      </c>
      <c r="D237" s="20">
        <f t="shared" si="12"/>
        <v>-0.83155456000000061</v>
      </c>
      <c r="E237" s="20">
        <f t="shared" si="12"/>
        <v>-0.8411795200000004</v>
      </c>
      <c r="F237" s="20">
        <f t="shared" si="12"/>
        <v>-0.85847680000000037</v>
      </c>
      <c r="G237" s="20">
        <f t="shared" si="12"/>
        <v>-0.8845696000000004</v>
      </c>
      <c r="H237" s="20">
        <f t="shared" si="12"/>
        <v>-0.91809280000000026</v>
      </c>
      <c r="I237" s="20">
        <f t="shared" si="12"/>
        <v>-0.95714560000000004</v>
      </c>
      <c r="J237" s="20">
        <f t="shared" si="12"/>
        <v>-1</v>
      </c>
    </row>
    <row r="238" spans="1:10" ht="20.100000000000001" customHeight="1" x14ac:dyDescent="0.25">
      <c r="A238" s="19">
        <f t="shared" si="13"/>
        <v>0.90000000000000047</v>
      </c>
      <c r="B238" s="20">
        <f t="shared" si="12"/>
        <v>-0.85500000000000076</v>
      </c>
      <c r="C238" s="20">
        <f t="shared" si="12"/>
        <v>-0.85546400000000078</v>
      </c>
      <c r="D238" s="20">
        <f t="shared" si="12"/>
        <v>-0.85865400000000069</v>
      </c>
      <c r="E238" s="20">
        <f t="shared" si="12"/>
        <v>-0.86673050000000063</v>
      </c>
      <c r="F238" s="20">
        <f t="shared" si="12"/>
        <v>-0.8812450000000005</v>
      </c>
      <c r="G238" s="20">
        <f t="shared" si="12"/>
        <v>-0.9031400000000005</v>
      </c>
      <c r="H238" s="20">
        <f t="shared" si="12"/>
        <v>-0.93127000000000038</v>
      </c>
      <c r="I238" s="20">
        <f t="shared" si="12"/>
        <v>-0.96404000000000023</v>
      </c>
      <c r="J238" s="20">
        <f t="shared" si="12"/>
        <v>-1</v>
      </c>
    </row>
    <row r="239" spans="1:10" ht="20.100000000000001" customHeight="1" x14ac:dyDescent="0.25">
      <c r="A239" s="19">
        <f t="shared" si="13"/>
        <v>0.92000000000000048</v>
      </c>
      <c r="B239" s="20">
        <f t="shared" si="12"/>
        <v>-0.88320000000000065</v>
      </c>
      <c r="C239" s="20">
        <f t="shared" si="12"/>
        <v>-0.88357376000000054</v>
      </c>
      <c r="D239" s="20">
        <f t="shared" si="12"/>
        <v>-0.8861433600000006</v>
      </c>
      <c r="E239" s="20">
        <f t="shared" si="12"/>
        <v>-0.89264912000000052</v>
      </c>
      <c r="F239" s="20">
        <f t="shared" si="12"/>
        <v>-0.9043408000000005</v>
      </c>
      <c r="G239" s="20">
        <f t="shared" si="12"/>
        <v>-0.9219776000000004</v>
      </c>
      <c r="H239" s="20">
        <f t="shared" si="12"/>
        <v>-0.94463680000000028</v>
      </c>
      <c r="I239" s="20">
        <f t="shared" si="12"/>
        <v>-0.97103360000000005</v>
      </c>
      <c r="J239" s="20">
        <f t="shared" si="12"/>
        <v>-1</v>
      </c>
    </row>
    <row r="240" spans="1:10" ht="20.100000000000001" customHeight="1" x14ac:dyDescent="0.25">
      <c r="A240" s="19">
        <f t="shared" si="13"/>
        <v>0.9400000000000005</v>
      </c>
      <c r="B240" s="20">
        <f t="shared" si="12"/>
        <v>-0.91180000000000083</v>
      </c>
      <c r="C240" s="20">
        <f t="shared" si="12"/>
        <v>-0.91208224000000071</v>
      </c>
      <c r="D240" s="20">
        <f t="shared" si="12"/>
        <v>-0.91402264000000077</v>
      </c>
      <c r="E240" s="20">
        <f t="shared" si="12"/>
        <v>-0.91893538000000075</v>
      </c>
      <c r="F240" s="20">
        <f t="shared" si="12"/>
        <v>-0.92776420000000059</v>
      </c>
      <c r="G240" s="20">
        <f t="shared" si="12"/>
        <v>-0.94108240000000054</v>
      </c>
      <c r="H240" s="20">
        <f t="shared" si="12"/>
        <v>-0.9581932000000003</v>
      </c>
      <c r="I240" s="20">
        <f t="shared" si="12"/>
        <v>-0.97812640000000017</v>
      </c>
      <c r="J240" s="20">
        <f t="shared" si="12"/>
        <v>-1</v>
      </c>
    </row>
    <row r="241" spans="1:10" ht="20.100000000000001" customHeight="1" x14ac:dyDescent="0.25">
      <c r="A241" s="19">
        <f t="shared" si="13"/>
        <v>0.96000000000000052</v>
      </c>
      <c r="B241" s="20">
        <f t="shared" si="12"/>
        <v>-0.94080000000000075</v>
      </c>
      <c r="C241" s="20">
        <f t="shared" si="12"/>
        <v>-0.94098944000000073</v>
      </c>
      <c r="D241" s="20">
        <f t="shared" si="12"/>
        <v>-0.94229184000000077</v>
      </c>
      <c r="E241" s="20">
        <f t="shared" si="12"/>
        <v>-0.94558928000000064</v>
      </c>
      <c r="F241" s="20">
        <f t="shared" si="12"/>
        <v>-0.95151520000000067</v>
      </c>
      <c r="G241" s="20">
        <f t="shared" si="12"/>
        <v>-0.96045440000000037</v>
      </c>
      <c r="H241" s="20">
        <f t="shared" si="12"/>
        <v>-0.97193920000000034</v>
      </c>
      <c r="I241" s="20">
        <f t="shared" si="12"/>
        <v>-0.98531840000000015</v>
      </c>
      <c r="J241" s="20">
        <f t="shared" si="12"/>
        <v>-1</v>
      </c>
    </row>
    <row r="242" spans="1:10" ht="20.100000000000001" customHeight="1" x14ac:dyDescent="0.25">
      <c r="A242" s="19">
        <f t="shared" si="13"/>
        <v>0.98000000000000054</v>
      </c>
      <c r="B242" s="20">
        <f t="shared" ref="B242:J243" si="14">-(B171/100)</f>
        <v>-0.97020000000000084</v>
      </c>
      <c r="C242" s="20">
        <f t="shared" si="14"/>
        <v>-0.97029536000000083</v>
      </c>
      <c r="D242" s="20">
        <f t="shared" si="14"/>
        <v>-0.97095096000000081</v>
      </c>
      <c r="E242" s="20">
        <f t="shared" si="14"/>
        <v>-0.97261082000000076</v>
      </c>
      <c r="F242" s="20">
        <f t="shared" si="14"/>
        <v>-0.97559380000000062</v>
      </c>
      <c r="G242" s="20">
        <f t="shared" si="14"/>
        <v>-0.98009360000000056</v>
      </c>
      <c r="H242" s="20">
        <f t="shared" si="14"/>
        <v>-0.98587480000000038</v>
      </c>
      <c r="I242" s="20">
        <f t="shared" si="14"/>
        <v>-0.9926096000000002</v>
      </c>
      <c r="J242" s="20">
        <f t="shared" si="14"/>
        <v>-1</v>
      </c>
    </row>
    <row r="243" spans="1:10" ht="20.100000000000001" customHeight="1" x14ac:dyDescent="0.25">
      <c r="A243" s="19">
        <f t="shared" si="13"/>
        <v>1.0000000000000004</v>
      </c>
      <c r="B243" s="20">
        <f t="shared" si="14"/>
        <v>-1.0000000000000007</v>
      </c>
      <c r="C243" s="20">
        <f t="shared" si="14"/>
        <v>-1.0000000000000007</v>
      </c>
      <c r="D243" s="20">
        <f t="shared" si="14"/>
        <v>-1.0000000000000007</v>
      </c>
      <c r="E243" s="20">
        <f t="shared" si="14"/>
        <v>-1.0000000000000007</v>
      </c>
      <c r="F243" s="20">
        <f t="shared" si="14"/>
        <v>-1.0000000000000007</v>
      </c>
      <c r="G243" s="20">
        <f t="shared" si="14"/>
        <v>-1.0000000000000004</v>
      </c>
      <c r="H243" s="20">
        <f t="shared" si="14"/>
        <v>-1.0000000000000002</v>
      </c>
      <c r="I243" s="20">
        <f t="shared" si="14"/>
        <v>-1.0000000000000002</v>
      </c>
      <c r="J243" s="20">
        <f t="shared" si="14"/>
        <v>-1</v>
      </c>
    </row>
    <row r="245" spans="1:10" ht="20.100000000000001" customHeight="1" x14ac:dyDescent="0.25">
      <c r="A245" s="218" t="s">
        <v>375</v>
      </c>
      <c r="B245" s="218"/>
      <c r="C245" s="218"/>
      <c r="D245" s="218"/>
      <c r="E245" s="218"/>
      <c r="F245" s="218"/>
      <c r="G245" s="218"/>
      <c r="H245" s="218"/>
      <c r="I245" s="218"/>
      <c r="J245" s="218"/>
    </row>
    <row r="246" spans="1:10" ht="20.100000000000001" customHeight="1" x14ac:dyDescent="0.25">
      <c r="A246" s="218"/>
      <c r="B246" s="218"/>
      <c r="C246" s="218"/>
      <c r="D246" s="218"/>
      <c r="E246" s="218"/>
      <c r="F246" s="218"/>
      <c r="G246" s="218"/>
      <c r="H246" s="218"/>
      <c r="I246" s="218"/>
      <c r="J246" s="218"/>
    </row>
    <row r="247" spans="1:10" ht="20.100000000000001" customHeight="1" x14ac:dyDescent="0.25">
      <c r="A247" s="218"/>
      <c r="B247" s="218"/>
      <c r="C247" s="218"/>
      <c r="D247" s="218"/>
      <c r="E247" s="218"/>
      <c r="F247" s="218"/>
      <c r="G247" s="218"/>
      <c r="H247" s="218"/>
      <c r="I247" s="218"/>
      <c r="J247" s="218"/>
    </row>
    <row r="249" spans="1:10" ht="20.100000000000001" customHeight="1" x14ac:dyDescent="0.25">
      <c r="C249" s="21"/>
    </row>
    <row r="256" spans="1:10" ht="20.100000000000001" customHeight="1" x14ac:dyDescent="0.25">
      <c r="A256" s="219" t="s">
        <v>369</v>
      </c>
      <c r="B256" s="222" t="s">
        <v>370</v>
      </c>
      <c r="C256" s="222"/>
      <c r="D256" s="222"/>
      <c r="E256" s="222"/>
      <c r="F256" s="222"/>
      <c r="G256" s="222"/>
      <c r="H256" s="222"/>
      <c r="I256" s="222"/>
      <c r="J256" s="222"/>
    </row>
    <row r="257" spans="1:10" ht="20.100000000000001" customHeight="1" x14ac:dyDescent="0.25">
      <c r="A257" s="220"/>
      <c r="B257" s="223" t="s">
        <v>376</v>
      </c>
      <c r="C257" s="223"/>
      <c r="D257" s="223"/>
      <c r="E257" s="223"/>
      <c r="F257" s="223"/>
      <c r="G257" s="223"/>
      <c r="H257" s="223"/>
      <c r="I257" s="223"/>
      <c r="J257" s="223"/>
    </row>
    <row r="258" spans="1:10" ht="20.100000000000001" customHeight="1" x14ac:dyDescent="0.25">
      <c r="A258" s="220"/>
      <c r="B258" s="224" t="s">
        <v>372</v>
      </c>
      <c r="C258" s="224"/>
      <c r="D258" s="224"/>
      <c r="E258" s="224"/>
      <c r="F258" s="224"/>
      <c r="G258" s="224"/>
      <c r="H258" s="224"/>
      <c r="I258" s="224"/>
      <c r="J258" s="224"/>
    </row>
    <row r="259" spans="1:10" ht="20.100000000000001" customHeight="1" x14ac:dyDescent="0.25">
      <c r="A259" s="221"/>
      <c r="B259" s="13" t="str">
        <f t="shared" ref="B259:J259" si="15">B121</f>
        <v>A</v>
      </c>
      <c r="C259" s="13" t="str">
        <f t="shared" si="15"/>
        <v>B</v>
      </c>
      <c r="D259" s="13" t="str">
        <f t="shared" si="15"/>
        <v>C</v>
      </c>
      <c r="E259" s="13" t="str">
        <f t="shared" si="15"/>
        <v>D</v>
      </c>
      <c r="F259" s="13" t="str">
        <f t="shared" si="15"/>
        <v>E</v>
      </c>
      <c r="G259" s="13" t="str">
        <f t="shared" si="15"/>
        <v>F</v>
      </c>
      <c r="H259" s="13" t="str">
        <f t="shared" si="15"/>
        <v>G</v>
      </c>
      <c r="I259" s="13" t="str">
        <f t="shared" si="15"/>
        <v>H</v>
      </c>
      <c r="J259" s="13" t="str">
        <f t="shared" si="15"/>
        <v>I</v>
      </c>
    </row>
    <row r="260" spans="1:10" ht="20.100000000000001" customHeight="1" x14ac:dyDescent="0.25">
      <c r="A260" s="14">
        <v>0</v>
      </c>
      <c r="B260" s="22">
        <f t="shared" ref="B260:B276" si="16">1+B193</f>
        <v>1</v>
      </c>
      <c r="C260" s="22">
        <f t="shared" ref="C260:J260" si="17">1+C193</f>
        <v>0.99680000000000002</v>
      </c>
      <c r="D260" s="22">
        <f t="shared" si="17"/>
        <v>0.9748</v>
      </c>
      <c r="E260" s="22">
        <f t="shared" si="17"/>
        <v>0.91910000000000003</v>
      </c>
      <c r="F260" s="22">
        <f t="shared" si="17"/>
        <v>0.81899999999999995</v>
      </c>
      <c r="G260" s="22">
        <f t="shared" si="17"/>
        <v>0.66799999999999993</v>
      </c>
      <c r="H260" s="22">
        <f t="shared" si="17"/>
        <v>0.47399999999999998</v>
      </c>
      <c r="I260" s="22">
        <f t="shared" si="17"/>
        <v>0.248</v>
      </c>
      <c r="J260" s="22">
        <f t="shared" si="17"/>
        <v>0</v>
      </c>
    </row>
    <row r="261" spans="1:10" ht="20.100000000000001" customHeight="1" x14ac:dyDescent="0.25">
      <c r="A261" s="14">
        <f>A260+0.02</f>
        <v>0.02</v>
      </c>
      <c r="B261" s="22">
        <f t="shared" si="16"/>
        <v>0.98980000000000001</v>
      </c>
      <c r="C261" s="22">
        <f t="shared" ref="C261:J270" si="18">1+C194</f>
        <v>0.98663263999999995</v>
      </c>
      <c r="D261" s="22">
        <f t="shared" si="18"/>
        <v>0.96485704000000005</v>
      </c>
      <c r="E261" s="22">
        <f t="shared" si="18"/>
        <v>0.90972518000000002</v>
      </c>
      <c r="F261" s="22">
        <f t="shared" si="18"/>
        <v>0.81064619999999998</v>
      </c>
      <c r="G261" s="22">
        <f t="shared" si="18"/>
        <v>0.66118639999999984</v>
      </c>
      <c r="H261" s="22">
        <f t="shared" si="18"/>
        <v>0.46916519999999995</v>
      </c>
      <c r="I261" s="22">
        <f t="shared" si="18"/>
        <v>0.24547039999999998</v>
      </c>
      <c r="J261" s="22">
        <f t="shared" si="18"/>
        <v>0</v>
      </c>
    </row>
    <row r="262" spans="1:10" ht="20.100000000000001" customHeight="1" x14ac:dyDescent="0.25">
      <c r="A262" s="14">
        <f t="shared" ref="A262:A310" si="19">A261+0.02</f>
        <v>0.04</v>
      </c>
      <c r="B262" s="22">
        <f t="shared" si="16"/>
        <v>0.97919999999999996</v>
      </c>
      <c r="C262" s="22">
        <f t="shared" si="18"/>
        <v>0.97606656000000003</v>
      </c>
      <c r="D262" s="22">
        <f t="shared" si="18"/>
        <v>0.95452415999999995</v>
      </c>
      <c r="E262" s="22">
        <f t="shared" si="18"/>
        <v>0.89998272000000001</v>
      </c>
      <c r="F262" s="22">
        <f t="shared" si="18"/>
        <v>0.80196480000000003</v>
      </c>
      <c r="G262" s="22">
        <f t="shared" si="18"/>
        <v>0.65410559999999995</v>
      </c>
      <c r="H262" s="22">
        <f t="shared" si="18"/>
        <v>0.46414080000000002</v>
      </c>
      <c r="I262" s="22">
        <f t="shared" si="18"/>
        <v>0.24284159999999999</v>
      </c>
      <c r="J262" s="22">
        <f t="shared" si="18"/>
        <v>0</v>
      </c>
    </row>
    <row r="263" spans="1:10" ht="20.100000000000001" customHeight="1" x14ac:dyDescent="0.25">
      <c r="A263" s="14">
        <f t="shared" si="19"/>
        <v>0.06</v>
      </c>
      <c r="B263" s="22">
        <f t="shared" si="16"/>
        <v>0.96819999999999995</v>
      </c>
      <c r="C263" s="22">
        <f t="shared" si="18"/>
        <v>0.96510176000000003</v>
      </c>
      <c r="D263" s="22">
        <f t="shared" si="18"/>
        <v>0.94380136000000003</v>
      </c>
      <c r="E263" s="22">
        <f t="shared" si="18"/>
        <v>0.88987262</v>
      </c>
      <c r="F263" s="22">
        <f t="shared" si="18"/>
        <v>0.79295579999999999</v>
      </c>
      <c r="G263" s="22">
        <f t="shared" si="18"/>
        <v>0.64675760000000004</v>
      </c>
      <c r="H263" s="22">
        <f t="shared" si="18"/>
        <v>0.45892679999999997</v>
      </c>
      <c r="I263" s="22">
        <f t="shared" si="18"/>
        <v>0.24011359999999993</v>
      </c>
      <c r="J263" s="22">
        <f t="shared" si="18"/>
        <v>0</v>
      </c>
    </row>
    <row r="264" spans="1:10" ht="20.100000000000001" customHeight="1" x14ac:dyDescent="0.25">
      <c r="A264" s="14">
        <f t="shared" si="19"/>
        <v>0.08</v>
      </c>
      <c r="B264" s="22">
        <f t="shared" si="16"/>
        <v>0.95679999999999998</v>
      </c>
      <c r="C264" s="22">
        <f t="shared" si="18"/>
        <v>0.95373823999999996</v>
      </c>
      <c r="D264" s="22">
        <f t="shared" si="18"/>
        <v>0.93268863999999996</v>
      </c>
      <c r="E264" s="22">
        <f t="shared" si="18"/>
        <v>0.87939487999999999</v>
      </c>
      <c r="F264" s="22">
        <f t="shared" si="18"/>
        <v>0.78361919999999996</v>
      </c>
      <c r="G264" s="22">
        <f t="shared" si="18"/>
        <v>0.63914239999999989</v>
      </c>
      <c r="H264" s="22">
        <f t="shared" si="18"/>
        <v>0.4535231999999999</v>
      </c>
      <c r="I264" s="22">
        <f t="shared" si="18"/>
        <v>0.2372863999999999</v>
      </c>
      <c r="J264" s="22">
        <f t="shared" si="18"/>
        <v>0</v>
      </c>
    </row>
    <row r="265" spans="1:10" ht="20.100000000000001" customHeight="1" x14ac:dyDescent="0.25">
      <c r="A265" s="14">
        <f t="shared" si="19"/>
        <v>0.1</v>
      </c>
      <c r="B265" s="22">
        <f t="shared" si="16"/>
        <v>0.94499999999999995</v>
      </c>
      <c r="C265" s="22">
        <f t="shared" si="18"/>
        <v>0.94197600000000004</v>
      </c>
      <c r="D265" s="22">
        <f t="shared" si="18"/>
        <v>0.92118599999999995</v>
      </c>
      <c r="E265" s="22">
        <f t="shared" si="18"/>
        <v>0.86854949999999997</v>
      </c>
      <c r="F265" s="22">
        <f t="shared" si="18"/>
        <v>0.77395499999999995</v>
      </c>
      <c r="G265" s="22">
        <f t="shared" si="18"/>
        <v>0.63125999999999993</v>
      </c>
      <c r="H265" s="22">
        <f t="shared" si="18"/>
        <v>0.44792999999999994</v>
      </c>
      <c r="I265" s="22">
        <f t="shared" si="18"/>
        <v>0.2343599999999999</v>
      </c>
      <c r="J265" s="22">
        <f t="shared" si="18"/>
        <v>0</v>
      </c>
    </row>
    <row r="266" spans="1:10" ht="20.100000000000001" customHeight="1" x14ac:dyDescent="0.25">
      <c r="A266" s="14">
        <f t="shared" si="19"/>
        <v>0.12000000000000001</v>
      </c>
      <c r="B266" s="22">
        <f t="shared" si="16"/>
        <v>0.93279999999999996</v>
      </c>
      <c r="C266" s="22">
        <f t="shared" si="18"/>
        <v>0.92981504000000004</v>
      </c>
      <c r="D266" s="22">
        <f t="shared" si="18"/>
        <v>0.90929344000000001</v>
      </c>
      <c r="E266" s="22">
        <f t="shared" si="18"/>
        <v>0.85733647999999996</v>
      </c>
      <c r="F266" s="22">
        <f t="shared" si="18"/>
        <v>0.76396319999999995</v>
      </c>
      <c r="G266" s="22">
        <f t="shared" si="18"/>
        <v>0.62311040000000006</v>
      </c>
      <c r="H266" s="22">
        <f t="shared" si="18"/>
        <v>0.44214719999999996</v>
      </c>
      <c r="I266" s="22">
        <f t="shared" si="18"/>
        <v>0.23133440000000005</v>
      </c>
      <c r="J266" s="22">
        <f t="shared" si="18"/>
        <v>0</v>
      </c>
    </row>
    <row r="267" spans="1:10" ht="20.100000000000001" customHeight="1" x14ac:dyDescent="0.25">
      <c r="A267" s="14">
        <f t="shared" si="19"/>
        <v>0.14000000000000001</v>
      </c>
      <c r="B267" s="22">
        <f t="shared" si="16"/>
        <v>0.92020000000000002</v>
      </c>
      <c r="C267" s="22">
        <f t="shared" si="18"/>
        <v>0.91725535999999996</v>
      </c>
      <c r="D267" s="22">
        <f t="shared" si="18"/>
        <v>0.89701096000000002</v>
      </c>
      <c r="E267" s="22">
        <f t="shared" si="18"/>
        <v>0.84575581999999994</v>
      </c>
      <c r="F267" s="22">
        <f t="shared" si="18"/>
        <v>0.75364379999999997</v>
      </c>
      <c r="G267" s="22">
        <f t="shared" si="18"/>
        <v>0.61469359999999995</v>
      </c>
      <c r="H267" s="22">
        <f t="shared" si="18"/>
        <v>0.43617479999999997</v>
      </c>
      <c r="I267" s="22">
        <f t="shared" si="18"/>
        <v>0.22820960000000001</v>
      </c>
      <c r="J267" s="22">
        <f t="shared" si="18"/>
        <v>0</v>
      </c>
    </row>
    <row r="268" spans="1:10" ht="20.100000000000001" customHeight="1" x14ac:dyDescent="0.25">
      <c r="A268" s="14">
        <f t="shared" si="19"/>
        <v>0.16</v>
      </c>
      <c r="B268" s="22">
        <f t="shared" si="16"/>
        <v>0.90720000000000001</v>
      </c>
      <c r="C268" s="22">
        <f t="shared" si="18"/>
        <v>0.90429695999999993</v>
      </c>
      <c r="D268" s="22">
        <f t="shared" si="18"/>
        <v>0.88433856</v>
      </c>
      <c r="E268" s="22">
        <f t="shared" si="18"/>
        <v>0.83380751999999991</v>
      </c>
      <c r="F268" s="22">
        <f t="shared" si="18"/>
        <v>0.74299680000000001</v>
      </c>
      <c r="G268" s="22">
        <f t="shared" si="18"/>
        <v>0.60600959999999993</v>
      </c>
      <c r="H268" s="22">
        <f t="shared" si="18"/>
        <v>0.43001279999999997</v>
      </c>
      <c r="I268" s="22">
        <f t="shared" si="18"/>
        <v>0.22498560000000001</v>
      </c>
      <c r="J268" s="22">
        <f t="shared" si="18"/>
        <v>0</v>
      </c>
    </row>
    <row r="269" spans="1:10" ht="20.100000000000001" customHeight="1" x14ac:dyDescent="0.25">
      <c r="A269" s="14">
        <f t="shared" si="19"/>
        <v>0.18</v>
      </c>
      <c r="B269" s="22">
        <f t="shared" si="16"/>
        <v>0.89380000000000004</v>
      </c>
      <c r="C269" s="22">
        <f t="shared" si="18"/>
        <v>0.89093984000000004</v>
      </c>
      <c r="D269" s="22">
        <f t="shared" si="18"/>
        <v>0.87127624000000004</v>
      </c>
      <c r="E269" s="22">
        <f t="shared" si="18"/>
        <v>0.82149158</v>
      </c>
      <c r="F269" s="22">
        <f t="shared" si="18"/>
        <v>0.73202220000000007</v>
      </c>
      <c r="G269" s="22">
        <f t="shared" si="18"/>
        <v>0.5970584000000001</v>
      </c>
      <c r="H269" s="22">
        <f t="shared" si="18"/>
        <v>0.42366120000000007</v>
      </c>
      <c r="I269" s="22">
        <f t="shared" si="18"/>
        <v>0.22166239999999993</v>
      </c>
      <c r="J269" s="22">
        <f t="shared" si="18"/>
        <v>0</v>
      </c>
    </row>
    <row r="270" spans="1:10" ht="20.100000000000001" customHeight="1" x14ac:dyDescent="0.25">
      <c r="A270" s="14">
        <f t="shared" si="19"/>
        <v>0.19999999999999998</v>
      </c>
      <c r="B270" s="22">
        <f t="shared" si="16"/>
        <v>0.88</v>
      </c>
      <c r="C270" s="22">
        <f t="shared" si="18"/>
        <v>0.87718399999999996</v>
      </c>
      <c r="D270" s="22">
        <f t="shared" si="18"/>
        <v>0.85782400000000003</v>
      </c>
      <c r="E270" s="22">
        <f t="shared" si="18"/>
        <v>0.80880799999999997</v>
      </c>
      <c r="F270" s="22">
        <f t="shared" si="18"/>
        <v>0.72072000000000003</v>
      </c>
      <c r="G270" s="22">
        <f t="shared" si="18"/>
        <v>0.58783999999999992</v>
      </c>
      <c r="H270" s="22">
        <f t="shared" si="18"/>
        <v>0.41711999999999994</v>
      </c>
      <c r="I270" s="22">
        <f t="shared" si="18"/>
        <v>0.21823999999999999</v>
      </c>
      <c r="J270" s="22">
        <f t="shared" si="18"/>
        <v>0</v>
      </c>
    </row>
    <row r="271" spans="1:10" ht="20.100000000000001" customHeight="1" x14ac:dyDescent="0.25">
      <c r="A271" s="14">
        <f t="shared" si="19"/>
        <v>0.21999999999999997</v>
      </c>
      <c r="B271" s="22">
        <f t="shared" si="16"/>
        <v>0.86580000000000001</v>
      </c>
      <c r="C271" s="22">
        <f t="shared" ref="C271:J276" si="20">1+C204</f>
        <v>0.86302944000000004</v>
      </c>
      <c r="D271" s="22">
        <f t="shared" si="20"/>
        <v>0.84398183999999998</v>
      </c>
      <c r="E271" s="22">
        <f t="shared" si="20"/>
        <v>0.79575678000000005</v>
      </c>
      <c r="F271" s="22">
        <f t="shared" si="20"/>
        <v>0.7090902</v>
      </c>
      <c r="G271" s="22">
        <f t="shared" si="20"/>
        <v>0.57835440000000005</v>
      </c>
      <c r="H271" s="22">
        <f t="shared" si="20"/>
        <v>0.41038920000000001</v>
      </c>
      <c r="I271" s="22">
        <f t="shared" si="20"/>
        <v>0.21471839999999998</v>
      </c>
      <c r="J271" s="22">
        <f t="shared" si="20"/>
        <v>0</v>
      </c>
    </row>
    <row r="272" spans="1:10" ht="20.100000000000001" customHeight="1" x14ac:dyDescent="0.25">
      <c r="A272" s="14">
        <f t="shared" si="19"/>
        <v>0.23999999999999996</v>
      </c>
      <c r="B272" s="22">
        <f t="shared" si="16"/>
        <v>0.85119999999999996</v>
      </c>
      <c r="C272" s="22">
        <f t="shared" si="20"/>
        <v>0.84847616000000003</v>
      </c>
      <c r="D272" s="22">
        <f t="shared" si="20"/>
        <v>0.82974976</v>
      </c>
      <c r="E272" s="22">
        <f t="shared" si="20"/>
        <v>0.78233792000000002</v>
      </c>
      <c r="F272" s="22">
        <f t="shared" si="20"/>
        <v>0.6971328</v>
      </c>
      <c r="G272" s="22">
        <f t="shared" si="20"/>
        <v>0.56860159999999993</v>
      </c>
      <c r="H272" s="22">
        <f t="shared" si="20"/>
        <v>0.40346879999999996</v>
      </c>
      <c r="I272" s="22">
        <f t="shared" si="20"/>
        <v>0.2110976</v>
      </c>
      <c r="J272" s="22">
        <f t="shared" si="20"/>
        <v>0</v>
      </c>
    </row>
    <row r="273" spans="1:10" ht="20.100000000000001" customHeight="1" x14ac:dyDescent="0.25">
      <c r="A273" s="14">
        <f t="shared" si="19"/>
        <v>0.25999999999999995</v>
      </c>
      <c r="B273" s="22">
        <f t="shared" si="16"/>
        <v>0.83620000000000005</v>
      </c>
      <c r="C273" s="22">
        <f t="shared" si="20"/>
        <v>0.83352416000000007</v>
      </c>
      <c r="D273" s="22">
        <f t="shared" si="20"/>
        <v>0.81512775999999998</v>
      </c>
      <c r="E273" s="22">
        <f t="shared" si="20"/>
        <v>0.76855141999999999</v>
      </c>
      <c r="F273" s="22">
        <f t="shared" si="20"/>
        <v>0.68484780000000001</v>
      </c>
      <c r="G273" s="22">
        <f t="shared" si="20"/>
        <v>0.5585815999999999</v>
      </c>
      <c r="H273" s="22">
        <f t="shared" si="20"/>
        <v>0.39635880000000001</v>
      </c>
      <c r="I273" s="22">
        <f t="shared" si="20"/>
        <v>0.20737759999999994</v>
      </c>
      <c r="J273" s="22">
        <f t="shared" si="20"/>
        <v>0</v>
      </c>
    </row>
    <row r="274" spans="1:10" ht="20.100000000000001" customHeight="1" x14ac:dyDescent="0.25">
      <c r="A274" s="14">
        <f t="shared" si="19"/>
        <v>0.27999999999999997</v>
      </c>
      <c r="B274" s="22">
        <f t="shared" si="16"/>
        <v>0.82079999999999997</v>
      </c>
      <c r="C274" s="22">
        <f t="shared" si="20"/>
        <v>0.81817344000000003</v>
      </c>
      <c r="D274" s="22">
        <f t="shared" si="20"/>
        <v>0.80011584000000002</v>
      </c>
      <c r="E274" s="22">
        <f t="shared" si="20"/>
        <v>0.75439728000000006</v>
      </c>
      <c r="F274" s="22">
        <f t="shared" si="20"/>
        <v>0.67223520000000003</v>
      </c>
      <c r="G274" s="22">
        <f t="shared" si="20"/>
        <v>0.54829440000000007</v>
      </c>
      <c r="H274" s="22">
        <f t="shared" si="20"/>
        <v>0.38905919999999994</v>
      </c>
      <c r="I274" s="22">
        <f t="shared" si="20"/>
        <v>0.20355840000000003</v>
      </c>
      <c r="J274" s="22">
        <f t="shared" si="20"/>
        <v>0</v>
      </c>
    </row>
    <row r="275" spans="1:10" ht="20.100000000000001" customHeight="1" x14ac:dyDescent="0.25">
      <c r="A275" s="14">
        <f t="shared" si="19"/>
        <v>0.3</v>
      </c>
      <c r="B275" s="22">
        <f t="shared" si="16"/>
        <v>0.80499999999999994</v>
      </c>
      <c r="C275" s="22">
        <f t="shared" si="20"/>
        <v>0.80242400000000003</v>
      </c>
      <c r="D275" s="22">
        <f t="shared" si="20"/>
        <v>0.78471400000000002</v>
      </c>
      <c r="E275" s="22">
        <f t="shared" si="20"/>
        <v>0.73987549999999991</v>
      </c>
      <c r="F275" s="22">
        <f t="shared" si="20"/>
        <v>0.65929499999999996</v>
      </c>
      <c r="G275" s="22">
        <f t="shared" si="20"/>
        <v>0.53774</v>
      </c>
      <c r="H275" s="22">
        <f t="shared" si="20"/>
        <v>0.38156999999999996</v>
      </c>
      <c r="I275" s="22">
        <f t="shared" si="20"/>
        <v>0.19964000000000004</v>
      </c>
      <c r="J275" s="22">
        <f t="shared" si="20"/>
        <v>0</v>
      </c>
    </row>
    <row r="276" spans="1:10" ht="20.100000000000001" customHeight="1" x14ac:dyDescent="0.25">
      <c r="A276" s="14">
        <f t="shared" si="19"/>
        <v>0.32</v>
      </c>
      <c r="B276" s="22">
        <f t="shared" si="16"/>
        <v>0.78879999999999995</v>
      </c>
      <c r="C276" s="22">
        <f t="shared" si="20"/>
        <v>0.78627583999999995</v>
      </c>
      <c r="D276" s="22">
        <f t="shared" si="20"/>
        <v>0.76892223999999998</v>
      </c>
      <c r="E276" s="22">
        <f t="shared" si="20"/>
        <v>0.72498607999999998</v>
      </c>
      <c r="F276" s="22">
        <f t="shared" si="20"/>
        <v>0.64602720000000002</v>
      </c>
      <c r="G276" s="22">
        <f t="shared" si="20"/>
        <v>0.52691840000000001</v>
      </c>
      <c r="H276" s="22">
        <f t="shared" si="20"/>
        <v>0.37389120000000009</v>
      </c>
      <c r="I276" s="22">
        <f t="shared" si="20"/>
        <v>0.19562239999999997</v>
      </c>
      <c r="J276" s="22">
        <f t="shared" si="20"/>
        <v>0</v>
      </c>
    </row>
    <row r="277" spans="1:10" ht="20.100000000000001" customHeight="1" x14ac:dyDescent="0.25">
      <c r="A277" s="14">
        <f t="shared" si="19"/>
        <v>0.34</v>
      </c>
      <c r="B277" s="22">
        <f t="shared" ref="B277:J292" si="21">1+B210</f>
        <v>0.7722</v>
      </c>
      <c r="C277" s="22">
        <f t="shared" si="21"/>
        <v>0.76972895999999991</v>
      </c>
      <c r="D277" s="22">
        <f t="shared" si="21"/>
        <v>0.75274055999999989</v>
      </c>
      <c r="E277" s="22">
        <f t="shared" si="21"/>
        <v>0.70972901999999993</v>
      </c>
      <c r="F277" s="22">
        <f t="shared" si="21"/>
        <v>0.63243179999999999</v>
      </c>
      <c r="G277" s="22">
        <f t="shared" si="21"/>
        <v>0.5158296</v>
      </c>
      <c r="H277" s="22">
        <f t="shared" si="21"/>
        <v>0.36602279999999998</v>
      </c>
      <c r="I277" s="22">
        <f t="shared" si="21"/>
        <v>0.19150559999999983</v>
      </c>
      <c r="J277" s="22">
        <f t="shared" si="21"/>
        <v>0</v>
      </c>
    </row>
    <row r="278" spans="1:10" ht="20.100000000000001" customHeight="1" x14ac:dyDescent="0.25">
      <c r="A278" s="14">
        <f t="shared" si="19"/>
        <v>0.36000000000000004</v>
      </c>
      <c r="B278" s="22">
        <f t="shared" si="21"/>
        <v>0.75519999999999998</v>
      </c>
      <c r="C278" s="22">
        <f t="shared" si="21"/>
        <v>0.75278336000000001</v>
      </c>
      <c r="D278" s="22">
        <f t="shared" si="21"/>
        <v>0.73616895999999998</v>
      </c>
      <c r="E278" s="22">
        <f t="shared" si="21"/>
        <v>0.69410432</v>
      </c>
      <c r="F278" s="22">
        <f t="shared" si="21"/>
        <v>0.61850880000000008</v>
      </c>
      <c r="G278" s="22">
        <f t="shared" si="21"/>
        <v>0.50447360000000008</v>
      </c>
      <c r="H278" s="22">
        <f t="shared" si="21"/>
        <v>0.35796479999999997</v>
      </c>
      <c r="I278" s="22">
        <f t="shared" si="21"/>
        <v>0.18728960000000006</v>
      </c>
      <c r="J278" s="22">
        <f t="shared" si="21"/>
        <v>0</v>
      </c>
    </row>
    <row r="279" spans="1:10" ht="20.100000000000001" customHeight="1" x14ac:dyDescent="0.25">
      <c r="A279" s="14">
        <f t="shared" si="19"/>
        <v>0.38000000000000006</v>
      </c>
      <c r="B279" s="22">
        <f t="shared" si="21"/>
        <v>0.73780000000000001</v>
      </c>
      <c r="C279" s="22">
        <f t="shared" si="21"/>
        <v>0.73543903999999993</v>
      </c>
      <c r="D279" s="22">
        <f t="shared" si="21"/>
        <v>0.71920743999999992</v>
      </c>
      <c r="E279" s="22">
        <f t="shared" si="21"/>
        <v>0.67811197999999995</v>
      </c>
      <c r="F279" s="22">
        <f t="shared" si="21"/>
        <v>0.60425819999999997</v>
      </c>
      <c r="G279" s="22">
        <f t="shared" si="21"/>
        <v>0.49285039999999991</v>
      </c>
      <c r="H279" s="22">
        <f t="shared" si="21"/>
        <v>0.34971720000000006</v>
      </c>
      <c r="I279" s="22">
        <f t="shared" si="21"/>
        <v>0.18297439999999998</v>
      </c>
      <c r="J279" s="22">
        <f t="shared" si="21"/>
        <v>0</v>
      </c>
    </row>
    <row r="280" spans="1:10" ht="20.100000000000001" customHeight="1" x14ac:dyDescent="0.25">
      <c r="A280" s="14">
        <f t="shared" si="19"/>
        <v>0.40000000000000008</v>
      </c>
      <c r="B280" s="22">
        <f t="shared" si="21"/>
        <v>0.72</v>
      </c>
      <c r="C280" s="22">
        <f t="shared" si="21"/>
        <v>0.71769599999999989</v>
      </c>
      <c r="D280" s="22">
        <f t="shared" si="21"/>
        <v>0.70185599999999992</v>
      </c>
      <c r="E280" s="22">
        <f t="shared" si="21"/>
        <v>0.6617519999999999</v>
      </c>
      <c r="F280" s="22">
        <f t="shared" si="21"/>
        <v>0.58967999999999987</v>
      </c>
      <c r="G280" s="22">
        <f t="shared" si="21"/>
        <v>0.48095999999999994</v>
      </c>
      <c r="H280" s="22">
        <f t="shared" si="21"/>
        <v>0.34127999999999981</v>
      </c>
      <c r="I280" s="22">
        <f t="shared" si="21"/>
        <v>0.17855999999999994</v>
      </c>
      <c r="J280" s="22">
        <f t="shared" si="21"/>
        <v>0</v>
      </c>
    </row>
    <row r="281" spans="1:10" ht="20.100000000000001" customHeight="1" x14ac:dyDescent="0.25">
      <c r="A281" s="14">
        <f t="shared" si="19"/>
        <v>0.4200000000000001</v>
      </c>
      <c r="B281" s="22">
        <f t="shared" si="21"/>
        <v>0.70179999999999998</v>
      </c>
      <c r="C281" s="22">
        <f t="shared" si="21"/>
        <v>0.69955423999999988</v>
      </c>
      <c r="D281" s="22">
        <f t="shared" si="21"/>
        <v>0.68411464</v>
      </c>
      <c r="E281" s="22">
        <f t="shared" si="21"/>
        <v>0.64502437999999995</v>
      </c>
      <c r="F281" s="22">
        <f t="shared" si="21"/>
        <v>0.57477420000000001</v>
      </c>
      <c r="G281" s="22">
        <f t="shared" si="21"/>
        <v>0.46880239999999984</v>
      </c>
      <c r="H281" s="22">
        <f t="shared" si="21"/>
        <v>0.33265319999999998</v>
      </c>
      <c r="I281" s="22">
        <f t="shared" si="21"/>
        <v>0.17404640000000005</v>
      </c>
      <c r="J281" s="22">
        <f t="shared" si="21"/>
        <v>0</v>
      </c>
    </row>
    <row r="282" spans="1:10" ht="20.100000000000001" customHeight="1" x14ac:dyDescent="0.25">
      <c r="A282" s="14">
        <f t="shared" si="19"/>
        <v>0.44000000000000011</v>
      </c>
      <c r="B282" s="22">
        <f t="shared" si="21"/>
        <v>0.68319999999999992</v>
      </c>
      <c r="C282" s="22">
        <f t="shared" si="21"/>
        <v>0.68101375999999991</v>
      </c>
      <c r="D282" s="22">
        <f t="shared" si="21"/>
        <v>0.66598336000000002</v>
      </c>
      <c r="E282" s="22">
        <f t="shared" si="21"/>
        <v>0.6279291199999999</v>
      </c>
      <c r="F282" s="22">
        <f t="shared" si="21"/>
        <v>0.55954079999999995</v>
      </c>
      <c r="G282" s="22">
        <f t="shared" si="21"/>
        <v>0.45637759999999994</v>
      </c>
      <c r="H282" s="22">
        <f t="shared" si="21"/>
        <v>0.32383680000000004</v>
      </c>
      <c r="I282" s="22">
        <f t="shared" si="21"/>
        <v>0.16943359999999996</v>
      </c>
      <c r="J282" s="22">
        <f t="shared" si="21"/>
        <v>0</v>
      </c>
    </row>
    <row r="283" spans="1:10" ht="20.100000000000001" customHeight="1" x14ac:dyDescent="0.25">
      <c r="A283" s="14">
        <f t="shared" si="19"/>
        <v>0.46000000000000013</v>
      </c>
      <c r="B283" s="22">
        <f t="shared" si="21"/>
        <v>0.6641999999999999</v>
      </c>
      <c r="C283" s="22">
        <f t="shared" si="21"/>
        <v>0.66207455999999987</v>
      </c>
      <c r="D283" s="22">
        <f t="shared" si="21"/>
        <v>0.6474621599999999</v>
      </c>
      <c r="E283" s="22">
        <f t="shared" si="21"/>
        <v>0.61046621999999984</v>
      </c>
      <c r="F283" s="22">
        <f t="shared" si="21"/>
        <v>0.5439797999999999</v>
      </c>
      <c r="G283" s="22">
        <f t="shared" si="21"/>
        <v>0.4436855999999999</v>
      </c>
      <c r="H283" s="22">
        <f t="shared" si="21"/>
        <v>0.31483079999999997</v>
      </c>
      <c r="I283" s="22">
        <f t="shared" si="21"/>
        <v>0.16472159999999991</v>
      </c>
      <c r="J283" s="22">
        <f t="shared" si="21"/>
        <v>0</v>
      </c>
    </row>
    <row r="284" spans="1:10" ht="20.100000000000001" customHeight="1" x14ac:dyDescent="0.25">
      <c r="A284" s="14">
        <f t="shared" si="19"/>
        <v>0.48000000000000015</v>
      </c>
      <c r="B284" s="22">
        <f t="shared" si="21"/>
        <v>0.64479999999999982</v>
      </c>
      <c r="C284" s="22">
        <f t="shared" si="21"/>
        <v>0.64273663999999986</v>
      </c>
      <c r="D284" s="22">
        <f t="shared" si="21"/>
        <v>0.62855103999999984</v>
      </c>
      <c r="E284" s="22">
        <f t="shared" si="21"/>
        <v>0.59263567999999989</v>
      </c>
      <c r="F284" s="22">
        <f t="shared" si="21"/>
        <v>0.52809119999999998</v>
      </c>
      <c r="G284" s="22">
        <f t="shared" si="21"/>
        <v>0.43072639999999995</v>
      </c>
      <c r="H284" s="22">
        <f t="shared" si="21"/>
        <v>0.30563519999999977</v>
      </c>
      <c r="I284" s="22">
        <f t="shared" si="21"/>
        <v>0.15991040000000001</v>
      </c>
      <c r="J284" s="22">
        <f t="shared" si="21"/>
        <v>0</v>
      </c>
    </row>
    <row r="285" spans="1:10" ht="20.100000000000001" customHeight="1" x14ac:dyDescent="0.25">
      <c r="A285" s="14">
        <f t="shared" si="19"/>
        <v>0.50000000000000011</v>
      </c>
      <c r="B285" s="22">
        <f t="shared" si="21"/>
        <v>0.62499999999999978</v>
      </c>
      <c r="C285" s="22">
        <f t="shared" si="21"/>
        <v>0.62299999999999978</v>
      </c>
      <c r="D285" s="22">
        <f t="shared" si="21"/>
        <v>0.60924999999999985</v>
      </c>
      <c r="E285" s="22">
        <f t="shared" si="21"/>
        <v>0.57443749999999993</v>
      </c>
      <c r="F285" s="22">
        <f t="shared" si="21"/>
        <v>0.51187499999999986</v>
      </c>
      <c r="G285" s="22">
        <f t="shared" si="21"/>
        <v>0.41749999999999987</v>
      </c>
      <c r="H285" s="22">
        <f t="shared" si="21"/>
        <v>0.29625000000000001</v>
      </c>
      <c r="I285" s="22">
        <f t="shared" si="21"/>
        <v>0.15500000000000003</v>
      </c>
      <c r="J285" s="22">
        <f t="shared" si="21"/>
        <v>0</v>
      </c>
    </row>
    <row r="286" spans="1:10" ht="20.100000000000001" customHeight="1" x14ac:dyDescent="0.25">
      <c r="A286" s="14">
        <f t="shared" si="19"/>
        <v>0.52000000000000013</v>
      </c>
      <c r="B286" s="22">
        <f t="shared" si="21"/>
        <v>0.60479999999999989</v>
      </c>
      <c r="C286" s="22">
        <f t="shared" si="21"/>
        <v>0.60286463999999995</v>
      </c>
      <c r="D286" s="22">
        <f t="shared" si="21"/>
        <v>0.58955903999999992</v>
      </c>
      <c r="E286" s="22">
        <f t="shared" si="21"/>
        <v>0.55587167999999987</v>
      </c>
      <c r="F286" s="22">
        <f t="shared" si="21"/>
        <v>0.49533119999999986</v>
      </c>
      <c r="G286" s="22">
        <f t="shared" si="21"/>
        <v>0.40400639999999999</v>
      </c>
      <c r="H286" s="22">
        <f t="shared" si="21"/>
        <v>0.28667519999999991</v>
      </c>
      <c r="I286" s="22">
        <f t="shared" si="21"/>
        <v>0.14999039999999997</v>
      </c>
      <c r="J286" s="22">
        <f t="shared" si="21"/>
        <v>0</v>
      </c>
    </row>
    <row r="287" spans="1:10" ht="20.100000000000001" customHeight="1" x14ac:dyDescent="0.25">
      <c r="A287" s="14">
        <f t="shared" si="19"/>
        <v>0.54000000000000015</v>
      </c>
      <c r="B287" s="22">
        <f t="shared" si="21"/>
        <v>0.58419999999999983</v>
      </c>
      <c r="C287" s="22">
        <f t="shared" si="21"/>
        <v>0.58233055999999983</v>
      </c>
      <c r="D287" s="22">
        <f t="shared" si="21"/>
        <v>0.56947815999999984</v>
      </c>
      <c r="E287" s="22">
        <f t="shared" si="21"/>
        <v>0.53693821999999991</v>
      </c>
      <c r="F287" s="22">
        <f t="shared" si="21"/>
        <v>0.47845979999999988</v>
      </c>
      <c r="G287" s="22">
        <f t="shared" si="21"/>
        <v>0.39024559999999986</v>
      </c>
      <c r="H287" s="22">
        <f t="shared" si="21"/>
        <v>0.27691080000000001</v>
      </c>
      <c r="I287" s="22">
        <f t="shared" si="21"/>
        <v>0.14488159999999994</v>
      </c>
      <c r="J287" s="22">
        <f t="shared" si="21"/>
        <v>0</v>
      </c>
    </row>
    <row r="288" spans="1:10" ht="20.100000000000001" customHeight="1" x14ac:dyDescent="0.25">
      <c r="A288" s="14">
        <f t="shared" si="19"/>
        <v>0.56000000000000016</v>
      </c>
      <c r="B288" s="22">
        <f t="shared" si="21"/>
        <v>0.56319999999999981</v>
      </c>
      <c r="C288" s="22">
        <f t="shared" si="21"/>
        <v>0.56139775999999975</v>
      </c>
      <c r="D288" s="22">
        <f t="shared" si="21"/>
        <v>0.54900735999999983</v>
      </c>
      <c r="E288" s="22">
        <f t="shared" si="21"/>
        <v>0.51763711999999984</v>
      </c>
      <c r="F288" s="22">
        <f t="shared" si="21"/>
        <v>0.4612607999999998</v>
      </c>
      <c r="G288" s="22">
        <f t="shared" si="21"/>
        <v>0.37621759999999982</v>
      </c>
      <c r="H288" s="22">
        <f t="shared" si="21"/>
        <v>0.26695679999999977</v>
      </c>
      <c r="I288" s="22">
        <f t="shared" si="21"/>
        <v>0.13967359999999995</v>
      </c>
      <c r="J288" s="22">
        <f t="shared" si="21"/>
        <v>0</v>
      </c>
    </row>
    <row r="289" spans="1:10" ht="20.100000000000001" customHeight="1" x14ac:dyDescent="0.25">
      <c r="A289" s="14">
        <f t="shared" si="19"/>
        <v>0.58000000000000018</v>
      </c>
      <c r="B289" s="22">
        <f t="shared" si="21"/>
        <v>0.54179999999999984</v>
      </c>
      <c r="C289" s="22">
        <f t="shared" si="21"/>
        <v>0.54006623999999981</v>
      </c>
      <c r="D289" s="22">
        <f t="shared" si="21"/>
        <v>0.52814663999999989</v>
      </c>
      <c r="E289" s="22">
        <f t="shared" si="21"/>
        <v>0.49796837999999988</v>
      </c>
      <c r="F289" s="22">
        <f t="shared" si="21"/>
        <v>0.44373419999999986</v>
      </c>
      <c r="G289" s="22">
        <f t="shared" si="21"/>
        <v>0.36192239999999987</v>
      </c>
      <c r="H289" s="22">
        <f t="shared" si="21"/>
        <v>0.25681319999999996</v>
      </c>
      <c r="I289" s="22">
        <f t="shared" si="21"/>
        <v>0.1343664</v>
      </c>
      <c r="J289" s="22">
        <f t="shared" si="21"/>
        <v>0</v>
      </c>
    </row>
    <row r="290" spans="1:10" ht="20.100000000000001" customHeight="1" x14ac:dyDescent="0.25">
      <c r="A290" s="14">
        <f t="shared" si="19"/>
        <v>0.6000000000000002</v>
      </c>
      <c r="B290" s="22">
        <f t="shared" si="21"/>
        <v>0.5199999999999998</v>
      </c>
      <c r="C290" s="22">
        <f t="shared" si="21"/>
        <v>0.51833599999999969</v>
      </c>
      <c r="D290" s="22">
        <f t="shared" si="21"/>
        <v>0.50689599999999979</v>
      </c>
      <c r="E290" s="22">
        <f t="shared" si="21"/>
        <v>0.4779319999999998</v>
      </c>
      <c r="F290" s="22">
        <f t="shared" si="21"/>
        <v>0.42587999999999981</v>
      </c>
      <c r="G290" s="22">
        <f t="shared" si="21"/>
        <v>0.34735999999999989</v>
      </c>
      <c r="H290" s="22">
        <f t="shared" si="21"/>
        <v>0.24647999999999992</v>
      </c>
      <c r="I290" s="22">
        <f t="shared" si="21"/>
        <v>0.12895999999999985</v>
      </c>
      <c r="J290" s="22">
        <f t="shared" si="21"/>
        <v>0</v>
      </c>
    </row>
    <row r="291" spans="1:10" ht="20.100000000000001" customHeight="1" x14ac:dyDescent="0.25">
      <c r="A291" s="14">
        <f t="shared" si="19"/>
        <v>0.62000000000000022</v>
      </c>
      <c r="B291" s="22">
        <f t="shared" si="21"/>
        <v>0.4977999999999998</v>
      </c>
      <c r="C291" s="22">
        <f t="shared" si="21"/>
        <v>0.49620703999999982</v>
      </c>
      <c r="D291" s="22">
        <f t="shared" si="21"/>
        <v>0.48525543999999987</v>
      </c>
      <c r="E291" s="22">
        <f t="shared" si="21"/>
        <v>0.45752797999999983</v>
      </c>
      <c r="F291" s="22">
        <f t="shared" si="21"/>
        <v>0.40769819999999979</v>
      </c>
      <c r="G291" s="22">
        <f t="shared" si="21"/>
        <v>0.33253039999999989</v>
      </c>
      <c r="H291" s="22">
        <f t="shared" si="21"/>
        <v>0.23595719999999987</v>
      </c>
      <c r="I291" s="22">
        <f t="shared" si="21"/>
        <v>0.12345439999999996</v>
      </c>
      <c r="J291" s="22">
        <f t="shared" si="21"/>
        <v>0</v>
      </c>
    </row>
    <row r="292" spans="1:10" ht="20.100000000000001" customHeight="1" x14ac:dyDescent="0.25">
      <c r="A292" s="14">
        <f t="shared" si="19"/>
        <v>0.64000000000000024</v>
      </c>
      <c r="B292" s="22">
        <f t="shared" si="21"/>
        <v>0.47519999999999973</v>
      </c>
      <c r="C292" s="22">
        <f t="shared" si="21"/>
        <v>0.47367935999999977</v>
      </c>
      <c r="D292" s="22">
        <f t="shared" si="21"/>
        <v>0.46322495999999969</v>
      </c>
      <c r="E292" s="22">
        <f t="shared" si="21"/>
        <v>0.43675631999999975</v>
      </c>
      <c r="F292" s="22">
        <f t="shared" si="21"/>
        <v>0.38918879999999978</v>
      </c>
      <c r="G292" s="22">
        <f t="shared" si="21"/>
        <v>0.31743359999999976</v>
      </c>
      <c r="H292" s="22">
        <f t="shared" si="21"/>
        <v>0.2252447999999998</v>
      </c>
      <c r="I292" s="22">
        <f t="shared" si="21"/>
        <v>0.11784959999999989</v>
      </c>
      <c r="J292" s="22">
        <f t="shared" si="21"/>
        <v>0</v>
      </c>
    </row>
    <row r="293" spans="1:10" ht="20.100000000000001" customHeight="1" x14ac:dyDescent="0.25">
      <c r="A293" s="14">
        <f t="shared" si="19"/>
        <v>0.66000000000000025</v>
      </c>
      <c r="B293" s="22">
        <f t="shared" ref="B293:J308" si="22">1+B226</f>
        <v>0.45219999999999971</v>
      </c>
      <c r="C293" s="22">
        <f t="shared" si="22"/>
        <v>0.45075295999999976</v>
      </c>
      <c r="D293" s="22">
        <f t="shared" si="22"/>
        <v>0.44080455999999968</v>
      </c>
      <c r="E293" s="22">
        <f t="shared" si="22"/>
        <v>0.41561701999999978</v>
      </c>
      <c r="F293" s="22">
        <f t="shared" si="22"/>
        <v>0.37035179999999979</v>
      </c>
      <c r="G293" s="22">
        <f t="shared" si="22"/>
        <v>0.30206959999999983</v>
      </c>
      <c r="H293" s="22">
        <f t="shared" si="22"/>
        <v>0.21434279999999983</v>
      </c>
      <c r="I293" s="22">
        <f t="shared" si="22"/>
        <v>0.11214559999999996</v>
      </c>
      <c r="J293" s="22">
        <f t="shared" si="22"/>
        <v>0</v>
      </c>
    </row>
    <row r="294" spans="1:10" ht="20.100000000000001" customHeight="1" x14ac:dyDescent="0.25">
      <c r="A294" s="14">
        <f t="shared" si="19"/>
        <v>0.68000000000000027</v>
      </c>
      <c r="B294" s="22">
        <f t="shared" si="22"/>
        <v>0.42879999999999963</v>
      </c>
      <c r="C294" s="22">
        <f t="shared" si="22"/>
        <v>0.42742783999999956</v>
      </c>
      <c r="D294" s="22">
        <f t="shared" si="22"/>
        <v>0.41799423999999963</v>
      </c>
      <c r="E294" s="22">
        <f t="shared" si="22"/>
        <v>0.3941100799999997</v>
      </c>
      <c r="F294" s="22">
        <f t="shared" si="22"/>
        <v>0.3511871999999997</v>
      </c>
      <c r="G294" s="22">
        <f t="shared" si="22"/>
        <v>0.28643839999999965</v>
      </c>
      <c r="H294" s="22">
        <f t="shared" si="22"/>
        <v>0.20325119999999985</v>
      </c>
      <c r="I294" s="22">
        <f t="shared" si="22"/>
        <v>0.10634239999999973</v>
      </c>
      <c r="J294" s="22">
        <f t="shared" si="22"/>
        <v>0</v>
      </c>
    </row>
    <row r="295" spans="1:10" ht="20.100000000000001" customHeight="1" x14ac:dyDescent="0.25">
      <c r="A295" s="14">
        <f t="shared" si="19"/>
        <v>0.70000000000000029</v>
      </c>
      <c r="B295" s="22">
        <f t="shared" si="22"/>
        <v>0.40499999999999969</v>
      </c>
      <c r="C295" s="22">
        <f t="shared" si="22"/>
        <v>0.40370399999999973</v>
      </c>
      <c r="D295" s="22">
        <f t="shared" si="22"/>
        <v>0.39479399999999965</v>
      </c>
      <c r="E295" s="22">
        <f t="shared" si="22"/>
        <v>0.37223549999999972</v>
      </c>
      <c r="F295" s="22">
        <f t="shared" si="22"/>
        <v>0.33169499999999974</v>
      </c>
      <c r="G295" s="22">
        <f t="shared" si="22"/>
        <v>0.27053999999999978</v>
      </c>
      <c r="H295" s="22">
        <f t="shared" si="22"/>
        <v>0.19196999999999986</v>
      </c>
      <c r="I295" s="22">
        <f t="shared" si="22"/>
        <v>0.10043999999999986</v>
      </c>
      <c r="J295" s="22">
        <f t="shared" si="22"/>
        <v>0</v>
      </c>
    </row>
    <row r="296" spans="1:10" ht="20.100000000000001" customHeight="1" x14ac:dyDescent="0.25">
      <c r="A296" s="14">
        <f t="shared" si="19"/>
        <v>0.72000000000000031</v>
      </c>
      <c r="B296" s="22">
        <f t="shared" si="22"/>
        <v>0.38079999999999958</v>
      </c>
      <c r="C296" s="22">
        <f t="shared" si="22"/>
        <v>0.37958143999999949</v>
      </c>
      <c r="D296" s="22">
        <f t="shared" si="22"/>
        <v>0.37120383999999962</v>
      </c>
      <c r="E296" s="22">
        <f t="shared" si="22"/>
        <v>0.34999327999999963</v>
      </c>
      <c r="F296" s="22">
        <f t="shared" si="22"/>
        <v>0.31187519999999969</v>
      </c>
      <c r="G296" s="22">
        <f t="shared" si="22"/>
        <v>0.25437439999999967</v>
      </c>
      <c r="H296" s="22">
        <f t="shared" si="22"/>
        <v>0.18049919999999986</v>
      </c>
      <c r="I296" s="22">
        <f t="shared" si="22"/>
        <v>9.4438399999999922E-2</v>
      </c>
      <c r="J296" s="22">
        <f t="shared" si="22"/>
        <v>0</v>
      </c>
    </row>
    <row r="297" spans="1:10" ht="20.100000000000001" customHeight="1" x14ac:dyDescent="0.25">
      <c r="A297" s="14">
        <f t="shared" si="19"/>
        <v>0.74000000000000032</v>
      </c>
      <c r="B297" s="22">
        <f t="shared" si="22"/>
        <v>0.35619999999999963</v>
      </c>
      <c r="C297" s="22">
        <f t="shared" si="22"/>
        <v>0.35506015999999962</v>
      </c>
      <c r="D297" s="22">
        <f t="shared" si="22"/>
        <v>0.34722375999999966</v>
      </c>
      <c r="E297" s="22">
        <f t="shared" si="22"/>
        <v>0.32738341999999965</v>
      </c>
      <c r="F297" s="22">
        <f t="shared" si="22"/>
        <v>0.29172779999999965</v>
      </c>
      <c r="G297" s="22">
        <f t="shared" si="22"/>
        <v>0.23794159999999975</v>
      </c>
      <c r="H297" s="22">
        <f t="shared" si="22"/>
        <v>0.16883879999999973</v>
      </c>
      <c r="I297" s="22">
        <f t="shared" si="22"/>
        <v>8.8337599999999794E-2</v>
      </c>
      <c r="J297" s="22">
        <f t="shared" si="22"/>
        <v>0</v>
      </c>
    </row>
    <row r="298" spans="1:10" ht="20.100000000000001" customHeight="1" x14ac:dyDescent="0.25">
      <c r="A298" s="14">
        <f t="shared" si="19"/>
        <v>0.76000000000000034</v>
      </c>
      <c r="B298" s="22">
        <f t="shared" si="22"/>
        <v>0.33119999999999949</v>
      </c>
      <c r="C298" s="22">
        <f t="shared" si="22"/>
        <v>0.33014015999999946</v>
      </c>
      <c r="D298" s="22">
        <f t="shared" si="22"/>
        <v>0.32285375999999943</v>
      </c>
      <c r="E298" s="22">
        <f t="shared" si="22"/>
        <v>0.30440591999999955</v>
      </c>
      <c r="F298" s="22">
        <f t="shared" si="22"/>
        <v>0.27125279999999963</v>
      </c>
      <c r="G298" s="22">
        <f t="shared" si="22"/>
        <v>0.22124159999999959</v>
      </c>
      <c r="H298" s="22">
        <f t="shared" si="22"/>
        <v>0.15698879999999971</v>
      </c>
      <c r="I298" s="22">
        <f t="shared" si="22"/>
        <v>8.2137599999999811E-2</v>
      </c>
      <c r="J298" s="22">
        <f t="shared" si="22"/>
        <v>0</v>
      </c>
    </row>
    <row r="299" spans="1:10" ht="20.100000000000001" customHeight="1" x14ac:dyDescent="0.25">
      <c r="A299" s="14">
        <f t="shared" si="19"/>
        <v>0.78000000000000036</v>
      </c>
      <c r="B299" s="22">
        <f t="shared" si="22"/>
        <v>0.30579999999999952</v>
      </c>
      <c r="C299" s="22">
        <f t="shared" si="22"/>
        <v>0.30482143999999967</v>
      </c>
      <c r="D299" s="22">
        <f t="shared" si="22"/>
        <v>0.2980938399999995</v>
      </c>
      <c r="E299" s="22">
        <f t="shared" si="22"/>
        <v>0.28106077999999957</v>
      </c>
      <c r="F299" s="22">
        <f t="shared" si="22"/>
        <v>0.25045019999999962</v>
      </c>
      <c r="G299" s="22">
        <f t="shared" si="22"/>
        <v>0.20427439999999963</v>
      </c>
      <c r="H299" s="22">
        <f t="shared" si="22"/>
        <v>0.14494919999999978</v>
      </c>
      <c r="I299" s="22">
        <f t="shared" si="22"/>
        <v>7.5838399999999861E-2</v>
      </c>
      <c r="J299" s="22">
        <f t="shared" si="22"/>
        <v>0</v>
      </c>
    </row>
    <row r="300" spans="1:10" ht="20.100000000000001" customHeight="1" x14ac:dyDescent="0.25">
      <c r="A300" s="14">
        <f t="shared" si="19"/>
        <v>0.80000000000000038</v>
      </c>
      <c r="B300" s="22">
        <f t="shared" si="22"/>
        <v>0.27999999999999958</v>
      </c>
      <c r="C300" s="22">
        <f t="shared" si="22"/>
        <v>0.27910399999999957</v>
      </c>
      <c r="D300" s="22">
        <f t="shared" si="22"/>
        <v>0.27294399999999952</v>
      </c>
      <c r="E300" s="22">
        <f t="shared" si="22"/>
        <v>0.25734799999999969</v>
      </c>
      <c r="F300" s="22">
        <f t="shared" si="22"/>
        <v>0.22931999999999964</v>
      </c>
      <c r="G300" s="22">
        <f t="shared" si="22"/>
        <v>0.18703999999999965</v>
      </c>
      <c r="H300" s="22">
        <f t="shared" si="22"/>
        <v>0.13271999999999973</v>
      </c>
      <c r="I300" s="22">
        <f t="shared" si="22"/>
        <v>6.9439999999999835E-2</v>
      </c>
      <c r="J300" s="22">
        <f t="shared" si="22"/>
        <v>0</v>
      </c>
    </row>
    <row r="301" spans="1:10" ht="20.100000000000001" customHeight="1" x14ac:dyDescent="0.25">
      <c r="A301" s="14">
        <f t="shared" si="19"/>
        <v>0.8200000000000004</v>
      </c>
      <c r="B301" s="22">
        <f t="shared" si="22"/>
        <v>0.25379999999999958</v>
      </c>
      <c r="C301" s="22">
        <f t="shared" si="22"/>
        <v>0.25298783999999952</v>
      </c>
      <c r="D301" s="22">
        <f t="shared" si="22"/>
        <v>0.2474042399999995</v>
      </c>
      <c r="E301" s="22">
        <f t="shared" si="22"/>
        <v>0.23326757999999959</v>
      </c>
      <c r="F301" s="22">
        <f t="shared" si="22"/>
        <v>0.20786219999999955</v>
      </c>
      <c r="G301" s="22">
        <f t="shared" si="22"/>
        <v>0.16953839999999976</v>
      </c>
      <c r="H301" s="22">
        <f t="shared" si="22"/>
        <v>0.12030119999999977</v>
      </c>
      <c r="I301" s="22">
        <f t="shared" si="22"/>
        <v>6.2942399999999843E-2</v>
      </c>
      <c r="J301" s="22">
        <f t="shared" si="22"/>
        <v>0</v>
      </c>
    </row>
    <row r="302" spans="1:10" ht="20.100000000000001" customHeight="1" x14ac:dyDescent="0.25">
      <c r="A302" s="14">
        <f t="shared" si="19"/>
        <v>0.84000000000000041</v>
      </c>
      <c r="B302" s="22">
        <f t="shared" si="22"/>
        <v>0.2271999999999994</v>
      </c>
      <c r="C302" s="22">
        <f t="shared" si="22"/>
        <v>0.22647295999999939</v>
      </c>
      <c r="D302" s="22">
        <f t="shared" si="22"/>
        <v>0.22147455999999943</v>
      </c>
      <c r="E302" s="22">
        <f t="shared" si="22"/>
        <v>0.20881951999999937</v>
      </c>
      <c r="F302" s="22">
        <f t="shared" si="22"/>
        <v>0.1860767999999996</v>
      </c>
      <c r="G302" s="22">
        <f t="shared" si="22"/>
        <v>0.15176959999999962</v>
      </c>
      <c r="H302" s="22">
        <f t="shared" si="22"/>
        <v>0.10769279999999981</v>
      </c>
      <c r="I302" s="22">
        <f t="shared" si="22"/>
        <v>5.6345599999999774E-2</v>
      </c>
      <c r="J302" s="22">
        <f t="shared" si="22"/>
        <v>0</v>
      </c>
    </row>
    <row r="303" spans="1:10" ht="20.100000000000001" customHeight="1" x14ac:dyDescent="0.25">
      <c r="A303" s="14">
        <f t="shared" si="19"/>
        <v>0.86000000000000043</v>
      </c>
      <c r="B303" s="22">
        <f t="shared" si="22"/>
        <v>0.20019999999999949</v>
      </c>
      <c r="C303" s="22">
        <f t="shared" si="22"/>
        <v>0.19955935999999952</v>
      </c>
      <c r="D303" s="22">
        <f t="shared" si="22"/>
        <v>0.19515495999999954</v>
      </c>
      <c r="E303" s="22">
        <f t="shared" si="22"/>
        <v>0.18400381999999949</v>
      </c>
      <c r="F303" s="22">
        <f t="shared" si="22"/>
        <v>0.16396379999999966</v>
      </c>
      <c r="G303" s="22">
        <f t="shared" si="22"/>
        <v>0.13373359999999967</v>
      </c>
      <c r="H303" s="22">
        <f t="shared" si="22"/>
        <v>9.4894799999999724E-2</v>
      </c>
      <c r="I303" s="22">
        <f t="shared" si="22"/>
        <v>4.964959999999996E-2</v>
      </c>
      <c r="J303" s="22">
        <f t="shared" si="22"/>
        <v>0</v>
      </c>
    </row>
    <row r="304" spans="1:10" ht="20.100000000000001" customHeight="1" x14ac:dyDescent="0.25">
      <c r="A304" s="14">
        <f t="shared" si="19"/>
        <v>0.88000000000000045</v>
      </c>
      <c r="B304" s="22">
        <f t="shared" si="22"/>
        <v>0.1727999999999994</v>
      </c>
      <c r="C304" s="22">
        <f t="shared" si="22"/>
        <v>0.17224703999999946</v>
      </c>
      <c r="D304" s="22">
        <f t="shared" si="22"/>
        <v>0.16844543999999939</v>
      </c>
      <c r="E304" s="22">
        <f t="shared" si="22"/>
        <v>0.1588204799999996</v>
      </c>
      <c r="F304" s="22">
        <f t="shared" si="22"/>
        <v>0.14152319999999963</v>
      </c>
      <c r="G304" s="22">
        <f t="shared" si="22"/>
        <v>0.1154303999999996</v>
      </c>
      <c r="H304" s="22">
        <f t="shared" si="22"/>
        <v>8.1907199999999736E-2</v>
      </c>
      <c r="I304" s="22">
        <f t="shared" si="22"/>
        <v>4.2854399999999959E-2</v>
      </c>
      <c r="J304" s="22">
        <f t="shared" si="22"/>
        <v>0</v>
      </c>
    </row>
    <row r="305" spans="1:10" ht="20.100000000000001" customHeight="1" x14ac:dyDescent="0.25">
      <c r="A305" s="14">
        <f t="shared" si="19"/>
        <v>0.90000000000000047</v>
      </c>
      <c r="B305" s="22">
        <f t="shared" si="22"/>
        <v>0.14499999999999924</v>
      </c>
      <c r="C305" s="22">
        <f t="shared" si="22"/>
        <v>0.14453599999999922</v>
      </c>
      <c r="D305" s="22">
        <f t="shared" si="22"/>
        <v>0.14134599999999931</v>
      </c>
      <c r="E305" s="22">
        <f t="shared" si="22"/>
        <v>0.13326949999999937</v>
      </c>
      <c r="F305" s="22">
        <f t="shared" si="22"/>
        <v>0.1187549999999995</v>
      </c>
      <c r="G305" s="22">
        <f t="shared" si="22"/>
        <v>9.6859999999999502E-2</v>
      </c>
      <c r="H305" s="22">
        <f t="shared" si="22"/>
        <v>6.8729999999999625E-2</v>
      </c>
      <c r="I305" s="22">
        <f t="shared" si="22"/>
        <v>3.595999999999977E-2</v>
      </c>
      <c r="J305" s="22">
        <f t="shared" si="22"/>
        <v>0</v>
      </c>
    </row>
    <row r="306" spans="1:10" ht="20.100000000000001" customHeight="1" x14ac:dyDescent="0.25">
      <c r="A306" s="14">
        <f t="shared" si="19"/>
        <v>0.92000000000000048</v>
      </c>
      <c r="B306" s="22">
        <f t="shared" si="22"/>
        <v>0.11679999999999935</v>
      </c>
      <c r="C306" s="22">
        <f t="shared" si="22"/>
        <v>0.11642623999999946</v>
      </c>
      <c r="D306" s="22">
        <f t="shared" si="22"/>
        <v>0.1138566399999994</v>
      </c>
      <c r="E306" s="22">
        <f t="shared" si="22"/>
        <v>0.10735087999999948</v>
      </c>
      <c r="F306" s="22">
        <f t="shared" si="22"/>
        <v>9.56591999999995E-2</v>
      </c>
      <c r="G306" s="22">
        <f t="shared" si="22"/>
        <v>7.8022399999999603E-2</v>
      </c>
      <c r="H306" s="22">
        <f t="shared" si="22"/>
        <v>5.5363199999999724E-2</v>
      </c>
      <c r="I306" s="22">
        <f t="shared" si="22"/>
        <v>2.8966399999999948E-2</v>
      </c>
      <c r="J306" s="22">
        <f t="shared" si="22"/>
        <v>0</v>
      </c>
    </row>
    <row r="307" spans="1:10" ht="20.100000000000001" customHeight="1" x14ac:dyDescent="0.25">
      <c r="A307" s="14">
        <f t="shared" si="19"/>
        <v>0.9400000000000005</v>
      </c>
      <c r="B307" s="22">
        <f t="shared" si="22"/>
        <v>8.8199999999999168E-2</v>
      </c>
      <c r="C307" s="22">
        <f t="shared" si="22"/>
        <v>8.791775999999929E-2</v>
      </c>
      <c r="D307" s="22">
        <f t="shared" si="22"/>
        <v>8.5977359999999226E-2</v>
      </c>
      <c r="E307" s="22">
        <f t="shared" si="22"/>
        <v>8.1064619999999254E-2</v>
      </c>
      <c r="F307" s="22">
        <f t="shared" si="22"/>
        <v>7.2235799999999406E-2</v>
      </c>
      <c r="G307" s="22">
        <f t="shared" si="22"/>
        <v>5.8917599999999459E-2</v>
      </c>
      <c r="H307" s="22">
        <f t="shared" si="22"/>
        <v>4.18067999999997E-2</v>
      </c>
      <c r="I307" s="22">
        <f t="shared" si="22"/>
        <v>2.1873599999999827E-2</v>
      </c>
      <c r="J307" s="22">
        <f t="shared" si="22"/>
        <v>0</v>
      </c>
    </row>
    <row r="308" spans="1:10" ht="20.100000000000001" customHeight="1" x14ac:dyDescent="0.25">
      <c r="A308" s="14">
        <f t="shared" si="19"/>
        <v>0.96000000000000052</v>
      </c>
      <c r="B308" s="22">
        <f t="shared" si="22"/>
        <v>5.9199999999999253E-2</v>
      </c>
      <c r="C308" s="22">
        <f t="shared" si="22"/>
        <v>5.9010559999999268E-2</v>
      </c>
      <c r="D308" s="22">
        <f t="shared" si="22"/>
        <v>5.7708159999999231E-2</v>
      </c>
      <c r="E308" s="22">
        <f t="shared" si="22"/>
        <v>5.4410719999999357E-2</v>
      </c>
      <c r="F308" s="22">
        <f t="shared" si="22"/>
        <v>4.8484799999999328E-2</v>
      </c>
      <c r="G308" s="22">
        <f t="shared" si="22"/>
        <v>3.9545599999999625E-2</v>
      </c>
      <c r="H308" s="22">
        <f t="shared" si="22"/>
        <v>2.8060799999999664E-2</v>
      </c>
      <c r="I308" s="22">
        <f t="shared" si="22"/>
        <v>1.468159999999985E-2</v>
      </c>
      <c r="J308" s="22">
        <f t="shared" si="22"/>
        <v>0</v>
      </c>
    </row>
    <row r="309" spans="1:10" ht="20.100000000000001" customHeight="1" x14ac:dyDescent="0.25">
      <c r="A309" s="14">
        <f t="shared" si="19"/>
        <v>0.98000000000000054</v>
      </c>
      <c r="B309" s="22">
        <f t="shared" ref="B309:J310" si="23">1+B242</f>
        <v>2.979999999999916E-2</v>
      </c>
      <c r="C309" s="22">
        <f t="shared" si="23"/>
        <v>2.9704639999999172E-2</v>
      </c>
      <c r="D309" s="22">
        <f t="shared" si="23"/>
        <v>2.9049039999999193E-2</v>
      </c>
      <c r="E309" s="22">
        <f t="shared" si="23"/>
        <v>2.7389179999999236E-2</v>
      </c>
      <c r="F309" s="22">
        <f t="shared" si="23"/>
        <v>2.4406199999999378E-2</v>
      </c>
      <c r="G309" s="22">
        <f t="shared" si="23"/>
        <v>1.9906399999999436E-2</v>
      </c>
      <c r="H309" s="22">
        <f t="shared" si="23"/>
        <v>1.4125199999999616E-2</v>
      </c>
      <c r="I309" s="22">
        <f t="shared" si="23"/>
        <v>7.3903999999997971E-3</v>
      </c>
      <c r="J309" s="22">
        <f t="shared" si="23"/>
        <v>0</v>
      </c>
    </row>
    <row r="310" spans="1:10" ht="20.100000000000001" customHeight="1" x14ac:dyDescent="0.25">
      <c r="A310" s="14">
        <f t="shared" si="19"/>
        <v>1.0000000000000004</v>
      </c>
      <c r="B310" s="22">
        <f t="shared" si="23"/>
        <v>0</v>
      </c>
      <c r="C310" s="22">
        <f t="shared" si="23"/>
        <v>0</v>
      </c>
      <c r="D310" s="22">
        <f t="shared" si="23"/>
        <v>0</v>
      </c>
      <c r="E310" s="22">
        <f t="shared" si="23"/>
        <v>0</v>
      </c>
      <c r="F310" s="22">
        <f t="shared" si="23"/>
        <v>0</v>
      </c>
      <c r="G310" s="22">
        <f t="shared" si="23"/>
        <v>0</v>
      </c>
      <c r="H310" s="22">
        <f t="shared" si="23"/>
        <v>0</v>
      </c>
      <c r="I310" s="22">
        <f t="shared" si="23"/>
        <v>0</v>
      </c>
      <c r="J310" s="22">
        <f t="shared" si="23"/>
        <v>0</v>
      </c>
    </row>
    <row r="312" spans="1:10" ht="20.100000000000001" customHeight="1" x14ac:dyDescent="0.25">
      <c r="A312" s="218" t="s">
        <v>377</v>
      </c>
      <c r="B312" s="218"/>
      <c r="C312" s="218"/>
      <c r="D312" s="218"/>
      <c r="E312" s="218"/>
      <c r="F312" s="218"/>
      <c r="G312" s="218"/>
      <c r="H312" s="218"/>
      <c r="I312" s="218"/>
      <c r="J312" s="218"/>
    </row>
    <row r="313" spans="1:10" ht="20.100000000000001" customHeight="1" x14ac:dyDescent="0.25">
      <c r="A313" s="218"/>
      <c r="B313" s="218"/>
      <c r="C313" s="218"/>
      <c r="D313" s="218"/>
      <c r="E313" s="218"/>
      <c r="F313" s="218"/>
      <c r="G313" s="218"/>
      <c r="H313" s="218"/>
      <c r="I313" s="218"/>
      <c r="J313" s="218"/>
    </row>
    <row r="315" spans="1:10" ht="20.100000000000001" customHeight="1" x14ac:dyDescent="0.25">
      <c r="C315" s="21"/>
    </row>
    <row r="322" spans="1:21" ht="20.100000000000001" customHeight="1" x14ac:dyDescent="0.25">
      <c r="A322" s="218" t="s">
        <v>80</v>
      </c>
      <c r="B322" s="218"/>
      <c r="C322" s="218"/>
      <c r="D322" s="218"/>
      <c r="E322" s="218"/>
      <c r="F322" s="218"/>
      <c r="G322" s="218"/>
      <c r="H322" s="218"/>
      <c r="I322" s="218"/>
      <c r="J322" s="218"/>
    </row>
    <row r="323" spans="1:21" ht="20.100000000000001" customHeight="1" x14ac:dyDescent="0.25">
      <c r="A323" s="218" t="s">
        <v>81</v>
      </c>
      <c r="B323" s="218"/>
      <c r="C323" s="218"/>
      <c r="D323" s="218"/>
      <c r="E323" s="218"/>
      <c r="F323" s="218"/>
      <c r="G323" s="218"/>
      <c r="H323" s="218"/>
      <c r="I323" s="218"/>
      <c r="J323" s="218"/>
      <c r="K323" s="3"/>
      <c r="L323" s="3"/>
      <c r="M323" s="3"/>
      <c r="N323" s="3"/>
      <c r="O323" s="3"/>
      <c r="P323" s="3"/>
      <c r="Q323" s="3"/>
      <c r="R323" s="3"/>
    </row>
    <row r="324" spans="1:21" ht="39.950000000000003" customHeight="1" x14ac:dyDescent="0.25">
      <c r="A324" s="218" t="s">
        <v>103</v>
      </c>
      <c r="B324" s="218"/>
      <c r="C324" s="218"/>
      <c r="D324" s="218"/>
      <c r="E324" s="218"/>
      <c r="F324" s="218"/>
      <c r="G324" s="218"/>
      <c r="H324" s="218"/>
      <c r="I324" s="218"/>
      <c r="J324" s="218"/>
    </row>
    <row r="325" spans="1:21" ht="20.100000000000001" customHeight="1" x14ac:dyDescent="0.25">
      <c r="A325" s="218" t="s">
        <v>378</v>
      </c>
      <c r="B325" s="218"/>
      <c r="C325" s="218"/>
      <c r="D325" s="218"/>
      <c r="E325" s="218"/>
      <c r="F325" s="218"/>
      <c r="G325" s="218"/>
      <c r="H325" s="218"/>
      <c r="I325" s="218"/>
      <c r="J325" s="218"/>
    </row>
    <row r="326" spans="1:21" ht="20.100000000000001" customHeight="1" x14ac:dyDescent="0.25">
      <c r="A326" s="218" t="s">
        <v>379</v>
      </c>
      <c r="B326" s="218"/>
      <c r="C326" s="218"/>
      <c r="D326" s="218"/>
      <c r="E326" s="218"/>
      <c r="F326" s="218"/>
      <c r="G326" s="218"/>
      <c r="H326" s="218"/>
      <c r="I326" s="218"/>
      <c r="J326" s="218"/>
    </row>
    <row r="327" spans="1:21" ht="39.950000000000003" customHeight="1" x14ac:dyDescent="0.25">
      <c r="A327" s="218" t="s">
        <v>380</v>
      </c>
      <c r="B327" s="218"/>
      <c r="C327" s="218"/>
      <c r="D327" s="218"/>
      <c r="E327" s="218"/>
      <c r="F327" s="218"/>
      <c r="G327" s="218"/>
      <c r="H327" s="218"/>
      <c r="I327" s="218"/>
      <c r="J327" s="218"/>
    </row>
    <row r="328" spans="1:21" ht="39.950000000000003" customHeight="1" x14ac:dyDescent="0.25">
      <c r="A328" s="218" t="s">
        <v>381</v>
      </c>
      <c r="B328" s="218"/>
      <c r="C328" s="218"/>
      <c r="D328" s="218"/>
      <c r="E328" s="218"/>
      <c r="F328" s="218"/>
      <c r="G328" s="218"/>
      <c r="H328" s="218"/>
      <c r="I328" s="218"/>
      <c r="J328" s="218"/>
    </row>
    <row r="329" spans="1:21" ht="20.100000000000001" customHeight="1" x14ac:dyDescent="0.25">
      <c r="A329" s="218" t="s">
        <v>382</v>
      </c>
      <c r="B329" s="218"/>
      <c r="C329" s="218"/>
      <c r="D329" s="218"/>
      <c r="E329" s="218"/>
      <c r="F329" s="218"/>
      <c r="G329" s="218"/>
      <c r="H329" s="218"/>
      <c r="I329" s="218"/>
      <c r="J329" s="218"/>
    </row>
    <row r="330" spans="1:21" ht="20.100000000000001" customHeight="1" x14ac:dyDescent="0.25">
      <c r="A330" s="218" t="s">
        <v>104</v>
      </c>
      <c r="B330" s="218"/>
      <c r="C330" s="218"/>
      <c r="D330" s="218"/>
      <c r="E330" s="218"/>
      <c r="F330" s="218"/>
      <c r="G330" s="218"/>
      <c r="H330" s="218"/>
      <c r="I330" s="218"/>
      <c r="J330" s="218"/>
    </row>
    <row r="331" spans="1:21" ht="39.950000000000003" customHeight="1" x14ac:dyDescent="0.25">
      <c r="A331" s="218" t="s">
        <v>383</v>
      </c>
      <c r="B331" s="218"/>
      <c r="C331" s="218"/>
      <c r="D331" s="218"/>
      <c r="E331" s="218"/>
      <c r="F331" s="218"/>
      <c r="G331" s="218"/>
      <c r="H331" s="218"/>
      <c r="I331" s="218"/>
      <c r="J331" s="218"/>
    </row>
    <row r="332" spans="1:21" ht="39.950000000000003" customHeight="1" x14ac:dyDescent="0.25">
      <c r="A332" s="218" t="s">
        <v>384</v>
      </c>
      <c r="B332" s="218"/>
      <c r="C332" s="218"/>
      <c r="D332" s="218"/>
      <c r="E332" s="218"/>
      <c r="F332" s="218"/>
      <c r="G332" s="218"/>
      <c r="H332" s="218"/>
      <c r="I332" s="218"/>
      <c r="J332" s="218"/>
    </row>
    <row r="333" spans="1:21" ht="39.950000000000003" customHeight="1" x14ac:dyDescent="0.25">
      <c r="A333" s="218" t="s">
        <v>106</v>
      </c>
      <c r="B333" s="218"/>
      <c r="C333" s="218"/>
      <c r="D333" s="218"/>
      <c r="E333" s="218"/>
      <c r="F333" s="218"/>
      <c r="G333" s="218"/>
      <c r="H333" s="218"/>
      <c r="I333" s="218"/>
      <c r="J333" s="218"/>
    </row>
    <row r="334" spans="1:21" ht="39.950000000000003" customHeight="1" x14ac:dyDescent="0.25">
      <c r="A334" s="218" t="s">
        <v>385</v>
      </c>
      <c r="B334" s="218"/>
      <c r="C334" s="218"/>
      <c r="D334" s="218"/>
      <c r="E334" s="218"/>
      <c r="F334" s="218"/>
      <c r="G334" s="218"/>
      <c r="H334" s="218"/>
      <c r="I334" s="218"/>
      <c r="J334" s="218"/>
      <c r="L334" s="6"/>
      <c r="M334" s="6"/>
      <c r="N334" s="6"/>
      <c r="O334" s="6"/>
      <c r="P334" s="6"/>
      <c r="Q334" s="6"/>
      <c r="R334" s="6"/>
      <c r="S334" s="6"/>
      <c r="T334" s="6"/>
      <c r="U334" s="6"/>
    </row>
    <row r="335" spans="1:21" ht="39.950000000000003" customHeight="1" x14ac:dyDescent="0.25">
      <c r="A335" s="218" t="s">
        <v>105</v>
      </c>
      <c r="B335" s="218"/>
      <c r="C335" s="218"/>
      <c r="D335" s="218"/>
      <c r="E335" s="218"/>
      <c r="F335" s="218"/>
      <c r="G335" s="218"/>
      <c r="H335" s="218"/>
      <c r="I335" s="218"/>
      <c r="J335" s="218"/>
      <c r="L335" s="6"/>
      <c r="M335" s="6"/>
      <c r="N335" s="6"/>
      <c r="O335" s="6"/>
      <c r="P335" s="6"/>
      <c r="Q335" s="6"/>
      <c r="R335" s="6"/>
      <c r="S335" s="6"/>
      <c r="T335" s="6"/>
      <c r="U335" s="6"/>
    </row>
    <row r="336" spans="1:21" ht="39.950000000000003" customHeight="1" x14ac:dyDescent="0.25">
      <c r="A336" s="218" t="s">
        <v>386</v>
      </c>
      <c r="B336" s="218"/>
      <c r="C336" s="218"/>
      <c r="D336" s="218"/>
      <c r="E336" s="218"/>
      <c r="F336" s="218"/>
      <c r="G336" s="218"/>
      <c r="H336" s="218"/>
      <c r="I336" s="218"/>
      <c r="J336" s="218"/>
      <c r="L336" s="6"/>
      <c r="M336" s="6"/>
      <c r="N336" s="6"/>
      <c r="O336" s="6"/>
      <c r="P336" s="6"/>
      <c r="Q336" s="6"/>
      <c r="R336" s="6"/>
      <c r="S336" s="6"/>
      <c r="T336" s="6"/>
      <c r="U336" s="6"/>
    </row>
    <row r="337" spans="1:10" ht="20.100000000000001" customHeight="1" x14ac:dyDescent="0.25">
      <c r="A337" s="218" t="s">
        <v>387</v>
      </c>
      <c r="B337" s="218"/>
      <c r="C337" s="218"/>
      <c r="D337" s="218"/>
      <c r="E337" s="218"/>
      <c r="F337" s="218"/>
      <c r="G337" s="218"/>
      <c r="H337" s="218"/>
      <c r="I337" s="218"/>
      <c r="J337" s="218"/>
    </row>
    <row r="338" spans="1:10" ht="20.100000000000001" customHeight="1" x14ac:dyDescent="0.25">
      <c r="A338" s="218" t="s">
        <v>388</v>
      </c>
      <c r="B338" s="218"/>
      <c r="C338" s="218"/>
      <c r="D338" s="218"/>
      <c r="E338" s="218"/>
      <c r="F338" s="218"/>
      <c r="G338" s="218"/>
      <c r="H338" s="218"/>
      <c r="I338" s="218"/>
      <c r="J338" s="218"/>
    </row>
    <row r="339" spans="1:10" ht="39.950000000000003" customHeight="1" x14ac:dyDescent="0.25">
      <c r="A339" s="218" t="s">
        <v>389</v>
      </c>
      <c r="B339" s="218"/>
      <c r="C339" s="218"/>
      <c r="D339" s="218"/>
      <c r="E339" s="218"/>
      <c r="F339" s="218"/>
      <c r="G339" s="218"/>
      <c r="H339" s="218"/>
      <c r="I339" s="218"/>
      <c r="J339" s="218"/>
    </row>
    <row r="340" spans="1:10" ht="20.100000000000001" customHeight="1" x14ac:dyDescent="0.25">
      <c r="A340" s="218" t="s">
        <v>390</v>
      </c>
      <c r="B340" s="218"/>
      <c r="C340" s="218"/>
      <c r="D340" s="218"/>
      <c r="E340" s="218"/>
      <c r="F340" s="218"/>
      <c r="G340" s="218"/>
      <c r="H340" s="218"/>
      <c r="I340" s="218"/>
      <c r="J340" s="218"/>
    </row>
    <row r="341" spans="1:10" ht="20.100000000000001" customHeight="1" x14ac:dyDescent="0.25">
      <c r="A341" s="218"/>
      <c r="B341" s="218"/>
      <c r="C341" s="218"/>
      <c r="D341" s="218"/>
      <c r="E341" s="218"/>
      <c r="F341" s="218"/>
      <c r="G341" s="218"/>
      <c r="H341" s="218"/>
      <c r="I341" s="218"/>
      <c r="J341" s="218"/>
    </row>
  </sheetData>
  <mergeCells count="239">
    <mergeCell ref="A1:J1"/>
    <mergeCell ref="A3:A5"/>
    <mergeCell ref="B3:C5"/>
    <mergeCell ref="D3:F5"/>
    <mergeCell ref="G3:H4"/>
    <mergeCell ref="I3:J5"/>
    <mergeCell ref="G5:H5"/>
    <mergeCell ref="G8:H8"/>
    <mergeCell ref="I8:J8"/>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G26:H26"/>
    <mergeCell ref="I26:J26"/>
    <mergeCell ref="D30:F30"/>
    <mergeCell ref="G30:H30"/>
    <mergeCell ref="I30:J30"/>
    <mergeCell ref="D31:F31"/>
    <mergeCell ref="G31:H31"/>
    <mergeCell ref="I31:J31"/>
    <mergeCell ref="D27:F27"/>
    <mergeCell ref="G27:H27"/>
    <mergeCell ref="I27:J27"/>
    <mergeCell ref="B32:C34"/>
    <mergeCell ref="D32:F32"/>
    <mergeCell ref="G32:H32"/>
    <mergeCell ref="I32:J32"/>
    <mergeCell ref="D33:F33"/>
    <mergeCell ref="G33:H33"/>
    <mergeCell ref="I33:J33"/>
    <mergeCell ref="D34:F34"/>
    <mergeCell ref="G34:H34"/>
    <mergeCell ref="I34:J34"/>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A108:B108"/>
    <mergeCell ref="C108:D108"/>
    <mergeCell ref="E108:F108"/>
    <mergeCell ref="G108:H108"/>
    <mergeCell ref="I108:J108"/>
    <mergeCell ref="A109:B109"/>
    <mergeCell ref="C109:D109"/>
    <mergeCell ref="E109:F109"/>
    <mergeCell ref="G109:H109"/>
    <mergeCell ref="I109:J109"/>
    <mergeCell ref="A110:B110"/>
    <mergeCell ref="C110:D110"/>
    <mergeCell ref="E110:F110"/>
    <mergeCell ref="G110:H110"/>
    <mergeCell ref="I110:J110"/>
    <mergeCell ref="A111:B111"/>
    <mergeCell ref="C111:D111"/>
    <mergeCell ref="E111:F111"/>
    <mergeCell ref="G111:H111"/>
    <mergeCell ref="I111:J111"/>
    <mergeCell ref="A112:B112"/>
    <mergeCell ref="C112:D112"/>
    <mergeCell ref="E112:F112"/>
    <mergeCell ref="G112:H112"/>
    <mergeCell ref="I112:J112"/>
    <mergeCell ref="A113:B113"/>
    <mergeCell ref="C113:D113"/>
    <mergeCell ref="E113:F113"/>
    <mergeCell ref="G113:H113"/>
    <mergeCell ref="I113:J113"/>
    <mergeCell ref="A114:B114"/>
    <mergeCell ref="C114:D114"/>
    <mergeCell ref="E114:F114"/>
    <mergeCell ref="G114:H114"/>
    <mergeCell ref="I114:J114"/>
    <mergeCell ref="A115:B115"/>
    <mergeCell ref="C115:D115"/>
    <mergeCell ref="E115:F115"/>
    <mergeCell ref="G115:H115"/>
    <mergeCell ref="I115:J115"/>
    <mergeCell ref="A118:A121"/>
    <mergeCell ref="B118:J118"/>
    <mergeCell ref="B119:J119"/>
    <mergeCell ref="B120:J120"/>
    <mergeCell ref="A174:J174"/>
    <mergeCell ref="A189:A192"/>
    <mergeCell ref="B189:J189"/>
    <mergeCell ref="B190:J190"/>
    <mergeCell ref="B191:J191"/>
    <mergeCell ref="A322:J322"/>
    <mergeCell ref="A323:J323"/>
    <mergeCell ref="A324:J324"/>
    <mergeCell ref="A325:J325"/>
    <mergeCell ref="A326:J326"/>
    <mergeCell ref="A327:J327"/>
    <mergeCell ref="A245:J247"/>
    <mergeCell ref="A256:A259"/>
    <mergeCell ref="B256:J256"/>
    <mergeCell ref="B257:J257"/>
    <mergeCell ref="B258:J258"/>
    <mergeCell ref="A312:J313"/>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dimension ref="A1:AQ144"/>
  <sheetViews>
    <sheetView workbookViewId="0">
      <selection sqref="A1:AM1"/>
    </sheetView>
  </sheetViews>
  <sheetFormatPr defaultColWidth="3.625" defaultRowHeight="20.100000000000001" customHeight="1" x14ac:dyDescent="0.25"/>
  <cols>
    <col min="1" max="41" width="3.625" style="21"/>
    <col min="42" max="43" width="3.625" style="45"/>
    <col min="44" max="16384" width="3.625" style="72"/>
  </cols>
  <sheetData>
    <row r="1" spans="1:39" s="45" customFormat="1" ht="20.100000000000001" customHeight="1" x14ac:dyDescent="0.25">
      <c r="A1" s="276" t="s">
        <v>225</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row>
    <row r="2" spans="1:39" s="45" customFormat="1" ht="20.100000000000001" customHeight="1" x14ac:dyDescent="0.25">
      <c r="A2" s="276" t="s">
        <v>226</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row>
    <row r="3" spans="1:39" s="45" customFormat="1" ht="20.100000000000001" customHeight="1" x14ac:dyDescent="0.25">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row>
    <row r="4" spans="1:39" s="45" customFormat="1" ht="20.100000000000001" customHeight="1" x14ac:dyDescent="0.25">
      <c r="A4" s="277" t="s">
        <v>107</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row>
    <row r="5" spans="1:39" s="45" customFormat="1" ht="20.100000000000001" customHeight="1" thickBot="1" x14ac:dyDescent="0.3">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row>
    <row r="6" spans="1:39" s="45" customFormat="1" ht="20.100000000000001" customHeight="1" x14ac:dyDescent="0.25">
      <c r="A6" s="253" t="s">
        <v>108</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5"/>
    </row>
    <row r="7" spans="1:39" s="45" customFormat="1" ht="20.100000000000001" customHeight="1" x14ac:dyDescent="0.25">
      <c r="A7" s="48"/>
      <c r="B7" s="21"/>
      <c r="C7" s="21"/>
      <c r="D7" s="21"/>
      <c r="E7" s="21"/>
      <c r="F7" s="21"/>
      <c r="G7" s="21"/>
      <c r="H7" s="21"/>
      <c r="I7" s="21"/>
      <c r="J7" s="21"/>
      <c r="K7" s="49"/>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50"/>
    </row>
    <row r="8" spans="1:39" s="45" customFormat="1" ht="20.100000000000001" customHeight="1" x14ac:dyDescent="0.25">
      <c r="A8" s="48"/>
      <c r="B8" s="257" t="s">
        <v>232</v>
      </c>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50"/>
    </row>
    <row r="9" spans="1:39" s="45" customFormat="1" ht="20.100000000000001" customHeight="1" x14ac:dyDescent="0.25">
      <c r="A9" s="48"/>
      <c r="B9" s="269" t="s">
        <v>109</v>
      </c>
      <c r="C9" s="270"/>
      <c r="D9" s="270"/>
      <c r="E9" s="270"/>
      <c r="F9" s="270"/>
      <c r="G9" s="270"/>
      <c r="H9" s="270"/>
      <c r="I9" s="270"/>
      <c r="J9" s="270"/>
      <c r="K9" s="271"/>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50"/>
    </row>
    <row r="10" spans="1:39" s="45" customFormat="1" ht="20.100000000000001" customHeight="1" x14ac:dyDescent="0.25">
      <c r="A10" s="48"/>
      <c r="B10" s="269" t="s">
        <v>110</v>
      </c>
      <c r="C10" s="270"/>
      <c r="D10" s="270"/>
      <c r="E10" s="270"/>
      <c r="F10" s="270"/>
      <c r="G10" s="270"/>
      <c r="H10" s="270"/>
      <c r="I10" s="270"/>
      <c r="J10" s="270"/>
      <c r="K10" s="271"/>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50"/>
    </row>
    <row r="11" spans="1:39" s="45" customFormat="1" ht="20.100000000000001" customHeight="1" x14ac:dyDescent="0.25">
      <c r="A11" s="48"/>
      <c r="B11" s="269" t="s">
        <v>111</v>
      </c>
      <c r="C11" s="270"/>
      <c r="D11" s="270"/>
      <c r="E11" s="270"/>
      <c r="F11" s="270"/>
      <c r="G11" s="270"/>
      <c r="H11" s="270"/>
      <c r="I11" s="270"/>
      <c r="J11" s="270"/>
      <c r="K11" s="271"/>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50"/>
    </row>
    <row r="12" spans="1:39" s="45" customFormat="1" ht="20.100000000000001" customHeight="1" x14ac:dyDescent="0.25">
      <c r="A12" s="48"/>
      <c r="B12" s="269" t="s">
        <v>233</v>
      </c>
      <c r="C12" s="270"/>
      <c r="D12" s="270"/>
      <c r="E12" s="270"/>
      <c r="F12" s="270"/>
      <c r="G12" s="270"/>
      <c r="H12" s="270"/>
      <c r="I12" s="270"/>
      <c r="J12" s="270"/>
      <c r="K12" s="271"/>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50"/>
    </row>
    <row r="13" spans="1:39" s="45" customFormat="1" ht="20.100000000000001" customHeight="1" x14ac:dyDescent="0.25">
      <c r="A13" s="48"/>
      <c r="B13" s="269" t="s">
        <v>234</v>
      </c>
      <c r="C13" s="270"/>
      <c r="D13" s="270"/>
      <c r="E13" s="270"/>
      <c r="F13" s="270"/>
      <c r="G13" s="270"/>
      <c r="H13" s="270"/>
      <c r="I13" s="270"/>
      <c r="J13" s="270"/>
      <c r="K13" s="271"/>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50"/>
    </row>
    <row r="14" spans="1:39" s="45" customFormat="1" ht="20.100000000000001" customHeight="1" x14ac:dyDescent="0.25">
      <c r="A14" s="48"/>
      <c r="B14" s="273" t="s">
        <v>112</v>
      </c>
      <c r="C14" s="274"/>
      <c r="D14" s="274"/>
      <c r="E14" s="274"/>
      <c r="F14" s="274"/>
      <c r="G14" s="274"/>
      <c r="H14" s="274"/>
      <c r="I14" s="274"/>
      <c r="J14" s="274"/>
      <c r="K14" s="275"/>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50"/>
    </row>
    <row r="15" spans="1:39" s="45" customFormat="1" ht="20.100000000000001" customHeight="1" x14ac:dyDescent="0.25">
      <c r="A15" s="48"/>
      <c r="B15" s="273" t="s">
        <v>113</v>
      </c>
      <c r="C15" s="274"/>
      <c r="D15" s="274"/>
      <c r="E15" s="274"/>
      <c r="F15" s="274"/>
      <c r="G15" s="274"/>
      <c r="H15" s="274"/>
      <c r="I15" s="274"/>
      <c r="J15" s="274"/>
      <c r="K15" s="275"/>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50"/>
    </row>
    <row r="16" spans="1:39" s="45" customFormat="1" ht="20.100000000000001" customHeight="1" x14ac:dyDescent="0.25">
      <c r="A16" s="48"/>
      <c r="B16" s="273" t="s">
        <v>235</v>
      </c>
      <c r="C16" s="274"/>
      <c r="D16" s="274"/>
      <c r="E16" s="274"/>
      <c r="F16" s="274"/>
      <c r="G16" s="274"/>
      <c r="H16" s="274"/>
      <c r="I16" s="274"/>
      <c r="J16" s="274"/>
      <c r="K16" s="275"/>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8"/>
      <c r="AL16" s="268"/>
      <c r="AM16" s="50"/>
    </row>
    <row r="17" spans="1:39" s="45" customFormat="1" ht="20.100000000000001" customHeight="1" thickBot="1" x14ac:dyDescent="0.3">
      <c r="A17" s="52"/>
      <c r="B17" s="47"/>
      <c r="C17" s="47"/>
      <c r="D17" s="47"/>
      <c r="E17" s="47"/>
      <c r="F17" s="47"/>
      <c r="G17" s="47"/>
      <c r="H17" s="47"/>
      <c r="I17" s="47"/>
      <c r="J17" s="47"/>
      <c r="K17" s="53"/>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54"/>
    </row>
    <row r="18" spans="1:39" s="45" customFormat="1" ht="20.100000000000001" customHeight="1" thickBot="1" x14ac:dyDescent="0.3">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pans="1:39" s="45" customFormat="1" ht="20.100000000000001" customHeight="1" x14ac:dyDescent="0.25">
      <c r="A19" s="253" t="s">
        <v>230</v>
      </c>
      <c r="B19" s="254"/>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5"/>
    </row>
    <row r="20" spans="1:39" s="45" customFormat="1" ht="20.100000000000001" customHeight="1" x14ac:dyDescent="0.25">
      <c r="A20" s="48"/>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50"/>
    </row>
    <row r="21" spans="1:39" s="45" customFormat="1" ht="20.100000000000001" customHeight="1" x14ac:dyDescent="0.25">
      <c r="A21" s="48"/>
      <c r="B21" s="268" t="s">
        <v>114</v>
      </c>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50"/>
    </row>
    <row r="22" spans="1:39" s="45" customFormat="1" ht="20.100000000000001" customHeight="1" x14ac:dyDescent="0.25">
      <c r="A22" s="48"/>
      <c r="B22" s="268" t="s">
        <v>115</v>
      </c>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8"/>
      <c r="AM22" s="50"/>
    </row>
    <row r="23" spans="1:39" s="45" customFormat="1" ht="20.100000000000001" customHeight="1" x14ac:dyDescent="0.25">
      <c r="A23" s="48"/>
      <c r="B23" s="268" t="s">
        <v>116</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50"/>
    </row>
    <row r="24" spans="1:39" s="45" customFormat="1" ht="20.100000000000001" customHeight="1" thickBot="1" x14ac:dyDescent="0.3">
      <c r="A24" s="52"/>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54"/>
    </row>
    <row r="25" spans="1:39" s="45" customFormat="1" ht="20.100000000000001" customHeight="1" x14ac:dyDescent="0.25">
      <c r="A25" s="263" t="s">
        <v>117</v>
      </c>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c r="AM25" s="265"/>
    </row>
    <row r="26" spans="1:39" s="45" customFormat="1" ht="20.100000000000001" customHeight="1" x14ac:dyDescent="0.25">
      <c r="A26" s="48"/>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50"/>
    </row>
    <row r="27" spans="1:39" s="45" customFormat="1" ht="20.100000000000001" customHeight="1" x14ac:dyDescent="0.25">
      <c r="A27" s="48"/>
      <c r="B27" s="266" t="s">
        <v>118</v>
      </c>
      <c r="C27" s="266"/>
      <c r="D27" s="266"/>
      <c r="E27" s="266"/>
      <c r="F27" s="266"/>
      <c r="G27" s="266"/>
      <c r="H27" s="266"/>
      <c r="I27" s="266"/>
      <c r="J27" s="266"/>
      <c r="K27" s="266"/>
      <c r="L27" s="266"/>
      <c r="M27" s="266"/>
      <c r="N27" s="266"/>
      <c r="O27" s="21"/>
      <c r="P27" s="21"/>
      <c r="Q27" s="21"/>
      <c r="R27" s="21"/>
      <c r="S27" s="21"/>
      <c r="T27" s="21"/>
      <c r="U27" s="21"/>
      <c r="V27" s="267" t="s">
        <v>119</v>
      </c>
      <c r="W27" s="267"/>
      <c r="X27" s="267"/>
      <c r="Y27" s="267"/>
      <c r="Z27" s="267"/>
      <c r="AA27" s="267"/>
      <c r="AB27" s="267"/>
      <c r="AC27" s="267"/>
      <c r="AD27" s="267"/>
      <c r="AE27" s="267"/>
      <c r="AF27" s="267"/>
      <c r="AG27" s="267"/>
      <c r="AH27" s="267"/>
      <c r="AI27" s="267"/>
      <c r="AJ27" s="267"/>
      <c r="AK27" s="267"/>
      <c r="AL27" s="267"/>
      <c r="AM27" s="57"/>
    </row>
    <row r="28" spans="1:39" s="45" customFormat="1" ht="20.100000000000001" customHeight="1" x14ac:dyDescent="0.25">
      <c r="A28" s="48"/>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50"/>
    </row>
    <row r="29" spans="1:39" s="45" customFormat="1" ht="20.100000000000001" customHeight="1" x14ac:dyDescent="0.25">
      <c r="A29" s="48"/>
      <c r="B29" s="51"/>
      <c r="C29" s="58" t="s">
        <v>120</v>
      </c>
      <c r="D29" s="21"/>
      <c r="E29" s="21"/>
      <c r="J29" s="51"/>
      <c r="K29" s="58" t="s">
        <v>121</v>
      </c>
      <c r="L29" s="21"/>
      <c r="M29" s="21"/>
      <c r="N29" s="21"/>
      <c r="O29" s="21"/>
      <c r="P29" s="21"/>
      <c r="Q29" s="21"/>
      <c r="R29" s="21"/>
      <c r="S29" s="21"/>
      <c r="T29" s="21"/>
      <c r="U29" s="21"/>
      <c r="V29" s="51"/>
      <c r="W29" s="59" t="s">
        <v>122</v>
      </c>
      <c r="X29" s="58"/>
      <c r="Y29" s="58"/>
      <c r="Z29" s="58"/>
      <c r="AA29" s="58"/>
      <c r="AB29" s="58"/>
      <c r="AC29" s="58"/>
      <c r="AD29" s="58"/>
      <c r="AE29" s="51"/>
      <c r="AF29" s="59" t="s">
        <v>64</v>
      </c>
      <c r="AH29" s="21"/>
      <c r="AI29" s="21"/>
      <c r="AJ29" s="58"/>
      <c r="AK29" s="58"/>
      <c r="AL29" s="58"/>
      <c r="AM29" s="60"/>
    </row>
    <row r="30" spans="1:39" s="45" customFormat="1" ht="20.100000000000001" customHeight="1" x14ac:dyDescent="0.25">
      <c r="A30" s="21"/>
      <c r="B30" s="21"/>
      <c r="C30" s="21"/>
      <c r="D30" s="21"/>
      <c r="E30" s="21"/>
      <c r="J30" s="21"/>
      <c r="K30" s="58"/>
      <c r="L30" s="21"/>
      <c r="M30" s="21"/>
      <c r="N30" s="21"/>
      <c r="O30" s="21"/>
      <c r="P30" s="21"/>
      <c r="Q30" s="21"/>
      <c r="R30" s="21"/>
      <c r="S30" s="21"/>
      <c r="T30" s="21"/>
      <c r="U30" s="21"/>
      <c r="V30" s="21"/>
      <c r="W30" s="21"/>
      <c r="X30" s="58"/>
      <c r="Y30" s="58"/>
      <c r="Z30" s="58"/>
      <c r="AA30" s="58"/>
      <c r="AB30" s="58"/>
      <c r="AC30" s="58"/>
      <c r="AD30" s="58"/>
      <c r="AE30" s="21"/>
      <c r="AF30" s="21"/>
      <c r="AH30" s="21"/>
      <c r="AI30" s="21"/>
      <c r="AJ30" s="58"/>
      <c r="AK30" s="58"/>
      <c r="AL30" s="58"/>
      <c r="AM30" s="60"/>
    </row>
    <row r="31" spans="1:39" s="45" customFormat="1" ht="20.100000000000001" customHeight="1" x14ac:dyDescent="0.25">
      <c r="A31" s="48"/>
      <c r="B31" s="51"/>
      <c r="C31" s="58" t="s">
        <v>123</v>
      </c>
      <c r="D31" s="21"/>
      <c r="E31" s="21"/>
      <c r="J31" s="51"/>
      <c r="K31" s="58" t="s">
        <v>124</v>
      </c>
      <c r="L31" s="21"/>
      <c r="M31" s="21"/>
      <c r="N31" s="21"/>
      <c r="O31" s="21"/>
      <c r="P31" s="21"/>
      <c r="Q31" s="21"/>
      <c r="R31" s="21"/>
      <c r="S31" s="21"/>
      <c r="T31" s="21"/>
      <c r="U31" s="21"/>
      <c r="V31" s="51"/>
      <c r="W31" s="59" t="s">
        <v>125</v>
      </c>
      <c r="X31" s="58"/>
      <c r="Y31" s="58"/>
      <c r="Z31" s="58"/>
      <c r="AA31" s="58"/>
      <c r="AB31" s="58"/>
      <c r="AC31" s="58"/>
      <c r="AD31" s="58"/>
      <c r="AE31" s="51"/>
      <c r="AF31" s="59" t="s">
        <v>126</v>
      </c>
      <c r="AG31" s="58"/>
      <c r="AH31" s="58"/>
      <c r="AI31" s="58"/>
      <c r="AJ31" s="58"/>
      <c r="AK31" s="58"/>
      <c r="AL31" s="58"/>
      <c r="AM31" s="50"/>
    </row>
    <row r="32" spans="1:39" s="45" customFormat="1" ht="20.100000000000001" customHeight="1" x14ac:dyDescent="0.25">
      <c r="A32" s="48"/>
      <c r="C32" s="58"/>
      <c r="D32" s="21"/>
      <c r="E32" s="21"/>
      <c r="K32" s="58"/>
      <c r="L32" s="21"/>
      <c r="M32" s="21"/>
      <c r="N32" s="21"/>
      <c r="O32" s="21"/>
      <c r="P32" s="21"/>
      <c r="Q32" s="21"/>
      <c r="R32" s="21"/>
      <c r="S32" s="21"/>
      <c r="T32" s="21"/>
      <c r="U32" s="21"/>
      <c r="V32" s="21"/>
      <c r="W32" s="21"/>
      <c r="X32" s="58"/>
      <c r="Y32" s="58"/>
      <c r="Z32" s="58"/>
      <c r="AA32" s="58"/>
      <c r="AB32" s="58"/>
      <c r="AC32" s="58"/>
      <c r="AD32" s="58"/>
      <c r="AF32" s="58"/>
      <c r="AG32" s="58"/>
      <c r="AH32" s="58"/>
      <c r="AI32" s="58"/>
      <c r="AJ32" s="58"/>
      <c r="AK32" s="58"/>
      <c r="AL32" s="58"/>
      <c r="AM32" s="50"/>
    </row>
    <row r="33" spans="1:39" s="45" customFormat="1" ht="20.100000000000001" customHeight="1" x14ac:dyDescent="0.25">
      <c r="A33" s="48"/>
      <c r="B33" s="21"/>
      <c r="C33" s="21"/>
      <c r="D33" s="21"/>
      <c r="E33" s="21"/>
      <c r="F33" s="21"/>
      <c r="G33" s="21"/>
      <c r="H33" s="21"/>
      <c r="I33" s="21"/>
      <c r="J33" s="21"/>
      <c r="K33" s="21"/>
      <c r="L33" s="21"/>
      <c r="M33" s="21"/>
      <c r="N33" s="21"/>
      <c r="O33" s="21"/>
      <c r="P33" s="21"/>
      <c r="Q33" s="21"/>
      <c r="R33" s="21"/>
      <c r="S33" s="21"/>
      <c r="T33" s="21"/>
      <c r="U33" s="21"/>
      <c r="V33" s="51"/>
      <c r="W33" s="59" t="s">
        <v>231</v>
      </c>
      <c r="X33" s="21"/>
      <c r="Y33" s="21"/>
      <c r="Z33" s="21"/>
      <c r="AA33" s="21"/>
      <c r="AB33" s="21"/>
      <c r="AC33" s="21"/>
      <c r="AD33" s="21"/>
      <c r="AE33" s="21"/>
      <c r="AF33" s="21"/>
      <c r="AG33" s="21"/>
      <c r="AH33" s="21"/>
      <c r="AI33" s="21"/>
      <c r="AJ33" s="21"/>
      <c r="AK33" s="21"/>
      <c r="AL33" s="21"/>
      <c r="AM33" s="50"/>
    </row>
    <row r="34" spans="1:39" s="45" customFormat="1" ht="20.100000000000001" customHeight="1" x14ac:dyDescent="0.25">
      <c r="A34" s="48"/>
      <c r="B34" s="21"/>
      <c r="C34" s="21"/>
      <c r="D34" s="21"/>
      <c r="E34" s="21"/>
      <c r="F34" s="21"/>
      <c r="G34" s="21"/>
      <c r="H34" s="21"/>
      <c r="J34" s="21"/>
      <c r="K34" s="21"/>
      <c r="L34" s="21"/>
      <c r="M34" s="21"/>
      <c r="N34" s="21"/>
      <c r="O34" s="21"/>
      <c r="P34" s="21"/>
      <c r="Q34" s="21"/>
      <c r="R34" s="21"/>
      <c r="S34" s="21"/>
      <c r="T34" s="21"/>
      <c r="U34" s="21"/>
      <c r="W34" s="58"/>
      <c r="X34" s="21"/>
      <c r="Y34" s="21"/>
      <c r="Z34" s="21"/>
      <c r="AA34" s="21"/>
      <c r="AB34" s="21"/>
      <c r="AC34" s="21"/>
      <c r="AD34" s="21"/>
      <c r="AE34" s="21"/>
      <c r="AF34" s="21"/>
      <c r="AG34" s="21"/>
      <c r="AH34" s="21"/>
      <c r="AI34" s="21"/>
      <c r="AJ34" s="21"/>
      <c r="AK34" s="21"/>
      <c r="AL34" s="21"/>
      <c r="AM34" s="50"/>
    </row>
    <row r="35" spans="1:39" s="45" customFormat="1" ht="20.100000000000001" customHeight="1" x14ac:dyDescent="0.25">
      <c r="A35" s="48"/>
      <c r="B35" s="260" t="s">
        <v>127</v>
      </c>
      <c r="C35" s="261"/>
      <c r="D35" s="261"/>
      <c r="E35" s="261"/>
      <c r="F35" s="261"/>
      <c r="G35" s="261"/>
      <c r="H35" s="262"/>
      <c r="J35" s="51"/>
      <c r="K35" s="58" t="s">
        <v>65</v>
      </c>
      <c r="L35" s="21"/>
      <c r="M35" s="21"/>
      <c r="O35" s="21"/>
      <c r="P35" s="21"/>
      <c r="Q35" s="21"/>
      <c r="R35" s="21"/>
      <c r="S35" s="21"/>
      <c r="T35" s="21"/>
      <c r="U35" s="21"/>
      <c r="V35" s="51"/>
      <c r="W35" s="58" t="s">
        <v>66</v>
      </c>
      <c r="X35" s="21"/>
      <c r="Y35" s="21"/>
      <c r="AC35" s="21"/>
      <c r="AD35" s="21"/>
      <c r="AE35" s="21"/>
      <c r="AF35" s="21"/>
      <c r="AG35" s="21"/>
      <c r="AH35" s="21"/>
      <c r="AI35" s="21"/>
      <c r="AJ35" s="21"/>
      <c r="AK35" s="21"/>
      <c r="AL35" s="21"/>
      <c r="AM35" s="50"/>
    </row>
    <row r="36" spans="1:39" s="45" customFormat="1" ht="20.100000000000001" customHeight="1" thickBot="1" x14ac:dyDescent="0.3">
      <c r="A36" s="52"/>
      <c r="B36" s="47"/>
      <c r="C36" s="47"/>
      <c r="D36" s="47"/>
      <c r="E36" s="47"/>
      <c r="F36" s="47"/>
      <c r="G36" s="47"/>
      <c r="H36" s="47"/>
      <c r="J36" s="47"/>
      <c r="K36" s="47"/>
      <c r="L36" s="47"/>
      <c r="M36" s="47"/>
      <c r="N36" s="47"/>
      <c r="O36" s="47"/>
      <c r="P36" s="47"/>
      <c r="Q36" s="47"/>
      <c r="R36" s="47"/>
      <c r="S36" s="47"/>
      <c r="T36" s="47"/>
      <c r="U36" s="47"/>
      <c r="V36" s="61"/>
      <c r="W36" s="62"/>
      <c r="X36" s="47"/>
      <c r="Y36" s="47"/>
      <c r="Z36" s="47"/>
      <c r="AA36" s="47"/>
      <c r="AB36" s="47"/>
      <c r="AC36" s="47"/>
      <c r="AD36" s="47"/>
      <c r="AE36" s="47"/>
      <c r="AF36" s="47"/>
      <c r="AG36" s="47"/>
      <c r="AH36" s="47"/>
      <c r="AI36" s="47"/>
      <c r="AJ36" s="47"/>
      <c r="AK36" s="47"/>
      <c r="AL36" s="47"/>
      <c r="AM36" s="54"/>
    </row>
    <row r="37" spans="1:39" s="45" customFormat="1" ht="20.100000000000001" customHeight="1" x14ac:dyDescent="0.25">
      <c r="A37" s="253" t="s">
        <v>128</v>
      </c>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5"/>
    </row>
    <row r="38" spans="1:39" s="45" customFormat="1" ht="20.100000000000001" customHeight="1" x14ac:dyDescent="0.25">
      <c r="A38" s="48"/>
      <c r="B38" s="39"/>
      <c r="C38" s="42"/>
      <c r="D38" s="42"/>
      <c r="E38" s="42"/>
      <c r="F38" s="42"/>
      <c r="G38" s="42"/>
      <c r="H38" s="42"/>
      <c r="I38" s="42"/>
      <c r="J38" s="63"/>
      <c r="K38" s="63"/>
      <c r="L38" s="63"/>
      <c r="M38" s="63"/>
      <c r="N38" s="63"/>
      <c r="O38" s="63"/>
      <c r="P38" s="63"/>
      <c r="Q38" s="63"/>
      <c r="R38" s="63"/>
      <c r="S38" s="63"/>
      <c r="T38" s="63"/>
      <c r="U38" s="63"/>
      <c r="V38" s="42"/>
      <c r="W38" s="42"/>
      <c r="X38" s="42"/>
      <c r="Y38" s="42"/>
      <c r="Z38" s="42"/>
      <c r="AA38" s="42"/>
      <c r="AB38" s="42"/>
      <c r="AC38" s="64"/>
      <c r="AD38" s="64"/>
      <c r="AE38" s="64"/>
      <c r="AF38" s="64"/>
      <c r="AG38" s="64"/>
      <c r="AH38" s="64"/>
      <c r="AI38" s="42"/>
      <c r="AJ38" s="42"/>
      <c r="AK38" s="42"/>
      <c r="AL38" s="42"/>
      <c r="AM38" s="65"/>
    </row>
    <row r="39" spans="1:39" s="45" customFormat="1" ht="20.100000000000001" customHeight="1" x14ac:dyDescent="0.25">
      <c r="A39" s="48"/>
      <c r="B39" s="66"/>
      <c r="C39" s="58" t="s">
        <v>129</v>
      </c>
      <c r="D39" s="42"/>
      <c r="E39" s="42"/>
      <c r="F39" s="42"/>
      <c r="G39" s="42"/>
      <c r="H39" s="42"/>
      <c r="I39" s="42"/>
      <c r="J39" s="56"/>
      <c r="K39" s="66"/>
      <c r="L39" s="58" t="s">
        <v>130</v>
      </c>
      <c r="M39" s="58"/>
      <c r="N39" s="58"/>
      <c r="O39" s="58"/>
      <c r="P39" s="58"/>
      <c r="Q39" s="21"/>
      <c r="R39" s="66"/>
      <c r="S39" s="58" t="s">
        <v>131</v>
      </c>
      <c r="V39" s="21"/>
      <c r="W39" s="21"/>
      <c r="X39" s="58"/>
      <c r="Y39" s="58"/>
      <c r="Z39" s="66"/>
      <c r="AA39" s="58" t="s">
        <v>132</v>
      </c>
      <c r="AD39" s="58"/>
      <c r="AE39" s="58"/>
      <c r="AG39" s="21"/>
      <c r="AH39" s="21"/>
      <c r="AI39" s="67"/>
      <c r="AL39" s="58"/>
      <c r="AM39" s="60"/>
    </row>
    <row r="40" spans="1:39" s="45" customFormat="1" ht="20.100000000000001" customHeight="1" x14ac:dyDescent="0.25">
      <c r="A40" s="48"/>
      <c r="B40" s="56"/>
      <c r="C40" s="58"/>
      <c r="D40" s="42"/>
      <c r="E40" s="42"/>
      <c r="F40" s="42"/>
      <c r="G40" s="42"/>
      <c r="H40" s="42"/>
      <c r="I40" s="42"/>
      <c r="J40" s="56"/>
      <c r="K40" s="58"/>
      <c r="L40" s="58"/>
      <c r="M40" s="58"/>
      <c r="N40" s="58"/>
      <c r="O40" s="58"/>
      <c r="P40" s="58"/>
      <c r="Q40" s="21"/>
      <c r="R40" s="58"/>
      <c r="S40" s="58"/>
      <c r="V40" s="21"/>
      <c r="W40" s="21"/>
      <c r="X40" s="58"/>
      <c r="Y40" s="58"/>
      <c r="Z40" s="58"/>
      <c r="AA40" s="58"/>
      <c r="AD40" s="58"/>
      <c r="AE40" s="58"/>
      <c r="AG40" s="21"/>
      <c r="AH40" s="21"/>
      <c r="AI40" s="58"/>
      <c r="AL40" s="58"/>
      <c r="AM40" s="60"/>
    </row>
    <row r="41" spans="1:39" s="45" customFormat="1" ht="20.100000000000001" customHeight="1" x14ac:dyDescent="0.25">
      <c r="A41" s="48"/>
      <c r="B41" s="66"/>
      <c r="C41" s="58" t="s">
        <v>133</v>
      </c>
      <c r="D41" s="42"/>
      <c r="E41" s="42"/>
      <c r="F41" s="42"/>
      <c r="G41" s="42"/>
      <c r="H41" s="42"/>
      <c r="I41" s="42"/>
      <c r="J41" s="56"/>
      <c r="K41" s="66"/>
      <c r="L41" s="58" t="s">
        <v>134</v>
      </c>
      <c r="M41" s="58"/>
      <c r="N41" s="58"/>
      <c r="O41" s="58"/>
      <c r="P41" s="58"/>
      <c r="Q41" s="21"/>
      <c r="R41" s="66"/>
      <c r="S41" s="58" t="s">
        <v>135</v>
      </c>
      <c r="V41" s="21"/>
      <c r="W41" s="21"/>
      <c r="X41" s="58"/>
      <c r="Y41" s="58"/>
      <c r="Z41" s="66"/>
      <c r="AA41" s="58" t="s">
        <v>136</v>
      </c>
      <c r="AD41" s="58"/>
      <c r="AE41" s="58"/>
      <c r="AG41" s="21"/>
      <c r="AH41" s="21"/>
      <c r="AI41" s="58"/>
      <c r="AL41" s="58"/>
      <c r="AM41" s="60"/>
    </row>
    <row r="42" spans="1:39" s="45" customFormat="1" ht="20.100000000000001" customHeight="1" thickBot="1" x14ac:dyDescent="0.3">
      <c r="A42" s="52"/>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54"/>
    </row>
    <row r="43" spans="1:39" s="45" customFormat="1" ht="20.100000000000001" customHeight="1" x14ac:dyDescent="0.25">
      <c r="A43" s="263" t="s">
        <v>137</v>
      </c>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5"/>
    </row>
    <row r="44" spans="1:39" s="45" customFormat="1" ht="20.100000000000001" customHeight="1" x14ac:dyDescent="0.25">
      <c r="A44" s="48"/>
      <c r="B44" s="39"/>
      <c r="C44" s="42"/>
      <c r="D44" s="42"/>
      <c r="E44" s="42"/>
      <c r="F44" s="42"/>
      <c r="G44" s="42"/>
      <c r="H44" s="42"/>
      <c r="I44" s="42"/>
      <c r="J44" s="63"/>
      <c r="K44" s="63"/>
      <c r="L44" s="63"/>
      <c r="M44" s="63"/>
      <c r="N44" s="63"/>
      <c r="O44" s="63"/>
      <c r="P44" s="63"/>
      <c r="Q44" s="63"/>
      <c r="R44" s="63"/>
      <c r="S44" s="63"/>
      <c r="T44" s="63"/>
      <c r="U44" s="63"/>
      <c r="V44" s="42"/>
      <c r="W44" s="42"/>
      <c r="X44" s="42"/>
      <c r="Y44" s="42"/>
      <c r="Z44" s="42"/>
      <c r="AA44" s="42"/>
      <c r="AB44" s="42"/>
      <c r="AC44" s="64"/>
      <c r="AD44" s="64"/>
      <c r="AE44" s="64"/>
      <c r="AF44" s="64"/>
      <c r="AG44" s="64"/>
      <c r="AH44" s="64"/>
      <c r="AI44" s="42"/>
      <c r="AJ44" s="42"/>
      <c r="AK44" s="42"/>
      <c r="AL44" s="42"/>
      <c r="AM44" s="65"/>
    </row>
    <row r="45" spans="1:39" s="45" customFormat="1" ht="20.100000000000001" customHeight="1" x14ac:dyDescent="0.25">
      <c r="A45" s="48"/>
      <c r="B45" s="66"/>
      <c r="C45" s="58" t="s">
        <v>138</v>
      </c>
      <c r="D45" s="42"/>
      <c r="E45" s="42"/>
      <c r="F45" s="42"/>
      <c r="G45" s="42"/>
      <c r="H45" s="42"/>
      <c r="I45" s="42"/>
      <c r="J45" s="56"/>
      <c r="K45" s="66"/>
      <c r="L45" s="58" t="s">
        <v>139</v>
      </c>
      <c r="M45" s="58"/>
      <c r="N45" s="58"/>
      <c r="O45" s="58"/>
      <c r="P45" s="58"/>
      <c r="Q45" s="21"/>
      <c r="R45" s="66"/>
      <c r="S45" s="58" t="s">
        <v>140</v>
      </c>
      <c r="V45" s="21"/>
      <c r="W45" s="21"/>
      <c r="X45" s="58"/>
      <c r="Y45" s="58"/>
      <c r="Z45" s="66"/>
      <c r="AA45" s="58" t="s">
        <v>141</v>
      </c>
      <c r="AD45" s="58"/>
      <c r="AE45" s="58"/>
      <c r="AG45" s="21"/>
      <c r="AH45" s="21"/>
      <c r="AI45" s="67"/>
      <c r="AL45" s="58"/>
      <c r="AM45" s="60"/>
    </row>
    <row r="46" spans="1:39" s="45" customFormat="1" ht="20.100000000000001" customHeight="1" x14ac:dyDescent="0.25">
      <c r="A46" s="48"/>
      <c r="B46" s="56"/>
      <c r="C46" s="58"/>
      <c r="D46" s="42"/>
      <c r="E46" s="42"/>
      <c r="F46" s="42"/>
      <c r="G46" s="42"/>
      <c r="H46" s="42"/>
      <c r="I46" s="42"/>
      <c r="J46" s="56"/>
      <c r="K46" s="58"/>
      <c r="L46" s="58"/>
      <c r="M46" s="58"/>
      <c r="N46" s="58"/>
      <c r="O46" s="58"/>
      <c r="P46" s="58"/>
      <c r="Q46" s="21"/>
      <c r="R46" s="58"/>
      <c r="S46" s="58"/>
      <c r="V46" s="21"/>
      <c r="W46" s="21"/>
      <c r="X46" s="58"/>
      <c r="Y46" s="58"/>
      <c r="Z46" s="58"/>
      <c r="AA46" s="58"/>
      <c r="AD46" s="58"/>
      <c r="AE46" s="58"/>
      <c r="AG46" s="21"/>
      <c r="AH46" s="21"/>
      <c r="AI46" s="58"/>
      <c r="AL46" s="58"/>
      <c r="AM46" s="60"/>
    </row>
    <row r="47" spans="1:39" s="45" customFormat="1" ht="20.100000000000001" customHeight="1" x14ac:dyDescent="0.25">
      <c r="A47" s="48"/>
      <c r="B47" s="66"/>
      <c r="C47" s="58" t="s">
        <v>142</v>
      </c>
      <c r="D47" s="42"/>
      <c r="E47" s="42"/>
      <c r="F47" s="42"/>
      <c r="G47" s="42"/>
      <c r="H47" s="42"/>
      <c r="I47" s="42"/>
      <c r="J47" s="56"/>
      <c r="K47" s="66"/>
      <c r="L47" s="58" t="s">
        <v>143</v>
      </c>
      <c r="M47" s="58"/>
      <c r="N47" s="58"/>
      <c r="O47" s="58"/>
      <c r="P47" s="58"/>
      <c r="Q47" s="21"/>
      <c r="R47" s="66"/>
      <c r="S47" s="58" t="s">
        <v>144</v>
      </c>
      <c r="V47" s="21"/>
      <c r="W47" s="21"/>
      <c r="X47" s="58"/>
      <c r="Y47" s="58"/>
      <c r="Z47" s="66"/>
      <c r="AA47" s="58" t="s">
        <v>145</v>
      </c>
      <c r="AD47" s="58"/>
      <c r="AE47" s="58"/>
      <c r="AG47" s="21"/>
      <c r="AH47" s="21"/>
      <c r="AI47" s="58"/>
      <c r="AL47" s="58"/>
      <c r="AM47" s="60"/>
    </row>
    <row r="48" spans="1:39" s="45" customFormat="1" ht="20.100000000000001" customHeight="1" thickBot="1" x14ac:dyDescent="0.3">
      <c r="A48" s="52"/>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54"/>
    </row>
    <row r="49" spans="1:39" s="45" customFormat="1" ht="20.100000000000001" customHeight="1" x14ac:dyDescent="0.25">
      <c r="A49" s="253" t="s">
        <v>146</v>
      </c>
      <c r="B49" s="254"/>
      <c r="C49" s="254"/>
      <c r="D49" s="254"/>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5"/>
    </row>
    <row r="50" spans="1:39" s="45" customFormat="1" ht="20.100000000000001" customHeight="1" x14ac:dyDescent="0.25">
      <c r="A50" s="48"/>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50"/>
    </row>
    <row r="51" spans="1:39" s="45" customFormat="1" ht="20.100000000000001" customHeight="1" x14ac:dyDescent="0.25">
      <c r="A51" s="48"/>
      <c r="B51" s="258" t="s">
        <v>236</v>
      </c>
      <c r="C51" s="259"/>
      <c r="D51" s="259"/>
      <c r="E51" s="259"/>
      <c r="F51" s="259"/>
      <c r="G51" s="259"/>
      <c r="H51" s="259"/>
      <c r="I51" s="259"/>
      <c r="J51" s="259"/>
      <c r="K51" s="257"/>
      <c r="L51" s="257"/>
      <c r="M51" s="257"/>
      <c r="N51" s="257"/>
      <c r="O51" s="257"/>
      <c r="P51" s="21"/>
      <c r="Q51" s="258" t="s">
        <v>237</v>
      </c>
      <c r="R51" s="259"/>
      <c r="S51" s="259"/>
      <c r="T51" s="259"/>
      <c r="U51" s="259"/>
      <c r="V51" s="259"/>
      <c r="W51" s="259"/>
      <c r="X51" s="256"/>
      <c r="Y51" s="256"/>
      <c r="Z51" s="256"/>
      <c r="AA51" s="256"/>
      <c r="AB51" s="21"/>
      <c r="AC51" s="258" t="s">
        <v>5</v>
      </c>
      <c r="AD51" s="259"/>
      <c r="AE51" s="259"/>
      <c r="AF51" s="259"/>
      <c r="AG51" s="259"/>
      <c r="AH51" s="259"/>
      <c r="AI51" s="259"/>
      <c r="AJ51" s="256"/>
      <c r="AK51" s="256"/>
      <c r="AL51" s="256"/>
      <c r="AM51" s="50"/>
    </row>
    <row r="52" spans="1:39" s="45" customFormat="1" ht="20.100000000000001" customHeight="1" x14ac:dyDescent="0.25">
      <c r="A52" s="48"/>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50"/>
    </row>
    <row r="53" spans="1:39" s="45" customFormat="1" ht="20.100000000000001" customHeight="1" x14ac:dyDescent="0.25">
      <c r="A53" s="48"/>
      <c r="B53" s="256" t="s">
        <v>3</v>
      </c>
      <c r="C53" s="256"/>
      <c r="D53" s="256"/>
      <c r="E53" s="256"/>
      <c r="F53" s="256"/>
      <c r="G53" s="256"/>
      <c r="H53" s="256"/>
      <c r="I53" s="256"/>
      <c r="J53" s="256"/>
      <c r="K53" s="21"/>
      <c r="L53" s="51"/>
      <c r="M53" s="58" t="s">
        <v>147</v>
      </c>
      <c r="N53" s="21"/>
      <c r="O53" s="21"/>
      <c r="P53" s="21"/>
      <c r="Q53" s="51"/>
      <c r="R53" s="58" t="s">
        <v>148</v>
      </c>
      <c r="S53" s="21"/>
      <c r="T53" s="21"/>
      <c r="U53" s="21"/>
      <c r="V53" s="21"/>
      <c r="W53" s="51"/>
      <c r="X53" s="58" t="s">
        <v>149</v>
      </c>
      <c r="Y53" s="21"/>
      <c r="Z53" s="21"/>
      <c r="AA53" s="21"/>
      <c r="AB53" s="21"/>
      <c r="AE53" s="21"/>
      <c r="AF53" s="21"/>
      <c r="AG53" s="21"/>
      <c r="AH53" s="21"/>
      <c r="AI53" s="21"/>
      <c r="AJ53" s="21"/>
      <c r="AK53" s="21"/>
      <c r="AL53" s="21"/>
      <c r="AM53" s="50"/>
    </row>
    <row r="54" spans="1:39" s="45" customFormat="1" ht="20.100000000000001" customHeight="1" x14ac:dyDescent="0.25">
      <c r="A54" s="48"/>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50"/>
    </row>
    <row r="55" spans="1:39" s="45" customFormat="1" ht="20.100000000000001" customHeight="1" x14ac:dyDescent="0.25">
      <c r="A55" s="48"/>
      <c r="B55" s="256" t="s">
        <v>4</v>
      </c>
      <c r="C55" s="256"/>
      <c r="D55" s="256"/>
      <c r="E55" s="256"/>
      <c r="F55" s="256"/>
      <c r="G55" s="256"/>
      <c r="H55" s="256"/>
      <c r="I55" s="256"/>
      <c r="J55" s="256"/>
      <c r="K55" s="21"/>
      <c r="L55" s="51"/>
      <c r="M55" s="58" t="s">
        <v>67</v>
      </c>
      <c r="N55" s="21"/>
      <c r="O55" s="21"/>
      <c r="P55" s="21"/>
      <c r="Q55" s="51"/>
      <c r="R55" s="58" t="s">
        <v>150</v>
      </c>
      <c r="S55" s="21"/>
      <c r="T55" s="21"/>
      <c r="U55" s="21"/>
      <c r="V55" s="21"/>
      <c r="W55" s="21"/>
      <c r="X55" s="21"/>
      <c r="Y55" s="21"/>
      <c r="Z55" s="21"/>
      <c r="AA55" s="21"/>
      <c r="AB55" s="21"/>
      <c r="AC55" s="21"/>
      <c r="AD55" s="21"/>
      <c r="AE55" s="21"/>
      <c r="AF55" s="21"/>
      <c r="AG55" s="21"/>
      <c r="AH55" s="21"/>
      <c r="AI55" s="21"/>
      <c r="AJ55" s="21"/>
      <c r="AK55" s="21"/>
      <c r="AL55" s="21"/>
      <c r="AM55" s="50"/>
    </row>
    <row r="56" spans="1:39" s="45" customFormat="1" ht="20.100000000000001" customHeight="1" x14ac:dyDescent="0.25">
      <c r="A56" s="48"/>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50"/>
    </row>
    <row r="57" spans="1:39" s="45" customFormat="1" ht="20.100000000000001" customHeight="1" x14ac:dyDescent="0.25">
      <c r="A57" s="48"/>
      <c r="B57" s="256" t="s">
        <v>0</v>
      </c>
      <c r="C57" s="256"/>
      <c r="D57" s="256"/>
      <c r="E57" s="256"/>
      <c r="F57" s="256"/>
      <c r="G57" s="256"/>
      <c r="H57" s="256"/>
      <c r="I57" s="256"/>
      <c r="J57" s="256"/>
      <c r="K57" s="21"/>
      <c r="L57" s="51"/>
      <c r="M57" s="58" t="s">
        <v>151</v>
      </c>
      <c r="N57" s="21"/>
      <c r="O57" s="21"/>
      <c r="P57" s="21"/>
      <c r="Q57" s="51"/>
      <c r="R57" s="58" t="s">
        <v>238</v>
      </c>
      <c r="S57" s="21"/>
      <c r="T57" s="21"/>
      <c r="U57" s="21"/>
      <c r="V57" s="21"/>
      <c r="W57" s="51"/>
      <c r="X57" s="58" t="s">
        <v>239</v>
      </c>
      <c r="Y57" s="21"/>
      <c r="Z57" s="21"/>
      <c r="AA57" s="21"/>
      <c r="AB57" s="21"/>
      <c r="AC57" s="21"/>
      <c r="AD57" s="21"/>
      <c r="AE57" s="21"/>
      <c r="AF57" s="21"/>
      <c r="AG57" s="21"/>
      <c r="AH57" s="21"/>
      <c r="AI57" s="21"/>
      <c r="AJ57" s="21"/>
      <c r="AK57" s="21"/>
      <c r="AL57" s="21"/>
      <c r="AM57" s="50"/>
    </row>
    <row r="58" spans="1:39" s="45" customFormat="1" ht="20.100000000000001" customHeight="1" x14ac:dyDescent="0.25">
      <c r="A58" s="48"/>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50"/>
    </row>
    <row r="59" spans="1:39" s="45" customFormat="1" ht="20.100000000000001" customHeight="1" x14ac:dyDescent="0.25">
      <c r="A59" s="48"/>
      <c r="B59" s="256" t="s">
        <v>152</v>
      </c>
      <c r="C59" s="256"/>
      <c r="D59" s="256"/>
      <c r="E59" s="256"/>
      <c r="F59" s="256"/>
      <c r="G59" s="256"/>
      <c r="H59" s="256"/>
      <c r="I59" s="256"/>
      <c r="J59" s="256"/>
      <c r="K59" s="21"/>
      <c r="L59" s="51"/>
      <c r="M59" s="58" t="s">
        <v>153</v>
      </c>
      <c r="N59" s="21"/>
      <c r="O59" s="21"/>
      <c r="P59" s="21"/>
      <c r="Q59" s="51"/>
      <c r="R59" s="58" t="s">
        <v>154</v>
      </c>
      <c r="S59" s="21"/>
      <c r="T59" s="21"/>
      <c r="U59" s="21"/>
      <c r="V59" s="21"/>
      <c r="W59" s="51"/>
      <c r="X59" s="58" t="s">
        <v>155</v>
      </c>
      <c r="Y59" s="21"/>
      <c r="Z59" s="21"/>
      <c r="AA59" s="21"/>
      <c r="AB59" s="21"/>
      <c r="AC59" s="51"/>
      <c r="AD59" s="58" t="s">
        <v>156</v>
      </c>
      <c r="AE59" s="21"/>
      <c r="AF59" s="21"/>
      <c r="AG59" s="21"/>
      <c r="AH59" s="21"/>
      <c r="AI59" s="21"/>
      <c r="AJ59" s="21"/>
      <c r="AK59" s="21"/>
      <c r="AL59" s="21"/>
      <c r="AM59" s="50"/>
    </row>
    <row r="60" spans="1:39" s="45" customFormat="1" ht="20.100000000000001" customHeight="1" x14ac:dyDescent="0.25">
      <c r="A60" s="48"/>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50"/>
    </row>
    <row r="61" spans="1:39" s="45" customFormat="1" ht="20.100000000000001" customHeight="1" x14ac:dyDescent="0.25">
      <c r="A61" s="48"/>
      <c r="B61" s="256" t="s">
        <v>6</v>
      </c>
      <c r="C61" s="256"/>
      <c r="D61" s="256"/>
      <c r="E61" s="256"/>
      <c r="F61" s="256"/>
      <c r="G61" s="256"/>
      <c r="H61" s="256"/>
      <c r="I61" s="256"/>
      <c r="J61" s="256"/>
      <c r="K61" s="21"/>
      <c r="L61" s="51"/>
      <c r="M61" s="58" t="s">
        <v>157</v>
      </c>
      <c r="N61" s="21"/>
      <c r="O61" s="21"/>
      <c r="P61" s="21"/>
      <c r="Q61" s="51"/>
      <c r="R61" s="58" t="s">
        <v>158</v>
      </c>
      <c r="S61" s="21"/>
      <c r="T61" s="21"/>
      <c r="U61" s="21"/>
      <c r="V61" s="21"/>
      <c r="W61" s="21"/>
      <c r="X61" s="21"/>
      <c r="Y61" s="21"/>
      <c r="Z61" s="21"/>
      <c r="AA61" s="21"/>
      <c r="AB61" s="21"/>
      <c r="AC61" s="21"/>
      <c r="AD61" s="21"/>
      <c r="AE61" s="21"/>
      <c r="AF61" s="21"/>
      <c r="AG61" s="21"/>
      <c r="AH61" s="21"/>
      <c r="AI61" s="21"/>
      <c r="AJ61" s="21"/>
      <c r="AK61" s="21"/>
      <c r="AL61" s="21"/>
      <c r="AM61" s="50"/>
    </row>
    <row r="62" spans="1:39" s="45" customFormat="1" ht="20.100000000000001" customHeight="1" x14ac:dyDescent="0.25">
      <c r="A62" s="48"/>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50"/>
    </row>
    <row r="63" spans="1:39" s="45" customFormat="1" ht="20.100000000000001" customHeight="1" x14ac:dyDescent="0.25">
      <c r="A63" s="48"/>
      <c r="B63" s="256" t="s">
        <v>240</v>
      </c>
      <c r="C63" s="256"/>
      <c r="D63" s="256"/>
      <c r="E63" s="256"/>
      <c r="F63" s="256"/>
      <c r="G63" s="256"/>
      <c r="H63" s="256"/>
      <c r="I63" s="256"/>
      <c r="J63" s="256"/>
      <c r="K63" s="21"/>
      <c r="L63" s="51"/>
      <c r="M63" s="58" t="s">
        <v>159</v>
      </c>
      <c r="N63" s="21"/>
      <c r="O63" s="21"/>
      <c r="P63" s="21"/>
      <c r="Q63" s="51"/>
      <c r="R63" s="58" t="s">
        <v>160</v>
      </c>
      <c r="S63" s="21"/>
      <c r="T63" s="21"/>
      <c r="U63" s="21"/>
      <c r="V63" s="21"/>
      <c r="W63" s="51"/>
      <c r="X63" s="58" t="s">
        <v>161</v>
      </c>
      <c r="Y63" s="21"/>
      <c r="Z63" s="21"/>
      <c r="AA63" s="21"/>
      <c r="AB63" s="21"/>
      <c r="AD63" s="58"/>
      <c r="AE63" s="21"/>
      <c r="AF63" s="21"/>
      <c r="AG63" s="21"/>
      <c r="AH63" s="21"/>
      <c r="AI63" s="21"/>
      <c r="AJ63" s="21"/>
      <c r="AK63" s="21"/>
      <c r="AL63" s="21"/>
      <c r="AM63" s="50"/>
    </row>
    <row r="64" spans="1:39" s="45" customFormat="1" ht="20.100000000000001" customHeight="1" thickBot="1" x14ac:dyDescent="0.3">
      <c r="A64" s="52"/>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54"/>
    </row>
    <row r="65" spans="1:39" s="45" customFormat="1" ht="20.100000000000001" customHeight="1" x14ac:dyDescent="0.25">
      <c r="A65" s="253" t="s">
        <v>162</v>
      </c>
      <c r="B65" s="254"/>
      <c r="C65" s="254"/>
      <c r="D65" s="254"/>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5"/>
    </row>
    <row r="66" spans="1:39" s="45" customFormat="1" ht="20.100000000000001" customHeight="1" x14ac:dyDescent="0.25">
      <c r="A66" s="48"/>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50"/>
    </row>
    <row r="67" spans="1:39" s="45" customFormat="1" ht="20.100000000000001" customHeight="1" x14ac:dyDescent="0.25">
      <c r="A67" s="48"/>
      <c r="B67" s="256" t="s">
        <v>163</v>
      </c>
      <c r="C67" s="256"/>
      <c r="D67" s="256"/>
      <c r="E67" s="256"/>
      <c r="F67" s="256"/>
      <c r="G67" s="256"/>
      <c r="H67" s="256"/>
      <c r="I67" s="256"/>
      <c r="J67" s="256"/>
      <c r="K67" s="21"/>
      <c r="L67" s="51"/>
      <c r="M67" s="58" t="s">
        <v>164</v>
      </c>
      <c r="N67" s="21"/>
      <c r="O67" s="21"/>
      <c r="P67" s="21"/>
      <c r="Q67" s="51"/>
      <c r="R67" s="58" t="s">
        <v>165</v>
      </c>
      <c r="S67" s="21"/>
      <c r="T67" s="21"/>
      <c r="U67" s="21"/>
      <c r="V67" s="21"/>
      <c r="W67" s="51"/>
      <c r="X67" s="58" t="s">
        <v>67</v>
      </c>
      <c r="Y67" s="21"/>
      <c r="Z67" s="21"/>
      <c r="AA67" s="21"/>
      <c r="AB67" s="21"/>
      <c r="AC67" s="51"/>
      <c r="AD67" s="58" t="s">
        <v>166</v>
      </c>
      <c r="AE67" s="21"/>
      <c r="AF67" s="21"/>
      <c r="AG67" s="21"/>
      <c r="AH67" s="21"/>
      <c r="AI67" s="21"/>
      <c r="AJ67" s="21"/>
      <c r="AK67" s="21"/>
      <c r="AL67" s="21"/>
      <c r="AM67" s="50"/>
    </row>
    <row r="68" spans="1:39" s="45" customFormat="1" ht="20.100000000000001" customHeight="1" x14ac:dyDescent="0.25">
      <c r="A68" s="48"/>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50"/>
    </row>
    <row r="69" spans="1:39" s="45" customFormat="1" ht="20.100000000000001" customHeight="1" x14ac:dyDescent="0.25">
      <c r="A69" s="48"/>
      <c r="B69" s="256" t="s">
        <v>8</v>
      </c>
      <c r="C69" s="256"/>
      <c r="D69" s="256"/>
      <c r="E69" s="256"/>
      <c r="F69" s="256"/>
      <c r="G69" s="256"/>
      <c r="H69" s="256"/>
      <c r="I69" s="256"/>
      <c r="J69" s="256"/>
      <c r="K69" s="21"/>
      <c r="L69" s="51"/>
      <c r="M69" s="58" t="s">
        <v>167</v>
      </c>
      <c r="N69" s="21"/>
      <c r="O69" s="21"/>
      <c r="P69" s="21"/>
      <c r="Q69" s="51"/>
      <c r="R69" s="58" t="s">
        <v>168</v>
      </c>
      <c r="S69" s="21"/>
      <c r="T69" s="21"/>
      <c r="U69" s="21"/>
      <c r="V69" s="21"/>
      <c r="W69" s="51"/>
      <c r="X69" s="58" t="s">
        <v>169</v>
      </c>
      <c r="Y69" s="21"/>
      <c r="Z69" s="21"/>
      <c r="AA69" s="21"/>
      <c r="AB69" s="21"/>
      <c r="AC69" s="51"/>
      <c r="AD69" s="58" t="s">
        <v>170</v>
      </c>
      <c r="AE69" s="21"/>
      <c r="AF69" s="21"/>
      <c r="AG69" s="21"/>
      <c r="AH69" s="21"/>
      <c r="AI69" s="21"/>
      <c r="AJ69" s="21"/>
      <c r="AK69" s="21"/>
      <c r="AL69" s="21"/>
      <c r="AM69" s="50"/>
    </row>
    <row r="70" spans="1:39" s="45" customFormat="1" ht="20.100000000000001" customHeight="1" x14ac:dyDescent="0.25">
      <c r="A70" s="48"/>
      <c r="B70" s="42"/>
      <c r="C70" s="42"/>
      <c r="D70" s="42"/>
      <c r="E70" s="42"/>
      <c r="F70" s="42"/>
      <c r="G70" s="42"/>
      <c r="H70" s="42"/>
      <c r="I70" s="42"/>
      <c r="J70" s="42"/>
      <c r="K70" s="21"/>
      <c r="M70" s="58"/>
      <c r="N70" s="21"/>
      <c r="O70" s="21"/>
      <c r="P70" s="21"/>
      <c r="R70" s="58"/>
      <c r="S70" s="21"/>
      <c r="T70" s="21"/>
      <c r="U70" s="21"/>
      <c r="V70" s="21"/>
      <c r="X70" s="58"/>
      <c r="Y70" s="21"/>
      <c r="Z70" s="21"/>
      <c r="AA70" s="21"/>
      <c r="AB70" s="21"/>
      <c r="AD70" s="58"/>
      <c r="AE70" s="21"/>
      <c r="AF70" s="21"/>
      <c r="AG70" s="21"/>
      <c r="AH70" s="21"/>
      <c r="AI70" s="21"/>
      <c r="AJ70" s="21"/>
      <c r="AK70" s="21"/>
      <c r="AL70" s="21"/>
      <c r="AM70" s="50"/>
    </row>
    <row r="71" spans="1:39" s="45" customFormat="1" ht="20.100000000000001" customHeight="1" x14ac:dyDescent="0.25">
      <c r="A71" s="48"/>
      <c r="B71" s="42"/>
      <c r="C71" s="42"/>
      <c r="D71" s="42"/>
      <c r="E71" s="42"/>
      <c r="F71" s="42"/>
      <c r="G71" s="42"/>
      <c r="H71" s="42"/>
      <c r="I71" s="42"/>
      <c r="J71" s="42"/>
      <c r="K71" s="21"/>
      <c r="L71" s="51"/>
      <c r="M71" s="58" t="s">
        <v>171</v>
      </c>
      <c r="N71" s="21"/>
      <c r="O71" s="21"/>
      <c r="P71" s="21"/>
      <c r="Q71" s="51"/>
      <c r="R71" s="58" t="s">
        <v>172</v>
      </c>
      <c r="S71" s="21"/>
      <c r="T71" s="21"/>
      <c r="U71" s="21"/>
      <c r="V71" s="21"/>
      <c r="W71" s="51"/>
      <c r="X71" s="58" t="s">
        <v>173</v>
      </c>
      <c r="Y71" s="21"/>
      <c r="Z71" s="21"/>
      <c r="AA71" s="21"/>
      <c r="AB71" s="21"/>
      <c r="AD71" s="58"/>
      <c r="AE71" s="21"/>
      <c r="AF71" s="21"/>
      <c r="AG71" s="21"/>
      <c r="AH71" s="21"/>
      <c r="AI71" s="21"/>
      <c r="AJ71" s="21"/>
      <c r="AK71" s="21"/>
      <c r="AL71" s="21"/>
      <c r="AM71" s="50"/>
    </row>
    <row r="72" spans="1:39" s="45" customFormat="1" ht="20.100000000000001" customHeight="1" thickBot="1" x14ac:dyDescent="0.3">
      <c r="A72" s="52"/>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54"/>
    </row>
    <row r="73" spans="1:39" s="45" customFormat="1" ht="20.100000000000001" customHeight="1" x14ac:dyDescent="0.25">
      <c r="A73" s="253" t="s">
        <v>174</v>
      </c>
      <c r="B73" s="254"/>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5"/>
    </row>
    <row r="74" spans="1:39" s="45" customFormat="1" ht="20.100000000000001" customHeight="1" x14ac:dyDescent="0.25">
      <c r="A74" s="48"/>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50"/>
    </row>
    <row r="75" spans="1:39" s="45" customFormat="1" ht="20.100000000000001" customHeight="1" x14ac:dyDescent="0.25">
      <c r="A75" s="48"/>
      <c r="B75" s="256" t="s">
        <v>175</v>
      </c>
      <c r="C75" s="256"/>
      <c r="D75" s="256"/>
      <c r="E75" s="256"/>
      <c r="F75" s="256"/>
      <c r="G75" s="256"/>
      <c r="H75" s="256"/>
      <c r="I75" s="256"/>
      <c r="J75" s="256"/>
      <c r="K75" s="21"/>
      <c r="L75" s="51"/>
      <c r="M75" s="58" t="s">
        <v>176</v>
      </c>
      <c r="N75" s="21"/>
      <c r="O75" s="21"/>
      <c r="P75" s="21"/>
      <c r="Q75" s="21"/>
      <c r="R75" s="51"/>
      <c r="S75" s="58" t="s">
        <v>177</v>
      </c>
      <c r="T75" s="21"/>
      <c r="U75" s="21"/>
      <c r="V75" s="21"/>
      <c r="W75" s="21"/>
      <c r="X75" s="21"/>
      <c r="Y75" s="51"/>
      <c r="Z75" s="58" t="s">
        <v>178</v>
      </c>
      <c r="AA75" s="21"/>
      <c r="AB75" s="21"/>
      <c r="AC75" s="21"/>
      <c r="AD75" s="21"/>
      <c r="AF75" s="21"/>
      <c r="AG75" s="21"/>
      <c r="AH75" s="21"/>
      <c r="AI75" s="21"/>
      <c r="AJ75" s="21"/>
      <c r="AK75" s="21"/>
      <c r="AL75" s="21"/>
      <c r="AM75" s="50"/>
    </row>
    <row r="76" spans="1:39" s="45" customFormat="1" ht="20.100000000000001" customHeight="1" x14ac:dyDescent="0.25">
      <c r="A76" s="48"/>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50"/>
    </row>
    <row r="77" spans="1:39" s="45" customFormat="1" ht="20.100000000000001" customHeight="1" x14ac:dyDescent="0.25">
      <c r="A77" s="48"/>
      <c r="B77" s="256" t="s">
        <v>179</v>
      </c>
      <c r="C77" s="256"/>
      <c r="D77" s="256"/>
      <c r="E77" s="256"/>
      <c r="F77" s="256"/>
      <c r="G77" s="256"/>
      <c r="H77" s="256"/>
      <c r="I77" s="256"/>
      <c r="J77" s="256"/>
      <c r="K77" s="21"/>
      <c r="L77" s="51"/>
      <c r="M77" s="58" t="s">
        <v>176</v>
      </c>
      <c r="N77" s="21"/>
      <c r="O77" s="21"/>
      <c r="P77" s="21"/>
      <c r="Q77" s="21"/>
      <c r="R77" s="51"/>
      <c r="S77" s="58" t="s">
        <v>134</v>
      </c>
      <c r="T77" s="21"/>
      <c r="U77" s="21"/>
      <c r="V77" s="21"/>
      <c r="W77" s="21"/>
      <c r="X77" s="21"/>
      <c r="Y77" s="51"/>
      <c r="Z77" s="58" t="s">
        <v>180</v>
      </c>
      <c r="AA77" s="21"/>
      <c r="AC77" s="58"/>
      <c r="AD77" s="21"/>
      <c r="AE77" s="21"/>
      <c r="AF77" s="21"/>
      <c r="AG77" s="21"/>
      <c r="AH77" s="21"/>
      <c r="AI77" s="21"/>
      <c r="AJ77" s="21"/>
      <c r="AK77" s="21"/>
      <c r="AL77" s="21"/>
      <c r="AM77" s="50"/>
    </row>
    <row r="78" spans="1:39" s="45" customFormat="1" ht="20.100000000000001" customHeight="1" thickBot="1" x14ac:dyDescent="0.3">
      <c r="A78" s="68"/>
      <c r="B78" s="69"/>
      <c r="C78" s="69"/>
      <c r="D78" s="69"/>
      <c r="E78" s="69"/>
      <c r="F78" s="69"/>
      <c r="G78" s="69"/>
      <c r="H78" s="69"/>
      <c r="I78" s="69"/>
      <c r="J78" s="47"/>
      <c r="K78" s="61"/>
      <c r="L78" s="62"/>
      <c r="M78" s="47"/>
      <c r="N78" s="47"/>
      <c r="O78" s="47"/>
      <c r="P78" s="61"/>
      <c r="Q78" s="62"/>
      <c r="R78" s="47"/>
      <c r="S78" s="47"/>
      <c r="T78" s="47"/>
      <c r="U78" s="47"/>
      <c r="V78" s="61"/>
      <c r="W78" s="62"/>
      <c r="X78" s="47"/>
      <c r="Y78" s="47"/>
      <c r="Z78" s="47"/>
      <c r="AA78" s="47"/>
      <c r="AB78" s="61"/>
      <c r="AC78" s="62"/>
      <c r="AD78" s="47"/>
      <c r="AE78" s="47"/>
      <c r="AF78" s="47"/>
      <c r="AG78" s="47"/>
      <c r="AH78" s="47"/>
      <c r="AI78" s="47"/>
      <c r="AJ78" s="47"/>
      <c r="AK78" s="47"/>
      <c r="AL78" s="47"/>
      <c r="AM78" s="54"/>
    </row>
    <row r="79" spans="1:39" s="45" customFormat="1" ht="20.100000000000001" customHeight="1" x14ac:dyDescent="0.25">
      <c r="A79" s="253" t="s">
        <v>181</v>
      </c>
      <c r="B79" s="254"/>
      <c r="C79" s="254"/>
      <c r="D79" s="254"/>
      <c r="E79" s="254"/>
      <c r="F79" s="254"/>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5"/>
    </row>
    <row r="80" spans="1:39" s="45" customFormat="1" ht="20.100000000000001" customHeight="1" x14ac:dyDescent="0.25">
      <c r="A80" s="48"/>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50"/>
    </row>
    <row r="81" spans="1:39" s="45" customFormat="1" ht="20.100000000000001" customHeight="1" x14ac:dyDescent="0.25">
      <c r="A81" s="48"/>
      <c r="B81" s="42"/>
      <c r="C81" s="66"/>
      <c r="D81" s="58" t="s">
        <v>182</v>
      </c>
      <c r="E81" s="42"/>
      <c r="F81" s="42"/>
      <c r="G81" s="42"/>
      <c r="H81" s="42"/>
      <c r="I81" s="66"/>
      <c r="J81" s="58" t="s">
        <v>183</v>
      </c>
      <c r="K81" s="21"/>
      <c r="M81" s="58"/>
      <c r="N81" s="21"/>
      <c r="O81" s="66"/>
      <c r="P81" s="58" t="s">
        <v>184</v>
      </c>
      <c r="Q81" s="21"/>
      <c r="S81" s="58"/>
      <c r="T81" s="21"/>
      <c r="U81" s="21"/>
      <c r="V81" s="21"/>
      <c r="X81" s="66"/>
      <c r="Y81" s="58" t="s">
        <v>185</v>
      </c>
      <c r="Z81" s="21"/>
      <c r="AA81" s="21"/>
      <c r="AB81" s="21"/>
      <c r="AD81" s="66"/>
      <c r="AE81" s="58" t="s">
        <v>186</v>
      </c>
      <c r="AF81" s="21"/>
      <c r="AG81" s="21"/>
      <c r="AH81" s="21"/>
      <c r="AI81" s="21"/>
      <c r="AJ81" s="21"/>
      <c r="AK81" s="21"/>
      <c r="AL81" s="21"/>
      <c r="AM81" s="50"/>
    </row>
    <row r="82" spans="1:39" s="45" customFormat="1" ht="20.100000000000001" customHeight="1" x14ac:dyDescent="0.25">
      <c r="A82" s="48"/>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50"/>
    </row>
    <row r="83" spans="1:39" s="45" customFormat="1" ht="20.100000000000001" customHeight="1" x14ac:dyDescent="0.25">
      <c r="A83" s="48"/>
      <c r="B83" s="42"/>
      <c r="C83" s="66"/>
      <c r="D83" s="58" t="s">
        <v>187</v>
      </c>
      <c r="E83" s="42"/>
      <c r="F83" s="42"/>
      <c r="G83" s="42"/>
      <c r="H83" s="42"/>
      <c r="I83" s="42"/>
      <c r="J83" s="42"/>
      <c r="K83" s="21"/>
      <c r="L83" s="66"/>
      <c r="M83" s="58" t="s">
        <v>188</v>
      </c>
      <c r="N83" s="21"/>
      <c r="O83" s="21"/>
      <c r="P83" s="21"/>
      <c r="Q83" s="21"/>
      <c r="S83" s="58"/>
      <c r="T83" s="21"/>
      <c r="U83" s="21"/>
      <c r="V83" s="21"/>
      <c r="W83" s="21"/>
      <c r="X83" s="21"/>
      <c r="Z83" s="58"/>
      <c r="AA83" s="21"/>
      <c r="AC83" s="58"/>
      <c r="AD83" s="21"/>
      <c r="AE83" s="21"/>
      <c r="AF83" s="21"/>
      <c r="AG83" s="21"/>
      <c r="AH83" s="21"/>
      <c r="AI83" s="21"/>
      <c r="AJ83" s="21"/>
      <c r="AK83" s="21"/>
      <c r="AL83" s="21"/>
      <c r="AM83" s="50"/>
    </row>
    <row r="84" spans="1:39" s="45" customFormat="1" ht="20.100000000000001" customHeight="1" thickBot="1" x14ac:dyDescent="0.3">
      <c r="A84" s="68"/>
      <c r="B84" s="69"/>
      <c r="C84" s="69"/>
      <c r="D84" s="69"/>
      <c r="E84" s="69"/>
      <c r="F84" s="69"/>
      <c r="G84" s="69"/>
      <c r="H84" s="69"/>
      <c r="I84" s="69"/>
      <c r="J84" s="47"/>
      <c r="K84" s="61"/>
      <c r="L84" s="62"/>
      <c r="M84" s="47"/>
      <c r="N84" s="47"/>
      <c r="O84" s="47"/>
      <c r="P84" s="61"/>
      <c r="Q84" s="62"/>
      <c r="R84" s="47"/>
      <c r="S84" s="47"/>
      <c r="T84" s="47"/>
      <c r="U84" s="47"/>
      <c r="V84" s="61"/>
      <c r="W84" s="62"/>
      <c r="X84" s="47"/>
      <c r="Y84" s="47"/>
      <c r="Z84" s="47"/>
      <c r="AA84" s="47"/>
      <c r="AB84" s="61"/>
      <c r="AC84" s="62"/>
      <c r="AD84" s="47"/>
      <c r="AE84" s="47"/>
      <c r="AF84" s="47"/>
      <c r="AG84" s="47"/>
      <c r="AH84" s="47"/>
      <c r="AI84" s="47"/>
      <c r="AJ84" s="47"/>
      <c r="AK84" s="47"/>
      <c r="AL84" s="47"/>
      <c r="AM84" s="54"/>
    </row>
    <row r="85" spans="1:39" s="45" customFormat="1" ht="20.100000000000001" customHeight="1" x14ac:dyDescent="0.25">
      <c r="A85" s="253" t="s">
        <v>227</v>
      </c>
      <c r="B85" s="254"/>
      <c r="C85" s="254"/>
      <c r="D85" s="254"/>
      <c r="E85" s="254"/>
      <c r="F85" s="254"/>
      <c r="G85" s="254"/>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5"/>
    </row>
    <row r="86" spans="1:39" s="45" customFormat="1" ht="20.100000000000001" customHeight="1" x14ac:dyDescent="0.25">
      <c r="A86" s="48"/>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50"/>
    </row>
    <row r="87" spans="1:39" s="45" customFormat="1" ht="20.100000000000001" customHeight="1" x14ac:dyDescent="0.25">
      <c r="A87" s="48"/>
      <c r="B87" s="256" t="s">
        <v>189</v>
      </c>
      <c r="C87" s="256"/>
      <c r="D87" s="256"/>
      <c r="E87" s="256"/>
      <c r="F87" s="256"/>
      <c r="G87" s="256"/>
      <c r="H87" s="256"/>
      <c r="I87" s="256"/>
      <c r="J87" s="256"/>
      <c r="K87" s="256"/>
      <c r="L87" s="256"/>
      <c r="M87" s="256"/>
      <c r="N87" s="256"/>
      <c r="O87" s="256"/>
      <c r="P87" s="256"/>
      <c r="Q87" s="42"/>
      <c r="R87" s="42"/>
      <c r="S87" s="42"/>
      <c r="T87" s="256" t="s">
        <v>190</v>
      </c>
      <c r="U87" s="256"/>
      <c r="V87" s="256"/>
      <c r="W87" s="256"/>
      <c r="X87" s="256"/>
      <c r="Y87" s="256"/>
      <c r="Z87" s="256"/>
      <c r="AA87" s="256"/>
      <c r="AB87" s="256"/>
      <c r="AC87" s="256"/>
      <c r="AD87" s="256"/>
      <c r="AE87" s="256"/>
      <c r="AF87" s="256"/>
      <c r="AG87" s="256"/>
      <c r="AH87" s="256"/>
      <c r="AI87" s="42"/>
      <c r="AJ87" s="42"/>
      <c r="AK87" s="42"/>
      <c r="AL87" s="42"/>
      <c r="AM87" s="50"/>
    </row>
    <row r="88" spans="1:39" s="45" customFormat="1" ht="20.100000000000001" customHeight="1" x14ac:dyDescent="0.25">
      <c r="A88" s="48"/>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50"/>
    </row>
    <row r="89" spans="1:39" s="45" customFormat="1" ht="20.100000000000001" customHeight="1" x14ac:dyDescent="0.25">
      <c r="A89" s="48"/>
      <c r="B89" s="256" t="s">
        <v>191</v>
      </c>
      <c r="C89" s="256"/>
      <c r="D89" s="256"/>
      <c r="E89" s="256"/>
      <c r="F89" s="256"/>
      <c r="G89" s="256"/>
      <c r="H89" s="256"/>
      <c r="I89" s="256"/>
      <c r="J89" s="256"/>
      <c r="K89" s="21"/>
      <c r="L89" s="257"/>
      <c r="M89" s="257"/>
      <c r="N89" s="257"/>
      <c r="O89" s="257"/>
      <c r="P89" s="257"/>
      <c r="R89" s="58"/>
      <c r="S89" s="21"/>
      <c r="T89" s="256" t="s">
        <v>191</v>
      </c>
      <c r="U89" s="256"/>
      <c r="V89" s="256"/>
      <c r="W89" s="256"/>
      <c r="X89" s="256"/>
      <c r="Y89" s="256"/>
      <c r="Z89" s="256"/>
      <c r="AA89" s="256"/>
      <c r="AB89" s="256"/>
      <c r="AC89" s="21"/>
      <c r="AD89" s="257"/>
      <c r="AE89" s="257"/>
      <c r="AF89" s="257"/>
      <c r="AG89" s="257"/>
      <c r="AH89" s="257"/>
      <c r="AI89" s="21"/>
      <c r="AJ89" s="21"/>
      <c r="AK89" s="21"/>
      <c r="AL89" s="21"/>
      <c r="AM89" s="50"/>
    </row>
    <row r="90" spans="1:39" s="45" customFormat="1" ht="20.100000000000001" customHeight="1" x14ac:dyDescent="0.25">
      <c r="A90" s="48"/>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50"/>
    </row>
    <row r="91" spans="1:39" s="45" customFormat="1" ht="20.100000000000001" customHeight="1" x14ac:dyDescent="0.25">
      <c r="A91" s="48"/>
      <c r="B91" s="256" t="s">
        <v>192</v>
      </c>
      <c r="C91" s="256"/>
      <c r="D91" s="256"/>
      <c r="E91" s="256"/>
      <c r="F91" s="256"/>
      <c r="G91" s="256"/>
      <c r="H91" s="256"/>
      <c r="I91" s="256"/>
      <c r="J91" s="256"/>
      <c r="K91" s="21"/>
      <c r="L91" s="257"/>
      <c r="M91" s="257"/>
      <c r="N91" s="257"/>
      <c r="O91" s="257"/>
      <c r="P91" s="257"/>
      <c r="R91" s="58"/>
      <c r="S91" s="21"/>
      <c r="T91" s="256" t="s">
        <v>228</v>
      </c>
      <c r="U91" s="256"/>
      <c r="V91" s="256"/>
      <c r="W91" s="256"/>
      <c r="X91" s="256"/>
      <c r="Y91" s="256"/>
      <c r="Z91" s="256"/>
      <c r="AA91" s="256"/>
      <c r="AB91" s="256"/>
      <c r="AC91" s="42"/>
      <c r="AD91" s="256"/>
      <c r="AE91" s="256"/>
      <c r="AF91" s="256"/>
      <c r="AG91" s="256"/>
      <c r="AH91" s="256"/>
      <c r="AI91" s="21"/>
      <c r="AJ91" s="21"/>
      <c r="AK91" s="21"/>
      <c r="AL91" s="21"/>
      <c r="AM91" s="50"/>
    </row>
    <row r="92" spans="1:39" s="45" customFormat="1" ht="20.100000000000001" customHeight="1" x14ac:dyDescent="0.25">
      <c r="A92" s="48"/>
      <c r="B92" s="21"/>
      <c r="C92" s="21"/>
      <c r="D92" s="21"/>
      <c r="E92" s="21"/>
      <c r="F92" s="21"/>
      <c r="G92" s="21"/>
      <c r="H92" s="21"/>
      <c r="I92" s="21"/>
      <c r="J92" s="21"/>
      <c r="K92" s="21"/>
      <c r="L92" s="21"/>
      <c r="M92" s="21"/>
      <c r="N92" s="21"/>
      <c r="O92" s="21"/>
      <c r="P92" s="21"/>
      <c r="Q92" s="21"/>
      <c r="R92" s="21"/>
      <c r="S92" s="21"/>
      <c r="T92" s="256"/>
      <c r="U92" s="256"/>
      <c r="V92" s="256"/>
      <c r="W92" s="256"/>
      <c r="X92" s="256"/>
      <c r="Y92" s="256"/>
      <c r="Z92" s="256"/>
      <c r="AA92" s="256"/>
      <c r="AB92" s="256"/>
      <c r="AC92" s="21"/>
      <c r="AD92" s="256"/>
      <c r="AE92" s="256"/>
      <c r="AF92" s="256"/>
      <c r="AG92" s="256"/>
      <c r="AH92" s="256"/>
      <c r="AI92" s="21"/>
      <c r="AJ92" s="21"/>
      <c r="AK92" s="21"/>
      <c r="AL92" s="21"/>
      <c r="AM92" s="50"/>
    </row>
    <row r="93" spans="1:39" s="45" customFormat="1" ht="20.100000000000001" customHeight="1" x14ac:dyDescent="0.25">
      <c r="A93" s="48"/>
      <c r="B93" s="256" t="s">
        <v>193</v>
      </c>
      <c r="C93" s="256"/>
      <c r="D93" s="256"/>
      <c r="E93" s="256"/>
      <c r="F93" s="256"/>
      <c r="G93" s="256"/>
      <c r="H93" s="256"/>
      <c r="I93" s="256"/>
      <c r="J93" s="256"/>
      <c r="K93" s="21"/>
      <c r="L93" s="257"/>
      <c r="M93" s="257"/>
      <c r="N93" s="257"/>
      <c r="O93" s="257"/>
      <c r="P93" s="257"/>
      <c r="R93" s="58"/>
      <c r="S93" s="21"/>
      <c r="T93" s="256"/>
      <c r="U93" s="256"/>
      <c r="V93" s="256"/>
      <c r="W93" s="256"/>
      <c r="X93" s="256"/>
      <c r="Y93" s="256"/>
      <c r="Z93" s="256"/>
      <c r="AA93" s="256"/>
      <c r="AB93" s="256"/>
      <c r="AC93" s="21"/>
      <c r="AD93" s="256"/>
      <c r="AE93" s="256"/>
      <c r="AF93" s="256"/>
      <c r="AG93" s="256"/>
      <c r="AH93" s="256"/>
      <c r="AI93" s="21"/>
      <c r="AJ93" s="21"/>
      <c r="AK93" s="21"/>
      <c r="AL93" s="21"/>
      <c r="AM93" s="50"/>
    </row>
    <row r="94" spans="1:39" s="45" customFormat="1" ht="20.100000000000001" customHeight="1" thickBot="1" x14ac:dyDescent="0.3">
      <c r="A94" s="52"/>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54"/>
    </row>
    <row r="95" spans="1:39" s="45" customFormat="1" ht="20.100000000000001" customHeight="1" x14ac:dyDescent="0.25">
      <c r="A95" s="253" t="s">
        <v>196</v>
      </c>
      <c r="B95" s="254"/>
      <c r="C95" s="254"/>
      <c r="D95" s="254"/>
      <c r="E95" s="254"/>
      <c r="F95" s="254"/>
      <c r="G95" s="254"/>
      <c r="H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5"/>
    </row>
    <row r="96" spans="1:39" s="45" customFormat="1" ht="20.100000000000001" customHeight="1" x14ac:dyDescent="0.25">
      <c r="A96" s="48"/>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50"/>
    </row>
    <row r="97" spans="1:39" s="45" customFormat="1" ht="20.100000000000001" customHeight="1" x14ac:dyDescent="0.25">
      <c r="A97" s="48"/>
      <c r="B97" s="256" t="s">
        <v>197</v>
      </c>
      <c r="C97" s="256"/>
      <c r="D97" s="256"/>
      <c r="E97" s="256"/>
      <c r="F97" s="256"/>
      <c r="G97" s="256"/>
      <c r="H97" s="256"/>
      <c r="I97" s="256"/>
      <c r="J97" s="256"/>
      <c r="K97" s="21"/>
      <c r="L97" s="51"/>
      <c r="M97" s="58" t="s">
        <v>68</v>
      </c>
      <c r="Q97" s="51"/>
      <c r="R97" s="58" t="s">
        <v>7</v>
      </c>
      <c r="T97" s="30"/>
      <c r="U97" s="30"/>
      <c r="V97" s="30"/>
      <c r="W97" s="51"/>
      <c r="X97" s="21" t="s">
        <v>194</v>
      </c>
      <c r="Y97" s="30"/>
      <c r="Z97" s="30"/>
      <c r="AA97" s="30"/>
      <c r="AB97" s="21"/>
      <c r="AC97" s="51"/>
      <c r="AD97" s="21" t="s">
        <v>198</v>
      </c>
      <c r="AE97" s="21"/>
      <c r="AF97" s="21"/>
      <c r="AG97" s="21"/>
      <c r="AH97" s="21"/>
      <c r="AI97" s="21"/>
      <c r="AJ97" s="21"/>
      <c r="AK97" s="21"/>
      <c r="AL97" s="21"/>
      <c r="AM97" s="50"/>
    </row>
    <row r="98" spans="1:39" s="45" customFormat="1" ht="20.100000000000001" customHeight="1" x14ac:dyDescent="0.25">
      <c r="A98" s="48"/>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50"/>
    </row>
    <row r="99" spans="1:39" s="45" customFormat="1" ht="20.100000000000001" customHeight="1" x14ac:dyDescent="0.25">
      <c r="A99" s="48"/>
      <c r="B99" s="256" t="s">
        <v>199</v>
      </c>
      <c r="C99" s="256"/>
      <c r="D99" s="256"/>
      <c r="E99" s="256"/>
      <c r="F99" s="256"/>
      <c r="G99" s="256"/>
      <c r="H99" s="256"/>
      <c r="I99" s="256"/>
      <c r="J99" s="256"/>
      <c r="K99" s="21"/>
      <c r="P99" s="21"/>
      <c r="R99" s="58"/>
      <c r="S99" s="21"/>
      <c r="T99" s="21"/>
      <c r="U99" s="21"/>
      <c r="V99" s="21"/>
      <c r="X99" s="58"/>
      <c r="Y99" s="21"/>
      <c r="Z99" s="21"/>
      <c r="AA99" s="21"/>
      <c r="AB99" s="21"/>
      <c r="AC99" s="21"/>
      <c r="AE99" s="21"/>
      <c r="AF99" s="21"/>
      <c r="AG99" s="21"/>
      <c r="AH99" s="21"/>
      <c r="AI99" s="21"/>
      <c r="AJ99" s="21"/>
      <c r="AK99" s="21"/>
      <c r="AL99" s="21"/>
      <c r="AM99" s="50"/>
    </row>
    <row r="100" spans="1:39" s="45" customFormat="1" ht="20.100000000000001" customHeight="1" x14ac:dyDescent="0.25">
      <c r="A100" s="48"/>
      <c r="B100" s="256"/>
      <c r="C100" s="256"/>
      <c r="D100" s="256"/>
      <c r="E100" s="256"/>
      <c r="F100" s="256"/>
      <c r="G100" s="256"/>
      <c r="H100" s="256"/>
      <c r="I100" s="256"/>
      <c r="J100" s="256"/>
      <c r="K100" s="21"/>
      <c r="L100" s="51"/>
      <c r="M100" s="58" t="s">
        <v>9</v>
      </c>
      <c r="Q100" s="51"/>
      <c r="R100" s="58" t="s">
        <v>200</v>
      </c>
      <c r="T100" s="30"/>
      <c r="U100" s="30"/>
      <c r="V100" s="30"/>
      <c r="W100" s="51"/>
      <c r="X100" s="58" t="s">
        <v>11</v>
      </c>
      <c r="Y100" s="30"/>
      <c r="Z100" s="30"/>
      <c r="AA100" s="30"/>
      <c r="AB100" s="21"/>
      <c r="AC100" s="51"/>
      <c r="AD100" s="45" t="s">
        <v>195</v>
      </c>
      <c r="AE100" s="21"/>
      <c r="AF100" s="21"/>
      <c r="AG100" s="21"/>
      <c r="AH100" s="21"/>
      <c r="AI100" s="21"/>
      <c r="AJ100" s="21"/>
      <c r="AK100" s="21"/>
      <c r="AL100" s="21"/>
      <c r="AM100" s="50"/>
    </row>
    <row r="101" spans="1:39" s="45" customFormat="1" ht="20.100000000000001" customHeight="1" x14ac:dyDescent="0.25">
      <c r="A101" s="48"/>
      <c r="B101" s="256"/>
      <c r="C101" s="256"/>
      <c r="D101" s="256"/>
      <c r="E101" s="256"/>
      <c r="F101" s="256"/>
      <c r="G101" s="256"/>
      <c r="H101" s="256"/>
      <c r="I101" s="256"/>
      <c r="J101" s="256"/>
      <c r="K101" s="21"/>
      <c r="P101" s="21"/>
      <c r="R101" s="58"/>
      <c r="S101" s="21"/>
      <c r="T101" s="21"/>
      <c r="U101" s="21"/>
      <c r="V101" s="21"/>
      <c r="X101" s="58"/>
      <c r="Y101" s="21"/>
      <c r="Z101" s="21"/>
      <c r="AA101" s="21"/>
      <c r="AB101" s="21"/>
      <c r="AC101" s="21"/>
      <c r="AE101" s="21"/>
      <c r="AF101" s="21"/>
      <c r="AG101" s="21"/>
      <c r="AH101" s="21"/>
      <c r="AI101" s="21"/>
      <c r="AJ101" s="21"/>
      <c r="AK101" s="21"/>
      <c r="AL101" s="21"/>
      <c r="AM101" s="50"/>
    </row>
    <row r="102" spans="1:39" s="45" customFormat="1" ht="20.100000000000001" customHeight="1" x14ac:dyDescent="0.25">
      <c r="A102" s="48"/>
      <c r="B102" s="256"/>
      <c r="C102" s="256"/>
      <c r="D102" s="256"/>
      <c r="E102" s="256"/>
      <c r="F102" s="256"/>
      <c r="G102" s="256"/>
      <c r="H102" s="256"/>
      <c r="I102" s="256"/>
      <c r="J102" s="256"/>
      <c r="K102" s="21"/>
      <c r="L102" s="51"/>
      <c r="M102" s="58" t="s">
        <v>12</v>
      </c>
      <c r="Q102" s="51"/>
      <c r="R102" s="58" t="s">
        <v>10</v>
      </c>
      <c r="T102" s="30"/>
      <c r="U102" s="30"/>
      <c r="V102" s="30"/>
      <c r="W102" s="51"/>
      <c r="X102" s="58" t="s">
        <v>13</v>
      </c>
      <c r="Y102" s="30"/>
      <c r="Z102" s="30"/>
      <c r="AA102" s="30"/>
      <c r="AB102" s="21"/>
      <c r="AC102" s="51"/>
      <c r="AD102" s="45" t="s">
        <v>201</v>
      </c>
      <c r="AE102" s="21"/>
      <c r="AF102" s="21"/>
      <c r="AG102" s="21"/>
      <c r="AH102" s="21"/>
      <c r="AI102" s="21"/>
      <c r="AJ102" s="21"/>
      <c r="AK102" s="21"/>
      <c r="AL102" s="21"/>
      <c r="AM102" s="50"/>
    </row>
    <row r="103" spans="1:39" s="45" customFormat="1" ht="20.100000000000001" customHeight="1" x14ac:dyDescent="0.25">
      <c r="A103" s="48"/>
      <c r="B103" s="256"/>
      <c r="C103" s="256"/>
      <c r="D103" s="256"/>
      <c r="E103" s="256"/>
      <c r="F103" s="256"/>
      <c r="G103" s="256"/>
      <c r="H103" s="256"/>
      <c r="I103" s="256"/>
      <c r="J103" s="256"/>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50"/>
    </row>
    <row r="104" spans="1:39" s="45" customFormat="1" ht="20.100000000000001" customHeight="1" x14ac:dyDescent="0.25">
      <c r="A104" s="48"/>
      <c r="B104" s="256"/>
      <c r="C104" s="256"/>
      <c r="D104" s="256"/>
      <c r="E104" s="256"/>
      <c r="F104" s="256"/>
      <c r="G104" s="256"/>
      <c r="H104" s="256"/>
      <c r="I104" s="256"/>
      <c r="J104" s="256"/>
      <c r="K104" s="21"/>
      <c r="L104" s="51"/>
      <c r="M104" s="58" t="s">
        <v>202</v>
      </c>
      <c r="R104" s="58"/>
      <c r="T104" s="30"/>
      <c r="U104" s="30"/>
      <c r="V104" s="30"/>
      <c r="W104" s="51"/>
      <c r="X104" s="58" t="s">
        <v>203</v>
      </c>
      <c r="Y104" s="30"/>
      <c r="Z104" s="30"/>
      <c r="AA104" s="30"/>
      <c r="AB104" s="21"/>
      <c r="AC104" s="51"/>
      <c r="AD104" s="58" t="s">
        <v>204</v>
      </c>
      <c r="AE104" s="21"/>
      <c r="AF104" s="21"/>
      <c r="AG104" s="21"/>
      <c r="AH104" s="21"/>
      <c r="AI104" s="21"/>
      <c r="AJ104" s="21"/>
      <c r="AK104" s="21"/>
      <c r="AL104" s="21"/>
      <c r="AM104" s="50"/>
    </row>
    <row r="105" spans="1:39" s="45" customFormat="1" ht="20.100000000000001" customHeight="1" x14ac:dyDescent="0.25">
      <c r="A105" s="48"/>
      <c r="B105" s="256"/>
      <c r="C105" s="256"/>
      <c r="D105" s="256"/>
      <c r="E105" s="256"/>
      <c r="F105" s="256"/>
      <c r="G105" s="256"/>
      <c r="H105" s="256"/>
      <c r="I105" s="256"/>
      <c r="J105" s="256"/>
      <c r="K105" s="21"/>
      <c r="M105" s="58"/>
      <c r="R105" s="58"/>
      <c r="T105" s="30"/>
      <c r="U105" s="30"/>
      <c r="V105" s="30"/>
      <c r="X105" s="58"/>
      <c r="Y105" s="30"/>
      <c r="Z105" s="30"/>
      <c r="AA105" s="30"/>
      <c r="AB105" s="21"/>
      <c r="AD105" s="21"/>
      <c r="AE105" s="21"/>
      <c r="AF105" s="21"/>
      <c r="AG105" s="21"/>
      <c r="AH105" s="21"/>
      <c r="AI105" s="21"/>
      <c r="AJ105" s="21"/>
      <c r="AK105" s="21"/>
      <c r="AL105" s="21"/>
      <c r="AM105" s="50"/>
    </row>
    <row r="106" spans="1:39" s="45" customFormat="1" ht="20.100000000000001" customHeight="1" x14ac:dyDescent="0.25">
      <c r="A106" s="48"/>
      <c r="B106" s="256"/>
      <c r="C106" s="256"/>
      <c r="D106" s="256"/>
      <c r="E106" s="256"/>
      <c r="F106" s="256"/>
      <c r="G106" s="256"/>
      <c r="H106" s="256"/>
      <c r="I106" s="256"/>
      <c r="J106" s="256"/>
      <c r="K106" s="21"/>
      <c r="L106" s="51"/>
      <c r="M106" s="58" t="s">
        <v>205</v>
      </c>
      <c r="P106" s="21"/>
      <c r="R106" s="58"/>
      <c r="S106" s="21"/>
      <c r="T106" s="21"/>
      <c r="U106" s="21"/>
      <c r="V106" s="21"/>
      <c r="X106" s="58"/>
      <c r="Y106" s="21"/>
      <c r="Z106" s="21"/>
      <c r="AA106" s="21"/>
      <c r="AB106" s="21"/>
      <c r="AD106" s="58"/>
      <c r="AE106" s="21"/>
      <c r="AF106" s="21"/>
      <c r="AG106" s="21"/>
      <c r="AH106" s="21"/>
      <c r="AI106" s="21"/>
      <c r="AJ106" s="21"/>
      <c r="AK106" s="21"/>
      <c r="AL106" s="21"/>
      <c r="AM106" s="50"/>
    </row>
    <row r="107" spans="1:39" s="45" customFormat="1" ht="20.100000000000001" customHeight="1" thickBot="1" x14ac:dyDescent="0.3">
      <c r="A107" s="52"/>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54"/>
    </row>
    <row r="108" spans="1:39" s="45" customFormat="1" ht="20.100000000000001" customHeight="1" x14ac:dyDescent="0.25">
      <c r="A108" s="253" t="s">
        <v>229</v>
      </c>
      <c r="B108" s="254"/>
      <c r="C108" s="254"/>
      <c r="D108" s="254"/>
      <c r="E108" s="254"/>
      <c r="F108" s="254"/>
      <c r="G108" s="254"/>
      <c r="H108" s="254"/>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5"/>
    </row>
    <row r="109" spans="1:39" s="45" customFormat="1" ht="20.100000000000001" customHeight="1" x14ac:dyDescent="0.25">
      <c r="A109" s="48"/>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50"/>
    </row>
    <row r="110" spans="1:39" s="45" customFormat="1" ht="20.100000000000001" customHeight="1" x14ac:dyDescent="0.25">
      <c r="A110" s="48"/>
      <c r="B110" s="21"/>
      <c r="C110" s="66"/>
      <c r="D110" s="70" t="s">
        <v>206</v>
      </c>
      <c r="E110" s="56"/>
      <c r="F110" s="56"/>
      <c r="G110" s="56"/>
      <c r="H110" s="66"/>
      <c r="I110" s="58" t="s">
        <v>207</v>
      </c>
      <c r="J110" s="56"/>
      <c r="K110" s="56"/>
      <c r="L110" s="56"/>
      <c r="M110" s="56"/>
      <c r="N110" s="56"/>
      <c r="O110" s="56"/>
      <c r="P110" s="71"/>
      <c r="Q110" s="58" t="s">
        <v>208</v>
      </c>
      <c r="R110" s="56"/>
      <c r="S110" s="58"/>
      <c r="T110" s="58"/>
      <c r="U110" s="58"/>
      <c r="V110" s="58"/>
      <c r="W110" s="21"/>
      <c r="X110" s="21"/>
      <c r="Y110" s="21"/>
      <c r="Z110" s="21"/>
      <c r="AA110" s="21"/>
      <c r="AB110" s="21"/>
      <c r="AC110" s="21"/>
      <c r="AD110" s="21"/>
      <c r="AE110" s="21"/>
      <c r="AF110" s="21"/>
      <c r="AG110" s="21"/>
      <c r="AH110" s="21"/>
      <c r="AI110" s="21"/>
      <c r="AJ110" s="21"/>
      <c r="AK110" s="21"/>
      <c r="AL110" s="21"/>
      <c r="AM110" s="50"/>
    </row>
    <row r="111" spans="1:39" s="45" customFormat="1" ht="20.100000000000001" customHeight="1" x14ac:dyDescent="0.25">
      <c r="A111" s="48"/>
      <c r="B111" s="21"/>
      <c r="C111" s="30"/>
      <c r="D111" s="56"/>
      <c r="E111" s="56"/>
      <c r="F111" s="56"/>
      <c r="G111" s="56"/>
      <c r="H111" s="56"/>
      <c r="I111" s="56"/>
      <c r="J111" s="56"/>
      <c r="K111" s="56"/>
      <c r="L111" s="56"/>
      <c r="M111" s="56"/>
      <c r="N111" s="56"/>
      <c r="O111" s="56"/>
      <c r="P111" s="56"/>
      <c r="Q111" s="56"/>
      <c r="R111" s="56"/>
      <c r="S111" s="58"/>
      <c r="T111" s="58"/>
      <c r="U111" s="58"/>
      <c r="V111" s="58"/>
      <c r="W111" s="21"/>
      <c r="X111" s="21"/>
      <c r="Y111" s="21"/>
      <c r="Z111" s="21"/>
      <c r="AA111" s="21"/>
      <c r="AB111" s="21"/>
      <c r="AC111" s="21"/>
      <c r="AD111" s="21"/>
      <c r="AE111" s="21"/>
      <c r="AF111" s="21"/>
      <c r="AG111" s="21"/>
      <c r="AH111" s="21"/>
      <c r="AI111" s="21"/>
      <c r="AJ111" s="21"/>
      <c r="AK111" s="21"/>
      <c r="AL111" s="21"/>
      <c r="AM111" s="50"/>
    </row>
    <row r="112" spans="1:39" s="45" customFormat="1" ht="20.100000000000001" customHeight="1" x14ac:dyDescent="0.25">
      <c r="A112" s="48"/>
      <c r="B112" s="21"/>
      <c r="C112" s="51"/>
      <c r="D112" s="58" t="s">
        <v>209</v>
      </c>
      <c r="I112" s="58"/>
      <c r="J112" s="58"/>
      <c r="K112" s="58"/>
      <c r="L112" s="58"/>
      <c r="P112" s="51"/>
      <c r="Q112" s="58" t="s">
        <v>2</v>
      </c>
      <c r="R112" s="58"/>
      <c r="T112" s="58"/>
      <c r="U112" s="21"/>
      <c r="V112" s="21"/>
      <c r="W112" s="21"/>
      <c r="X112" s="21"/>
      <c r="Y112" s="21"/>
      <c r="Z112" s="21"/>
      <c r="AA112" s="21"/>
      <c r="AB112" s="21"/>
      <c r="AC112" s="21"/>
      <c r="AD112" s="21"/>
      <c r="AE112" s="21"/>
      <c r="AF112" s="21"/>
      <c r="AG112" s="21"/>
      <c r="AH112" s="21"/>
      <c r="AI112" s="21"/>
      <c r="AJ112" s="21"/>
      <c r="AK112" s="21"/>
      <c r="AL112" s="21"/>
      <c r="AM112" s="50"/>
    </row>
    <row r="113" spans="1:39" s="45" customFormat="1" ht="20.100000000000001" customHeight="1" x14ac:dyDescent="0.25">
      <c r="A113" s="48"/>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50"/>
    </row>
    <row r="114" spans="1:39" s="45" customFormat="1" ht="20.100000000000001" customHeight="1" x14ac:dyDescent="0.25">
      <c r="A114" s="48"/>
      <c r="B114" s="21"/>
      <c r="C114" s="51"/>
      <c r="D114" s="58" t="s">
        <v>210</v>
      </c>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50"/>
    </row>
    <row r="115" spans="1:39" s="45" customFormat="1" ht="20.100000000000001" customHeight="1" thickBot="1" x14ac:dyDescent="0.3">
      <c r="A115" s="52"/>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54"/>
    </row>
    <row r="116" spans="1:39" s="45" customFormat="1" ht="20.100000000000001" customHeight="1" x14ac:dyDescent="0.25">
      <c r="A116" s="253" t="s">
        <v>241</v>
      </c>
      <c r="B116" s="254"/>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M116" s="255"/>
    </row>
    <row r="117" spans="1:39" s="45" customFormat="1" ht="20.100000000000001" customHeight="1" x14ac:dyDescent="0.25">
      <c r="A117" s="48"/>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50"/>
    </row>
    <row r="118" spans="1:39" s="45" customFormat="1" ht="20.100000000000001" customHeight="1" x14ac:dyDescent="0.25">
      <c r="A118" s="48"/>
      <c r="B118" s="21"/>
      <c r="C118" s="66"/>
      <c r="D118" s="70" t="s">
        <v>206</v>
      </c>
      <c r="E118" s="56"/>
      <c r="F118" s="56"/>
      <c r="G118" s="56"/>
      <c r="H118" s="66"/>
      <c r="I118" s="58" t="s">
        <v>211</v>
      </c>
      <c r="J118" s="56"/>
      <c r="K118" s="56"/>
      <c r="L118" s="56"/>
      <c r="M118" s="56"/>
      <c r="N118" s="56"/>
      <c r="O118" s="56"/>
      <c r="P118" s="71"/>
      <c r="Q118" s="58" t="s">
        <v>212</v>
      </c>
      <c r="R118" s="56"/>
      <c r="S118" s="58"/>
      <c r="T118" s="58"/>
      <c r="U118" s="58"/>
      <c r="V118" s="58"/>
      <c r="W118" s="51"/>
      <c r="X118" s="58" t="s">
        <v>213</v>
      </c>
      <c r="Y118" s="21"/>
      <c r="Z118" s="21"/>
      <c r="AA118" s="21"/>
      <c r="AB118" s="21"/>
      <c r="AC118" s="51"/>
      <c r="AD118" s="58" t="s">
        <v>214</v>
      </c>
      <c r="AE118" s="21"/>
      <c r="AF118" s="21"/>
      <c r="AG118" s="21"/>
      <c r="AH118" s="21"/>
      <c r="AI118" s="21"/>
      <c r="AJ118" s="21"/>
      <c r="AK118" s="21"/>
      <c r="AL118" s="21"/>
      <c r="AM118" s="50"/>
    </row>
    <row r="119" spans="1:39" s="45" customFormat="1" ht="20.100000000000001" customHeight="1" x14ac:dyDescent="0.25">
      <c r="A119" s="48"/>
      <c r="B119" s="21"/>
      <c r="C119" s="30"/>
      <c r="D119" s="56"/>
      <c r="E119" s="56"/>
      <c r="F119" s="56"/>
      <c r="G119" s="56"/>
      <c r="H119" s="56"/>
      <c r="I119" s="56"/>
      <c r="J119" s="56"/>
      <c r="K119" s="56"/>
      <c r="L119" s="56"/>
      <c r="M119" s="56"/>
      <c r="N119" s="56"/>
      <c r="O119" s="56"/>
      <c r="P119" s="56"/>
      <c r="Q119" s="56"/>
      <c r="R119" s="56"/>
      <c r="S119" s="58"/>
      <c r="T119" s="58"/>
      <c r="U119" s="58"/>
      <c r="V119" s="58"/>
      <c r="W119" s="21"/>
      <c r="X119" s="21"/>
      <c r="Y119" s="21"/>
      <c r="Z119" s="21"/>
      <c r="AA119" s="21"/>
      <c r="AB119" s="21"/>
      <c r="AC119" s="21"/>
      <c r="AD119" s="21"/>
      <c r="AE119" s="21"/>
      <c r="AF119" s="21"/>
      <c r="AG119" s="21"/>
      <c r="AH119" s="21"/>
      <c r="AI119" s="21"/>
      <c r="AJ119" s="21"/>
      <c r="AK119" s="21"/>
      <c r="AL119" s="21"/>
      <c r="AM119" s="50"/>
    </row>
    <row r="120" spans="1:39" s="45" customFormat="1" ht="20.100000000000001" customHeight="1" x14ac:dyDescent="0.25">
      <c r="A120" s="48"/>
      <c r="B120" s="21"/>
      <c r="C120" s="51"/>
      <c r="D120" s="58" t="s">
        <v>215</v>
      </c>
      <c r="H120" s="51"/>
      <c r="I120" s="58" t="s">
        <v>210</v>
      </c>
      <c r="J120" s="58"/>
      <c r="K120" s="58"/>
      <c r="L120" s="58"/>
      <c r="P120" s="21"/>
      <c r="Q120" s="21"/>
      <c r="R120" s="21"/>
      <c r="T120" s="58"/>
      <c r="U120" s="21"/>
      <c r="V120" s="21"/>
      <c r="W120" s="21"/>
      <c r="X120" s="21"/>
      <c r="Y120" s="21"/>
      <c r="Z120" s="21"/>
      <c r="AA120" s="21"/>
      <c r="AB120" s="21"/>
      <c r="AC120" s="21"/>
      <c r="AD120" s="21"/>
      <c r="AE120" s="21"/>
      <c r="AF120" s="21"/>
      <c r="AG120" s="21"/>
      <c r="AH120" s="21"/>
      <c r="AI120" s="21"/>
      <c r="AJ120" s="21"/>
      <c r="AK120" s="21"/>
      <c r="AL120" s="21"/>
      <c r="AM120" s="50"/>
    </row>
    <row r="121" spans="1:39" s="45" customFormat="1" ht="20.100000000000001" customHeight="1" thickBot="1" x14ac:dyDescent="0.3">
      <c r="A121" s="52"/>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54"/>
    </row>
    <row r="122" spans="1:39" s="45" customFormat="1" ht="20.100000000000001" customHeight="1" x14ac:dyDescent="0.25">
      <c r="A122" s="253" t="s">
        <v>242</v>
      </c>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M122" s="255"/>
    </row>
    <row r="123" spans="1:39" s="45" customFormat="1" ht="20.100000000000001" customHeight="1" x14ac:dyDescent="0.25">
      <c r="A123" s="48"/>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50"/>
    </row>
    <row r="124" spans="1:39" s="45" customFormat="1" ht="20.100000000000001" customHeight="1" x14ac:dyDescent="0.25">
      <c r="A124" s="48"/>
      <c r="B124" s="112" t="s">
        <v>216</v>
      </c>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21"/>
      <c r="AG124" s="66"/>
      <c r="AH124" s="58" t="s">
        <v>217</v>
      </c>
      <c r="AI124" s="21"/>
      <c r="AJ124" s="66"/>
      <c r="AK124" s="58" t="s">
        <v>218</v>
      </c>
      <c r="AL124" s="21"/>
      <c r="AM124" s="50"/>
    </row>
    <row r="125" spans="1:39" s="45" customFormat="1" ht="20.100000000000001" customHeight="1" x14ac:dyDescent="0.25">
      <c r="A125" s="48"/>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21"/>
      <c r="AD125" s="21"/>
      <c r="AE125" s="21"/>
      <c r="AF125" s="21"/>
      <c r="AG125" s="30"/>
      <c r="AH125" s="30"/>
      <c r="AI125" s="21"/>
      <c r="AJ125" s="30"/>
      <c r="AK125" s="30"/>
      <c r="AL125" s="21"/>
      <c r="AM125" s="50"/>
    </row>
    <row r="126" spans="1:39" s="21" customFormat="1" ht="20.100000000000001" customHeight="1" x14ac:dyDescent="0.25">
      <c r="A126" s="48"/>
      <c r="B126" s="280" t="s">
        <v>219</v>
      </c>
      <c r="C126" s="280"/>
      <c r="D126" s="280"/>
      <c r="E126" s="280"/>
      <c r="F126" s="280"/>
      <c r="G126" s="280"/>
      <c r="H126" s="280"/>
      <c r="I126" s="280"/>
      <c r="J126" s="280"/>
      <c r="K126" s="280"/>
      <c r="L126" s="280"/>
      <c r="M126" s="280"/>
      <c r="N126" s="280"/>
      <c r="O126" s="280"/>
      <c r="P126" s="280"/>
      <c r="Q126" s="280"/>
      <c r="R126" s="280"/>
      <c r="S126" s="280"/>
      <c r="T126" s="280"/>
      <c r="U126" s="280"/>
      <c r="V126" s="280"/>
      <c r="W126" s="280"/>
      <c r="X126" s="280"/>
      <c r="Y126" s="280"/>
      <c r="Z126" s="280"/>
      <c r="AA126" s="280"/>
      <c r="AB126" s="280"/>
      <c r="AG126" s="66"/>
      <c r="AH126" s="58" t="s">
        <v>217</v>
      </c>
      <c r="AJ126" s="66"/>
      <c r="AK126" s="58" t="s">
        <v>218</v>
      </c>
      <c r="AM126" s="50"/>
    </row>
    <row r="127" spans="1:39" s="21" customFormat="1" ht="20.100000000000001" customHeight="1" x14ac:dyDescent="0.25">
      <c r="A127" s="48"/>
      <c r="B127" s="280"/>
      <c r="C127" s="280"/>
      <c r="D127" s="280"/>
      <c r="E127" s="280"/>
      <c r="F127" s="58"/>
      <c r="G127" s="30"/>
      <c r="H127" s="30"/>
      <c r="I127" s="30"/>
      <c r="J127" s="30"/>
      <c r="K127" s="30"/>
      <c r="L127" s="30"/>
      <c r="M127" s="30"/>
      <c r="N127" s="30"/>
      <c r="O127" s="30"/>
      <c r="P127" s="30"/>
      <c r="Q127" s="30"/>
      <c r="R127" s="30"/>
      <c r="S127" s="30"/>
      <c r="T127" s="30"/>
      <c r="U127" s="30"/>
      <c r="V127" s="30"/>
      <c r="W127" s="30"/>
      <c r="X127" s="30"/>
      <c r="Y127" s="30"/>
      <c r="Z127" s="30"/>
      <c r="AA127" s="30"/>
      <c r="AB127" s="30"/>
      <c r="AG127" s="30"/>
      <c r="AH127" s="30"/>
      <c r="AJ127" s="30"/>
      <c r="AK127" s="30"/>
      <c r="AM127" s="50"/>
    </row>
    <row r="128" spans="1:39" s="21" customFormat="1" ht="20.100000000000001" customHeight="1" x14ac:dyDescent="0.25">
      <c r="A128" s="48"/>
      <c r="B128" s="280" t="s">
        <v>220</v>
      </c>
      <c r="C128" s="280"/>
      <c r="D128" s="280"/>
      <c r="E128" s="280"/>
      <c r="F128" s="280"/>
      <c r="G128" s="280"/>
      <c r="H128" s="280"/>
      <c r="I128" s="280"/>
      <c r="J128" s="280"/>
      <c r="K128" s="280"/>
      <c r="L128" s="280"/>
      <c r="M128" s="280"/>
      <c r="N128" s="280"/>
      <c r="O128" s="280"/>
      <c r="P128" s="280"/>
      <c r="Q128" s="280"/>
      <c r="R128" s="280"/>
      <c r="S128" s="280"/>
      <c r="T128" s="280"/>
      <c r="U128" s="280"/>
      <c r="V128" s="280"/>
      <c r="W128" s="280"/>
      <c r="X128" s="280"/>
      <c r="Y128" s="280"/>
      <c r="Z128" s="280"/>
      <c r="AA128" s="280"/>
      <c r="AB128" s="280"/>
      <c r="AG128" s="66"/>
      <c r="AH128" s="58" t="s">
        <v>217</v>
      </c>
      <c r="AJ128" s="66"/>
      <c r="AK128" s="58" t="s">
        <v>218</v>
      </c>
      <c r="AM128" s="50"/>
    </row>
    <row r="129" spans="1:39" s="21" customFormat="1" ht="20.100000000000001" customHeight="1" x14ac:dyDescent="0.25">
      <c r="A129" s="48"/>
      <c r="B129" s="280"/>
      <c r="C129" s="280"/>
      <c r="D129" s="280"/>
      <c r="E129" s="280"/>
      <c r="F129" s="58"/>
      <c r="G129" s="30"/>
      <c r="H129" s="30"/>
      <c r="I129" s="30"/>
      <c r="J129" s="30"/>
      <c r="K129" s="30"/>
      <c r="L129" s="30"/>
      <c r="M129" s="30"/>
      <c r="N129" s="30"/>
      <c r="O129" s="30"/>
      <c r="P129" s="30"/>
      <c r="Q129" s="30"/>
      <c r="R129" s="30"/>
      <c r="S129" s="30"/>
      <c r="T129" s="30"/>
      <c r="U129" s="30"/>
      <c r="V129" s="30"/>
      <c r="W129" s="30"/>
      <c r="X129" s="30"/>
      <c r="Y129" s="30"/>
      <c r="Z129" s="30"/>
      <c r="AA129" s="30"/>
      <c r="AB129" s="30"/>
      <c r="AG129" s="30"/>
      <c r="AH129" s="30"/>
      <c r="AJ129" s="30"/>
      <c r="AK129" s="30"/>
      <c r="AM129" s="50"/>
    </row>
    <row r="130" spans="1:39" s="21" customFormat="1" ht="20.100000000000001" customHeight="1" x14ac:dyDescent="0.25">
      <c r="A130" s="48"/>
      <c r="B130" s="280" t="s">
        <v>221</v>
      </c>
      <c r="C130" s="280"/>
      <c r="D130" s="280"/>
      <c r="E130" s="280"/>
      <c r="F130" s="280"/>
      <c r="G130" s="280"/>
      <c r="H130" s="280"/>
      <c r="I130" s="280"/>
      <c r="J130" s="280"/>
      <c r="K130" s="280"/>
      <c r="L130" s="280"/>
      <c r="M130" s="280"/>
      <c r="N130" s="280"/>
      <c r="O130" s="280"/>
      <c r="P130" s="280"/>
      <c r="Q130" s="280"/>
      <c r="R130" s="280"/>
      <c r="S130" s="280"/>
      <c r="T130" s="280"/>
      <c r="U130" s="280"/>
      <c r="V130" s="280"/>
      <c r="W130" s="280"/>
      <c r="X130" s="280"/>
      <c r="Y130" s="280"/>
      <c r="Z130" s="280"/>
      <c r="AA130" s="280"/>
      <c r="AB130" s="280"/>
      <c r="AG130" s="66"/>
      <c r="AH130" s="58" t="s">
        <v>217</v>
      </c>
      <c r="AJ130" s="66"/>
      <c r="AK130" s="58" t="s">
        <v>218</v>
      </c>
      <c r="AM130" s="50"/>
    </row>
    <row r="131" spans="1:39" s="21" customFormat="1" ht="20.100000000000001" customHeight="1" x14ac:dyDescent="0.25">
      <c r="A131" s="48"/>
      <c r="B131" s="280"/>
      <c r="C131" s="280"/>
      <c r="D131" s="280"/>
      <c r="E131" s="280"/>
      <c r="F131" s="58"/>
      <c r="G131" s="30"/>
      <c r="H131" s="30"/>
      <c r="I131" s="30"/>
      <c r="J131" s="30"/>
      <c r="K131" s="30"/>
      <c r="L131" s="30"/>
      <c r="M131" s="30"/>
      <c r="N131" s="30"/>
      <c r="O131" s="30"/>
      <c r="P131" s="30"/>
      <c r="Q131" s="30"/>
      <c r="R131" s="30"/>
      <c r="S131" s="30"/>
      <c r="T131" s="30"/>
      <c r="U131" s="30"/>
      <c r="V131" s="30"/>
      <c r="W131" s="30"/>
      <c r="X131" s="30"/>
      <c r="Y131" s="30"/>
      <c r="Z131" s="30"/>
      <c r="AA131" s="30"/>
      <c r="AB131" s="30"/>
      <c r="AG131" s="30"/>
      <c r="AH131" s="30"/>
      <c r="AJ131" s="30"/>
      <c r="AK131" s="30"/>
      <c r="AM131" s="50"/>
    </row>
    <row r="132" spans="1:39" s="21" customFormat="1" ht="20.100000000000001" customHeight="1" x14ac:dyDescent="0.25">
      <c r="A132" s="48"/>
      <c r="B132" s="112" t="s">
        <v>222</v>
      </c>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G132" s="66"/>
      <c r="AH132" s="58" t="s">
        <v>217</v>
      </c>
      <c r="AJ132" s="66"/>
      <c r="AK132" s="58" t="s">
        <v>218</v>
      </c>
      <c r="AM132" s="50"/>
    </row>
    <row r="133" spans="1:39" s="21" customFormat="1" ht="20.100000000000001" customHeight="1" x14ac:dyDescent="0.25">
      <c r="A133" s="48"/>
      <c r="AM133" s="50"/>
    </row>
    <row r="134" spans="1:39" s="21" customFormat="1" ht="20.100000000000001" customHeight="1" x14ac:dyDescent="0.25">
      <c r="A134" s="48"/>
      <c r="B134" s="112" t="s">
        <v>223</v>
      </c>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M134" s="50"/>
    </row>
    <row r="135" spans="1:39" s="21" customFormat="1" ht="20.100000000000001" customHeight="1" x14ac:dyDescent="0.25">
      <c r="A135" s="48"/>
      <c r="B135" s="279"/>
      <c r="C135" s="279"/>
      <c r="D135" s="279"/>
      <c r="E135" s="279"/>
      <c r="F135" s="279"/>
      <c r="G135" s="279"/>
      <c r="H135" s="279"/>
      <c r="I135" s="279"/>
      <c r="J135" s="279"/>
      <c r="K135" s="279"/>
      <c r="L135" s="279"/>
      <c r="M135" s="279"/>
      <c r="N135" s="279"/>
      <c r="O135" s="279"/>
      <c r="P135" s="279"/>
      <c r="Q135" s="279"/>
      <c r="R135" s="279"/>
      <c r="S135" s="279"/>
      <c r="T135" s="279"/>
      <c r="U135" s="279"/>
      <c r="V135" s="279"/>
      <c r="W135" s="279"/>
      <c r="X135" s="279"/>
      <c r="Y135" s="279"/>
      <c r="Z135" s="279"/>
      <c r="AA135" s="279"/>
      <c r="AB135" s="279"/>
      <c r="AC135" s="279"/>
      <c r="AD135" s="279"/>
      <c r="AE135" s="279"/>
      <c r="AF135" s="279"/>
      <c r="AG135" s="279"/>
      <c r="AH135" s="279"/>
      <c r="AI135" s="279"/>
      <c r="AJ135" s="279"/>
      <c r="AK135" s="279"/>
      <c r="AM135" s="50"/>
    </row>
    <row r="136" spans="1:39" s="21" customFormat="1" ht="20.100000000000001" customHeight="1" x14ac:dyDescent="0.25">
      <c r="A136" s="48"/>
      <c r="B136" s="279"/>
      <c r="C136" s="279"/>
      <c r="D136" s="279"/>
      <c r="E136" s="279"/>
      <c r="F136" s="279"/>
      <c r="G136" s="279"/>
      <c r="H136" s="279"/>
      <c r="I136" s="279"/>
      <c r="J136" s="279"/>
      <c r="K136" s="279"/>
      <c r="L136" s="279"/>
      <c r="M136" s="279"/>
      <c r="N136" s="279"/>
      <c r="O136" s="279"/>
      <c r="P136" s="279"/>
      <c r="Q136" s="279"/>
      <c r="R136" s="279"/>
      <c r="S136" s="279"/>
      <c r="T136" s="279"/>
      <c r="U136" s="279"/>
      <c r="V136" s="279"/>
      <c r="W136" s="279"/>
      <c r="X136" s="279"/>
      <c r="Y136" s="279"/>
      <c r="Z136" s="279"/>
      <c r="AA136" s="279"/>
      <c r="AB136" s="279"/>
      <c r="AC136" s="279"/>
      <c r="AD136" s="279"/>
      <c r="AE136" s="279"/>
      <c r="AF136" s="279"/>
      <c r="AG136" s="279"/>
      <c r="AH136" s="279"/>
      <c r="AI136" s="279"/>
      <c r="AJ136" s="279"/>
      <c r="AK136" s="279"/>
      <c r="AM136" s="50"/>
    </row>
    <row r="137" spans="1:39" s="45" customFormat="1" ht="20.100000000000001" customHeight="1" x14ac:dyDescent="0.25">
      <c r="A137" s="48"/>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21"/>
      <c r="AM137" s="50"/>
    </row>
    <row r="138" spans="1:39" s="45" customFormat="1" ht="20.100000000000001" customHeight="1" thickBot="1" x14ac:dyDescent="0.3">
      <c r="A138" s="52"/>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54"/>
    </row>
    <row r="139" spans="1:39" s="45" customFormat="1" ht="20.100000000000001" customHeight="1" thickBot="1" x14ac:dyDescent="0.3">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row>
    <row r="140" spans="1:39" s="45" customFormat="1" ht="20.100000000000001" customHeight="1" thickBot="1" x14ac:dyDescent="0.3">
      <c r="A140" s="281" t="s">
        <v>224</v>
      </c>
      <c r="B140" s="282"/>
      <c r="C140" s="282"/>
      <c r="D140" s="282"/>
      <c r="E140" s="282"/>
      <c r="F140" s="282"/>
      <c r="G140" s="282"/>
      <c r="H140" s="282"/>
      <c r="I140" s="282"/>
      <c r="J140" s="282"/>
      <c r="K140" s="283"/>
      <c r="L140" s="284"/>
      <c r="M140" s="285"/>
      <c r="N140" s="285"/>
      <c r="O140" s="285"/>
      <c r="P140" s="285"/>
      <c r="Q140" s="285"/>
      <c r="R140" s="285"/>
      <c r="S140" s="285"/>
      <c r="T140" s="285"/>
      <c r="U140" s="285"/>
      <c r="V140" s="285"/>
      <c r="W140" s="285"/>
      <c r="X140" s="285"/>
      <c r="Y140" s="285"/>
      <c r="Z140" s="285"/>
      <c r="AA140" s="285"/>
      <c r="AB140" s="285"/>
      <c r="AC140" s="285"/>
      <c r="AD140" s="285"/>
      <c r="AE140" s="285"/>
      <c r="AF140" s="285"/>
      <c r="AG140" s="285"/>
      <c r="AH140" s="285"/>
      <c r="AI140" s="285"/>
      <c r="AJ140" s="285"/>
      <c r="AK140" s="285"/>
      <c r="AL140" s="285"/>
      <c r="AM140" s="286"/>
    </row>
    <row r="141" spans="1:39" s="45" customFormat="1" ht="20.100000000000001" customHeight="1" thickBot="1" x14ac:dyDescent="0.3">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row>
    <row r="142" spans="1:39" s="45" customFormat="1" ht="20.100000000000001" customHeight="1" thickBot="1" x14ac:dyDescent="0.3">
      <c r="A142" s="287" t="s">
        <v>243</v>
      </c>
      <c r="B142" s="288"/>
      <c r="C142" s="288"/>
      <c r="D142" s="288"/>
      <c r="E142" s="288"/>
      <c r="F142" s="288"/>
      <c r="G142" s="288"/>
      <c r="H142" s="288"/>
      <c r="I142" s="288"/>
      <c r="J142" s="288"/>
      <c r="K142" s="288"/>
      <c r="L142" s="288"/>
      <c r="M142" s="288"/>
      <c r="N142" s="288"/>
      <c r="O142" s="288"/>
      <c r="P142" s="288"/>
      <c r="Q142" s="289"/>
      <c r="R142" s="290" t="s">
        <v>244</v>
      </c>
      <c r="S142" s="291"/>
      <c r="T142" s="291"/>
      <c r="U142" s="291"/>
      <c r="V142" s="291"/>
      <c r="W142" s="291"/>
      <c r="X142" s="291"/>
      <c r="Y142" s="291"/>
      <c r="Z142" s="291"/>
      <c r="AA142" s="291"/>
      <c r="AB142" s="291"/>
      <c r="AC142" s="291"/>
      <c r="AD142" s="291"/>
      <c r="AE142" s="291"/>
      <c r="AF142" s="291"/>
      <c r="AG142" s="291"/>
      <c r="AH142" s="291"/>
      <c r="AI142" s="291"/>
      <c r="AJ142" s="291"/>
      <c r="AK142" s="291"/>
      <c r="AL142" s="291"/>
      <c r="AM142" s="292"/>
    </row>
    <row r="144" spans="1:39" ht="20.100000000000001" customHeight="1" x14ac:dyDescent="0.25">
      <c r="A144" s="279" t="s">
        <v>264</v>
      </c>
      <c r="B144" s="279"/>
      <c r="C144" s="279"/>
      <c r="D144" s="279"/>
      <c r="E144" s="279"/>
      <c r="F144" s="279"/>
      <c r="G144" s="279"/>
      <c r="H144" s="279"/>
      <c r="I144" s="279"/>
      <c r="J144" s="279"/>
      <c r="K144" s="279"/>
      <c r="L144" s="279"/>
      <c r="M144" s="279"/>
      <c r="N144" s="279"/>
      <c r="O144" s="279"/>
      <c r="P144" s="279"/>
      <c r="Q144" s="279"/>
      <c r="R144" s="279"/>
      <c r="S144" s="279"/>
      <c r="T144" s="279"/>
      <c r="U144" s="279"/>
      <c r="V144" s="279"/>
      <c r="W144" s="279"/>
      <c r="X144" s="279"/>
      <c r="Y144" s="279"/>
      <c r="Z144" s="279"/>
      <c r="AA144" s="279"/>
      <c r="AB144" s="279"/>
      <c r="AC144" s="279"/>
      <c r="AD144" s="279"/>
      <c r="AE144" s="279"/>
      <c r="AF144" s="279"/>
      <c r="AG144" s="279"/>
      <c r="AH144" s="279"/>
      <c r="AI144" s="279"/>
      <c r="AJ144" s="279"/>
      <c r="AK144" s="279"/>
      <c r="AL144" s="279"/>
      <c r="AM144" s="279"/>
    </row>
  </sheetData>
  <mergeCells count="89">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L11:AL11"/>
    <mergeCell ref="B12:K12"/>
    <mergeCell ref="L12:AL12"/>
    <mergeCell ref="B21:K21"/>
    <mergeCell ref="L21:AL21"/>
    <mergeCell ref="B15:K15"/>
    <mergeCell ref="L15:AL15"/>
    <mergeCell ref="B16:K16"/>
    <mergeCell ref="L16:AL16"/>
    <mergeCell ref="B27:N27"/>
    <mergeCell ref="V27:AL27"/>
    <mergeCell ref="B22:K22"/>
    <mergeCell ref="B23:K23"/>
    <mergeCell ref="L22:AL22"/>
    <mergeCell ref="L23:AL23"/>
    <mergeCell ref="A25:AM25"/>
    <mergeCell ref="B35:H35"/>
    <mergeCell ref="A37:AM37"/>
    <mergeCell ref="A43:AM43"/>
    <mergeCell ref="A49:AM49"/>
    <mergeCell ref="B61:J61"/>
    <mergeCell ref="X51:AA51"/>
    <mergeCell ref="AC51:AI51"/>
    <mergeCell ref="AJ51:AL51"/>
    <mergeCell ref="B63:J63"/>
    <mergeCell ref="B51:J51"/>
    <mergeCell ref="B53:J53"/>
    <mergeCell ref="K51:O51"/>
    <mergeCell ref="Q51:W51"/>
    <mergeCell ref="B55:J55"/>
    <mergeCell ref="B57:J57"/>
    <mergeCell ref="B59:J59"/>
    <mergeCell ref="B77:J77"/>
    <mergeCell ref="B69:J69"/>
    <mergeCell ref="A65:AM65"/>
    <mergeCell ref="B67:J67"/>
    <mergeCell ref="A73:AM73"/>
    <mergeCell ref="B75:J75"/>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A95:AM95"/>
    <mergeCell ref="B97:J97"/>
    <mergeCell ref="B99:J106"/>
    <mergeCell ref="A108:AM108"/>
    <mergeCell ref="A116:AM116"/>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TERRENO E BENFEITORIAS</vt:lpstr>
      <vt:lpstr>VANTAGEM DA COISA FEITA</vt:lpstr>
      <vt:lpstr>DEPRECIAÇÃO</vt:lpstr>
      <vt:lpstr>LAUDO DE VISTORIA</vt:lpstr>
      <vt:lpstr>'LAUDO DE VISTORIA'!Area_de_impressao</vt:lpstr>
      <vt:lpstr>'TERRENO E BENFEITORIAS'!Area_de_impressao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2024-06-30T21:48:58Z</cp:lastPrinted>
  <dcterms:created xsi:type="dcterms:W3CDTF">2024-06-02T16:00:59Z</dcterms:created>
  <dcterms:modified xsi:type="dcterms:W3CDTF">2024-10-28T13:42:16Z</dcterms:modified>
</cp:coreProperties>
</file>